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A3D94D-1BFE-45A3-9C22-63D865077F24}" xr6:coauthVersionLast="47" xr6:coauthVersionMax="47" xr10:uidLastSave="{00000000-0000-0000-0000-000000000000}"/>
  <bookViews>
    <workbookView xWindow="-120" yWindow="-120" windowWidth="38640" windowHeight="15720" tabRatio="686" firstSheet="5" activeTab="14"/>
    <workbookView xWindow="-120" yWindow="-120" windowWidth="38640" windowHeight="15720" tabRatio="895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GPM" sheetId="73" r:id="rId16"/>
    <sheet name="mewborne" sheetId="17" r:id="rId17"/>
    <sheet name="Amoco Abo" sheetId="18" r:id="rId18"/>
    <sheet name="NNG" sheetId="65" r:id="rId19"/>
    <sheet name="PNM" sheetId="64" r:id="rId20"/>
    <sheet name="NGPL" sheetId="67" r:id="rId21"/>
    <sheet name="Mojave" sheetId="68" r:id="rId22"/>
    <sheet name="EOG" sheetId="70" r:id="rId23"/>
    <sheet name="KN_Westar" sheetId="22" r:id="rId24"/>
    <sheet name="Continental" sheetId="71" r:id="rId25"/>
    <sheet name="CIG" sheetId="72" r:id="rId26"/>
    <sheet name="burlington" sheetId="69" r:id="rId27"/>
  </sheets>
  <externalReferences>
    <externalReference r:id="rId2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7">'Amoco Abo'!$A$5:$D$44</definedName>
    <definedName name="_xlnm.Print_Area" localSheetId="10">Conoco!$A$1:$F$41</definedName>
    <definedName name="_xlnm.Print_Area" localSheetId="14">Duke!$A$2:$C$62</definedName>
    <definedName name="_xlnm.Print_Area" localSheetId="6">'El Paso'!$A$2:$H$38</definedName>
    <definedName name="_xlnm.Print_Area" localSheetId="22">EOG!$A$1:$J$41</definedName>
    <definedName name="_xlnm.Print_Area" localSheetId="15">GPM!$A$1:$F$50</definedName>
    <definedName name="_xlnm.Print_Area" localSheetId="23">KN_Westar!$A$4:$D$41</definedName>
    <definedName name="_xlnm.Print_Area" localSheetId="2">Lonestar!$A$2:$F$42</definedName>
    <definedName name="_xlnm.Print_Area" localSheetId="16">mewborne!$A$5:$J$43</definedName>
    <definedName name="_xlnm.Print_Area" localSheetId="21">Mojave!$A$1:$D$40</definedName>
    <definedName name="_xlnm.Print_Area" localSheetId="18">NNG!$A$1:$D$25</definedName>
    <definedName name="_xlnm.Print_Area" localSheetId="12">NW!$A$2:$F$41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19">PNM!$A$2:$D$23</definedName>
    <definedName name="_xlnm.Print_Area" localSheetId="8">'Red C'!$A$2:$D$43</definedName>
    <definedName name="_xlnm.Print_Area" localSheetId="4">SoCal!$A$1:$D$43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0"/>
</workbook>
</file>

<file path=xl/calcChain.xml><?xml version="1.0" encoding="utf-8"?>
<calcChain xmlns="http://schemas.openxmlformats.org/spreadsheetml/2006/main">
  <c r="B5" i="8" l="1"/>
  <c r="D5" i="8"/>
  <c r="D6" i="8"/>
  <c r="B7" i="8"/>
  <c r="D7" i="8"/>
  <c r="B8" i="8"/>
  <c r="D8" i="8"/>
  <c r="B9" i="8"/>
  <c r="D9" i="8"/>
  <c r="D10" i="8"/>
  <c r="B11" i="8"/>
  <c r="D11" i="8"/>
  <c r="B12" i="8"/>
  <c r="D12" i="8"/>
  <c r="B13" i="8"/>
  <c r="D13" i="8"/>
  <c r="D14" i="8"/>
  <c r="D15" i="8"/>
  <c r="D16" i="8"/>
  <c r="B17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39" i="18"/>
  <c r="D40" i="18"/>
  <c r="D41" i="18"/>
  <c r="D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F35" i="73"/>
  <c r="C36" i="73"/>
  <c r="E36" i="73"/>
  <c r="F36" i="73"/>
  <c r="C37" i="73"/>
  <c r="E37" i="73"/>
  <c r="F37" i="73"/>
  <c r="C38" i="73"/>
  <c r="E38" i="73"/>
  <c r="F38" i="73"/>
  <c r="F39" i="73"/>
  <c r="C40" i="73"/>
  <c r="E40" i="73"/>
  <c r="F40" i="73"/>
  <c r="F50" i="73"/>
  <c r="F52" i="73"/>
  <c r="F54" i="73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B37" i="22"/>
  <c r="C37" i="22"/>
  <c r="D37" i="22"/>
  <c r="D38" i="22"/>
  <c r="D39" i="22"/>
  <c r="D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D6" i="65"/>
  <c r="B7" i="65"/>
  <c r="D7" i="65"/>
  <c r="B8" i="65"/>
  <c r="D8" i="65"/>
  <c r="D9" i="65"/>
  <c r="D10" i="65"/>
  <c r="D11" i="65"/>
  <c r="D12" i="65"/>
  <c r="D13" i="65"/>
  <c r="D14" i="65"/>
  <c r="D18" i="65"/>
  <c r="D19" i="65"/>
  <c r="D20" i="65"/>
  <c r="D24" i="65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5" i="64"/>
  <c r="D5" i="64"/>
  <c r="B6" i="64"/>
  <c r="D6" i="64"/>
  <c r="B7" i="64"/>
  <c r="D7" i="64"/>
  <c r="D8" i="64"/>
  <c r="B9" i="64"/>
  <c r="D9" i="64"/>
  <c r="B10" i="64"/>
  <c r="D10" i="64"/>
  <c r="B11" i="64"/>
  <c r="D11" i="64"/>
  <c r="D12" i="64"/>
  <c r="D13" i="64"/>
  <c r="D17" i="64"/>
  <c r="D18" i="64"/>
  <c r="D19" i="64"/>
  <c r="D23" i="64"/>
  <c r="D8" i="15"/>
  <c r="AD8" i="15"/>
  <c r="AH8" i="15"/>
  <c r="AL8" i="15"/>
  <c r="AP8" i="15"/>
  <c r="AT8" i="15"/>
  <c r="D9" i="15"/>
  <c r="AD9" i="15"/>
  <c r="AH9" i="15"/>
  <c r="AL9" i="15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D39" i="15"/>
  <c r="AB39" i="15"/>
  <c r="AC39" i="15"/>
  <c r="AD39" i="15"/>
  <c r="AF39" i="15"/>
  <c r="AG39" i="15"/>
  <c r="AH39" i="15"/>
  <c r="AJ39" i="15"/>
  <c r="AK39" i="15"/>
  <c r="AL39" i="15"/>
  <c r="AN39" i="15"/>
  <c r="AO39" i="15"/>
  <c r="AP39" i="15"/>
  <c r="AR39" i="15"/>
  <c r="AS39" i="15"/>
  <c r="AT39" i="15"/>
  <c r="D40" i="15"/>
  <c r="D41" i="15"/>
  <c r="D43" i="15"/>
  <c r="AD45" i="15"/>
  <c r="AH45" i="15"/>
  <c r="AL45" i="15"/>
  <c r="AP45" i="15"/>
  <c r="AP48" i="15"/>
  <c r="AP51" i="15"/>
  <c r="AF52" i="15"/>
  <c r="AF54" i="15"/>
  <c r="AF56" i="15"/>
  <c r="AF57" i="15"/>
  <c r="D86" i="15"/>
  <c r="I86" i="15"/>
  <c r="D87" i="15"/>
  <c r="I87" i="15"/>
  <c r="D88" i="15"/>
  <c r="I88" i="15"/>
  <c r="D89" i="15"/>
  <c r="I89" i="15"/>
  <c r="D90" i="15"/>
  <c r="I90" i="15"/>
  <c r="D91" i="15"/>
  <c r="I91" i="15"/>
  <c r="B92" i="15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C101" i="15"/>
  <c r="D101" i="15"/>
  <c r="I101" i="15"/>
  <c r="B102" i="15"/>
  <c r="D102" i="15"/>
  <c r="I102" i="15"/>
  <c r="B103" i="15"/>
  <c r="C103" i="15"/>
  <c r="D103" i="15"/>
  <c r="I103" i="15"/>
  <c r="I104" i="15"/>
  <c r="B105" i="15"/>
  <c r="D105" i="15"/>
  <c r="I105" i="15"/>
  <c r="I106" i="15"/>
  <c r="I107" i="15"/>
  <c r="D108" i="15"/>
  <c r="I108" i="15"/>
  <c r="I109" i="15"/>
  <c r="I110" i="15"/>
  <c r="I111" i="15"/>
  <c r="I112" i="15"/>
  <c r="G113" i="15"/>
  <c r="I113" i="15"/>
  <c r="G114" i="15"/>
  <c r="I114" i="15"/>
  <c r="D126" i="15"/>
  <c r="D127" i="15"/>
  <c r="D128" i="15"/>
  <c r="D129" i="15"/>
  <c r="D130" i="15"/>
  <c r="D131" i="15"/>
  <c r="B132" i="15"/>
  <c r="D132" i="15"/>
  <c r="B133" i="15"/>
  <c r="C133" i="15"/>
  <c r="D133" i="15"/>
  <c r="B136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B168" i="15"/>
  <c r="C168" i="15"/>
  <c r="D169" i="15"/>
  <c r="D170" i="15"/>
  <c r="D171" i="15"/>
  <c r="D172" i="15"/>
  <c r="D173" i="15"/>
  <c r="B174" i="15"/>
  <c r="C174" i="15"/>
  <c r="C175" i="15"/>
  <c r="B176" i="15"/>
  <c r="C176" i="15"/>
  <c r="D176" i="15"/>
  <c r="B178" i="15"/>
  <c r="C178" i="15"/>
  <c r="B180" i="15"/>
  <c r="C180" i="1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D35" i="6"/>
  <c r="D40" i="6"/>
  <c r="P10" i="63"/>
  <c r="P11" i="63"/>
  <c r="B12" i="63"/>
  <c r="C12" i="63"/>
  <c r="D12" i="63"/>
  <c r="P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B44" i="63"/>
  <c r="C44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66" i="2"/>
  <c r="D67" i="2"/>
  <c r="D68" i="2"/>
  <c r="D69" i="2"/>
  <c r="D75" i="2"/>
</calcChain>
</file>

<file path=xl/sharedStrings.xml><?xml version="1.0" encoding="utf-8"?>
<sst xmlns="http://schemas.openxmlformats.org/spreadsheetml/2006/main" count="371" uniqueCount="135">
  <si>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</si>
  <si>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</si>
  <si>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</si>
  <si>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</si>
  <si>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</si>
  <si>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</si>
  <si>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</si>
  <si>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</si>
  <si>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</si>
  <si>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</si>
  <si>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</si>
  <si>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</si>
  <si>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</si>
  <si>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</si>
  <si>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</si>
  <si>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</si>
  <si>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</si>
  <si>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</si>
  <si>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</si>
  <si>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</si>
  <si>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</si>
  <si>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</si>
  <si>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</si>
  <si>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</si>
  <si>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</si>
  <si>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</si>
  <si>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</si>
  <si>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</si>
  <si>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</si>
  <si>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</si>
  <si>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</si>
  <si>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</si>
  <si>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</si>
  <si>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</si>
  <si>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</si>
  <si>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</si>
  <si>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</si>
  <si>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</si>
  <si>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</si>
  <si>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</si>
  <si>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</si>
  <si>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</si>
  <si>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</si>
  <si>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</si>
  <si>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</si>
  <si>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</si>
  <si>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</si>
  <si>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</si>
  <si>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</si>
  <si>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</si>
  <si>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</si>
  <si>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</si>
  <si>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</si>
  <si>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</si>
  <si>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</si>
  <si>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</si>
  <si>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</si>
  <si>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</si>
  <si>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</si>
  <si>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</si>
  <si>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</si>
  <si>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</si>
  <si>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</si>
  <si>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</si>
  <si>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</si>
  <si>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</si>
  <si>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</si>
  <si>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</si>
  <si>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</si>
  <si>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</si>
  <si>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</si>
  <si>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</si>
  <si>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</si>
  <si>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</si>
  <si>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</si>
  <si>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</si>
  <si>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</si>
  <si>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</si>
  <si>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</si>
  <si>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</si>
  <si>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</si>
  <si>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</si>
  <si>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</si>
  <si>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</si>
  <si>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</si>
  <si>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</si>
  <si>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</si>
  <si>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</si>
  <si>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</si>
  <si>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</si>
  <si>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</si>
  <si>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</si>
  <si>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</si>
  <si>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</si>
  <si>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</si>
  <si>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</si>
  <si>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</si>
  <si>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</si>
  <si>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</si>
  <si>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</si>
  <si>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</si>
  <si>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</si>
  <si>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</si>
  <si>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</si>
  <si>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</si>
  <si>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</si>
  <si>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</si>
  <si>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</si>
  <si>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</si>
  <si>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 xml:space="preserve">Milagro 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</si>
  <si>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</si>
  <si>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</si>
  <si>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</si>
  <si>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</si>
  <si>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</si>
  <si>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</si>
  <si>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</si>
  <si>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</si>
  <si>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</si>
  <si>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</si>
  <si>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</si>
  <si>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</si>
  <si>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</si>
  <si>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</si>
  <si>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</si>
  <si>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</si>
  <si>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</si>
  <si>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</si>
  <si>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Total Duke</t>
  </si>
  <si>
    <t>contr21817</t>
  </si>
  <si>
    <t>NTXPH</t>
  </si>
  <si>
    <t>Duke</t>
  </si>
  <si>
    <t>Crawford, Pecos Diamond, Waha, Linam Ranch, Artesia</t>
  </si>
  <si>
    <t>Blanco and Window Rock</t>
  </si>
  <si>
    <t xml:space="preserve">payback being made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</si>
</sst>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sz val="8"/>
      <color indexed="17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  <font>
      <sz val="9"/>
      <color indexed="5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17" fontId="3" fillId="0" borderId="0" xfId="1" applyNumberFormat="1" applyFont="1" applyBorder="1"/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7" fontId="3" fillId="0" borderId="3" xfId="1" applyNumberFormat="1" applyFont="1" applyFill="1" applyBorder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5" fontId="0" fillId="0" borderId="3" xfId="0" applyNumberFormat="1" applyBorder="1"/>
    <xf numFmtId="37" fontId="0" fillId="0" borderId="3" xfId="1" applyNumberFormat="1" applyFont="1" applyBorder="1"/>
    <xf numFmtId="5" fontId="0" fillId="0" borderId="0" xfId="0" applyNumberFormat="1" applyBorder="1"/>
    <xf numFmtId="37" fontId="0" fillId="0" borderId="0" xfId="1" applyNumberFormat="1" applyFon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37" fontId="0" fillId="0" borderId="1" xfId="1" applyNumberFormat="1" applyFont="1" applyBorder="1"/>
    <xf numFmtId="166" fontId="4" fillId="0" borderId="0" xfId="0" applyNumberFormat="1" applyFont="1" applyBorder="1"/>
    <xf numFmtId="44" fontId="9" fillId="0" borderId="0" xfId="2" applyFont="1" applyFill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5" fontId="0" fillId="0" borderId="1" xfId="0" applyNumberFormat="1" applyBorder="1"/>
    <xf numFmtId="5" fontId="14" fillId="0" borderId="0" xfId="0" applyNumberFormat="1" applyFont="1" applyBorder="1"/>
    <xf numFmtId="37" fontId="3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5" fontId="3" fillId="3" borderId="1" xfId="0" applyNumberFormat="1" applyFont="1" applyFill="1" applyBorder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166" fontId="32" fillId="0" borderId="1" xfId="1" applyNumberFormat="1" applyFont="1" applyBorder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7" fontId="22" fillId="4" borderId="1" xfId="1" applyNumberFormat="1" applyFont="1" applyFill="1" applyBorder="1"/>
    <xf numFmtId="5" fontId="3" fillId="4" borderId="1" xfId="0" applyNumberFormat="1" applyFont="1" applyFill="1" applyBorder="1"/>
    <xf numFmtId="192" fontId="34" fillId="0" borderId="0" xfId="0" applyNumberFormat="1" applyFont="1"/>
    <xf numFmtId="5" fontId="34" fillId="0" borderId="0" xfId="0" applyNumberFormat="1" applyFont="1"/>
    <xf numFmtId="7" fontId="35" fillId="0" borderId="0" xfId="0" applyNumberFormat="1" applyFont="1" applyFill="1"/>
    <xf numFmtId="7" fontId="35" fillId="0" borderId="0" xfId="0" applyNumberFormat="1" applyFont="1"/>
    <xf numFmtId="5" fontId="35" fillId="0" borderId="0" xfId="0" applyNumberFormat="1" applyFont="1"/>
    <xf numFmtId="7" fontId="8" fillId="0" borderId="1" xfId="1" applyNumberFormat="1" applyFont="1" applyFill="1" applyBorder="1"/>
    <xf numFmtId="7" fontId="4" fillId="0" borderId="3" xfId="1" applyNumberFormat="1" applyFont="1" applyFill="1" applyBorder="1"/>
    <xf numFmtId="37" fontId="28" fillId="0" borderId="0" xfId="1" applyNumberFormat="1" applyFont="1"/>
    <xf numFmtId="37" fontId="36" fillId="0" borderId="0" xfId="1" applyNumberFormat="1" applyFont="1" applyFill="1"/>
    <xf numFmtId="166" fontId="22" fillId="0" borderId="0" xfId="1" applyNumberFormat="1" applyFont="1" applyFill="1"/>
    <xf numFmtId="37" fontId="14" fillId="0" borderId="0" xfId="1" applyNumberFormat="1" applyFont="1" applyBorder="1"/>
    <xf numFmtId="7" fontId="3" fillId="0" borderId="0" xfId="1" applyNumberFormat="1" applyFont="1" applyFill="1"/>
    <xf numFmtId="5" fontId="3" fillId="0" borderId="0" xfId="1" applyNumberFormat="1" applyFont="1" applyFill="1"/>
    <xf numFmtId="7" fontId="25" fillId="0" borderId="1" xfId="0" applyNumberFormat="1" applyFont="1" applyFill="1" applyBorder="1"/>
    <xf numFmtId="2" fontId="0" fillId="0" borderId="0" xfId="0" applyNumberFormat="1"/>
    <xf numFmtId="5" fontId="3" fillId="0" borderId="1" xfId="0" applyNumberFormat="1" applyFont="1" applyFill="1" applyBorder="1"/>
    <xf numFmtId="37" fontId="3" fillId="0" borderId="0" xfId="1" applyNumberFormat="1" applyFont="1" applyFill="1"/>
    <xf numFmtId="37" fontId="3" fillId="0" borderId="0" xfId="1" applyNumberFormat="1" applyFont="1" applyFill="1" applyBorder="1"/>
    <xf numFmtId="5" fontId="25" fillId="0" borderId="0" xfId="1" applyNumberFormat="1" applyFont="1" applyFill="1" applyBorder="1"/>
    <xf numFmtId="166" fontId="3" fillId="0" borderId="1" xfId="1" applyNumberFormat="1" applyFont="1" applyFill="1" applyBorder="1"/>
    <xf numFmtId="166" fontId="25" fillId="0" borderId="1" xfId="0" applyNumberFormat="1" applyFont="1" applyFill="1" applyBorder="1"/>
    <xf numFmtId="5" fontId="22" fillId="0" borderId="0" xfId="0" applyNumberFormat="1" applyFont="1" applyFill="1" applyAlignment="1">
      <alignment horizontal="left" indent="2"/>
    </xf>
    <xf numFmtId="7" fontId="22" fillId="0" borderId="0" xfId="0" applyNumberFormat="1" applyFont="1" applyFill="1"/>
    <xf numFmtId="7" fontId="9" fillId="0" borderId="2" xfId="0" applyNumberFormat="1" applyFont="1" applyFill="1" applyBorder="1"/>
    <xf numFmtId="7" fontId="3" fillId="0" borderId="0" xfId="0" applyNumberFormat="1" applyFont="1" applyFill="1"/>
    <xf numFmtId="179" fontId="0" fillId="0" borderId="0" xfId="2" applyNumberFormat="1" applyFont="1"/>
    <xf numFmtId="37" fontId="37" fillId="0" borderId="0" xfId="1" applyNumberFormat="1" applyFont="1" applyFill="1"/>
    <xf numFmtId="5" fontId="14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01"/>
    </sheetNames>
    <sheetDataSet>
      <sheetData sheetId="0">
        <row r="39">
          <cell r="H39">
            <v>5.98</v>
          </cell>
          <cell r="K39">
            <v>5.82</v>
          </cell>
          <cell r="M39">
            <v>5.94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7"/>
  <sheetViews>
    <sheetView topLeftCell="A10" workbookViewId="0">
      <selection activeCell="B15" sqref="B15"/>
    </sheetView>
    <sheetView tabSelected="1" topLeftCell="A6" workbookViewId="1">
      <selection activeCell="G17" sqref="G17"/>
    </sheetView>
  </sheetViews>
  <sheetFormatPr defaultRowHeight="12.75" x14ac:dyDescent="0.2"/>
  <cols>
    <col min="1" max="1" width="20.5703125" style="301" customWidth="1"/>
    <col min="2" max="2" width="11.85546875" style="254" customWidth="1"/>
    <col min="3" max="3" width="11.28515625" style="302" customWidth="1"/>
    <col min="4" max="4" width="10.7109375" bestFit="1" customWidth="1"/>
    <col min="5" max="5" width="12" bestFit="1" customWidth="1"/>
    <col min="6" max="6" width="15.140625" customWidth="1"/>
  </cols>
  <sheetData>
    <row r="2" spans="1:16" ht="15.75" x14ac:dyDescent="0.25">
      <c r="A2" s="53" t="s">
        <v>97</v>
      </c>
    </row>
    <row r="3" spans="1:16" ht="15.75" x14ac:dyDescent="0.25">
      <c r="A3" s="53" t="s">
        <v>92</v>
      </c>
    </row>
    <row r="4" spans="1:16" ht="15" customHeight="1" x14ac:dyDescent="0.25">
      <c r="A4" s="53" t="s">
        <v>94</v>
      </c>
    </row>
    <row r="5" spans="1:16" ht="15" customHeight="1" x14ac:dyDescent="0.25">
      <c r="A5" s="53" t="s">
        <v>93</v>
      </c>
    </row>
    <row r="6" spans="1:16" ht="12.95" customHeight="1" x14ac:dyDescent="0.2"/>
    <row r="7" spans="1:16" ht="18" customHeight="1" x14ac:dyDescent="0.2"/>
    <row r="8" spans="1:16" ht="18" customHeight="1" x14ac:dyDescent="0.2">
      <c r="A8" s="34" t="s">
        <v>5</v>
      </c>
    </row>
    <row r="9" spans="1:16" ht="18" customHeight="1" x14ac:dyDescent="0.2">
      <c r="A9" s="34" t="s">
        <v>6</v>
      </c>
      <c r="B9" s="271"/>
      <c r="O9" s="310" t="s">
        <v>83</v>
      </c>
      <c r="P9" s="311"/>
    </row>
    <row r="10" spans="1:16" ht="18" customHeight="1" x14ac:dyDescent="0.2">
      <c r="O10" s="312" t="s">
        <v>31</v>
      </c>
      <c r="P10" s="314">
        <f>+'[1]0101'!$K$39</f>
        <v>5.82</v>
      </c>
    </row>
    <row r="11" spans="1:16" ht="18" customHeight="1" x14ac:dyDescent="0.2">
      <c r="A11" s="306" t="s">
        <v>99</v>
      </c>
      <c r="B11" s="307" t="s">
        <v>18</v>
      </c>
      <c r="C11" s="308" t="s">
        <v>0</v>
      </c>
      <c r="D11" s="309" t="s">
        <v>86</v>
      </c>
      <c r="E11" s="306" t="s">
        <v>100</v>
      </c>
      <c r="F11" s="345" t="s">
        <v>113</v>
      </c>
      <c r="G11" s="306" t="s">
        <v>108</v>
      </c>
      <c r="O11" s="313" t="s">
        <v>32</v>
      </c>
      <c r="P11" s="315">
        <f>+'[1]0101'!$M$39</f>
        <v>5.94</v>
      </c>
    </row>
    <row r="12" spans="1:16" ht="18" customHeight="1" x14ac:dyDescent="0.2">
      <c r="A12" s="371" t="s">
        <v>36</v>
      </c>
      <c r="B12" s="318">
        <f>+C12*$P$11</f>
        <v>931023.72000000009</v>
      </c>
      <c r="C12" s="319">
        <f>+'El Paso'!H38</f>
        <v>156738</v>
      </c>
      <c r="D12" s="65">
        <f>+'El Paso'!A38</f>
        <v>36929</v>
      </c>
      <c r="E12" t="s">
        <v>90</v>
      </c>
      <c r="F12" t="s">
        <v>110</v>
      </c>
      <c r="G12" t="s">
        <v>133</v>
      </c>
      <c r="O12" t="s">
        <v>130</v>
      </c>
      <c r="P12" s="390">
        <f>+'[1]0101'!$H$39</f>
        <v>5.98</v>
      </c>
    </row>
    <row r="13" spans="1:16" ht="15.95" customHeight="1" x14ac:dyDescent="0.2">
      <c r="A13" s="371" t="s">
        <v>3</v>
      </c>
      <c r="B13" s="318">
        <f>+'Amoco Abo'!$D$43</f>
        <v>898142.52</v>
      </c>
      <c r="C13" s="319">
        <f>+B13/$P$11</f>
        <v>151202.44444444444</v>
      </c>
      <c r="D13" s="65">
        <f>+'Amoco Abo'!A43</f>
        <v>36929</v>
      </c>
      <c r="E13" t="s">
        <v>91</v>
      </c>
      <c r="F13" t="s">
        <v>111</v>
      </c>
      <c r="G13" t="s">
        <v>134</v>
      </c>
      <c r="H13" s="64"/>
    </row>
    <row r="14" spans="1:16" ht="15.95" customHeight="1" x14ac:dyDescent="0.2">
      <c r="A14" s="371" t="s">
        <v>88</v>
      </c>
      <c r="B14" s="318">
        <f>+PNM!$D$23</f>
        <v>774719.71</v>
      </c>
      <c r="C14" s="319">
        <f>+B14/$P$11</f>
        <v>130424.19360269359</v>
      </c>
      <c r="D14" s="65">
        <f>+PNM!A23</f>
        <v>36929</v>
      </c>
      <c r="E14" t="s">
        <v>91</v>
      </c>
      <c r="F14" t="s">
        <v>110</v>
      </c>
      <c r="G14" t="s">
        <v>134</v>
      </c>
    </row>
    <row r="15" spans="1:16" ht="15.95" customHeight="1" x14ac:dyDescent="0.2">
      <c r="A15" s="371" t="s">
        <v>98</v>
      </c>
      <c r="B15" s="318">
        <f>+C15*$P$11</f>
        <v>548624.34000000008</v>
      </c>
      <c r="C15" s="319">
        <f>+NGPL!F38</f>
        <v>92361</v>
      </c>
      <c r="D15" s="65">
        <f>+NGPL!A38</f>
        <v>36929</v>
      </c>
      <c r="E15" t="s">
        <v>90</v>
      </c>
      <c r="F15" t="s">
        <v>127</v>
      </c>
    </row>
    <row r="16" spans="1:16" ht="15.95" customHeight="1" x14ac:dyDescent="0.2">
      <c r="A16" s="371" t="s">
        <v>2</v>
      </c>
      <c r="B16" s="318">
        <f>+mewborne!$J$43</f>
        <v>508160.02</v>
      </c>
      <c r="C16" s="319">
        <f>+B16/$P$11</f>
        <v>85548.824915824909</v>
      </c>
      <c r="D16" s="65">
        <f>+mewborne!A43</f>
        <v>36929</v>
      </c>
      <c r="E16" t="s">
        <v>91</v>
      </c>
      <c r="F16" t="s">
        <v>111</v>
      </c>
    </row>
    <row r="17" spans="1:6" ht="15.95" customHeight="1" x14ac:dyDescent="0.2">
      <c r="A17" s="371" t="s">
        <v>122</v>
      </c>
      <c r="B17" s="318">
        <f>+CIG!D43</f>
        <v>457103.12</v>
      </c>
      <c r="C17" s="319">
        <f>+B17/$P$11</f>
        <v>76953.387205387204</v>
      </c>
      <c r="D17" s="65">
        <f>+CIG!A43</f>
        <v>36929</v>
      </c>
      <c r="E17" t="s">
        <v>91</v>
      </c>
      <c r="F17" t="s">
        <v>125</v>
      </c>
    </row>
    <row r="18" spans="1:6" ht="15.95" customHeight="1" x14ac:dyDescent="0.2">
      <c r="A18" s="371" t="s">
        <v>119</v>
      </c>
      <c r="B18" s="318">
        <f>+KN_Westar!D41</f>
        <v>448487.04</v>
      </c>
      <c r="C18" s="319">
        <f>+B18/$P$11</f>
        <v>75502.868686868678</v>
      </c>
      <c r="D18" s="65">
        <f>+KN_Westar!A41</f>
        <v>36929</v>
      </c>
      <c r="E18" t="s">
        <v>91</v>
      </c>
      <c r="F18" t="s">
        <v>112</v>
      </c>
    </row>
    <row r="19" spans="1:6" ht="15.95" customHeight="1" x14ac:dyDescent="0.2">
      <c r="A19" s="371" t="s">
        <v>104</v>
      </c>
      <c r="B19" s="254">
        <f>+C19*$P$11</f>
        <v>322613.28000000003</v>
      </c>
      <c r="C19" s="302">
        <f>+Mojave!D40</f>
        <v>54312</v>
      </c>
      <c r="D19" s="65">
        <f>+Mojave!A40</f>
        <v>36929</v>
      </c>
      <c r="E19" t="s">
        <v>90</v>
      </c>
      <c r="F19" t="s">
        <v>110</v>
      </c>
    </row>
    <row r="20" spans="1:6" ht="15.95" customHeight="1" x14ac:dyDescent="0.2">
      <c r="A20" s="371" t="s">
        <v>25</v>
      </c>
      <c r="B20" s="352">
        <f>+'Red C'!$D$43</f>
        <v>306274.56</v>
      </c>
      <c r="C20" s="386">
        <f>+B20/$P$10</f>
        <v>52624.494845360823</v>
      </c>
      <c r="D20" s="326">
        <f>+'Red C'!B43</f>
        <v>36929</v>
      </c>
      <c r="E20" t="s">
        <v>91</v>
      </c>
      <c r="F20" t="s">
        <v>114</v>
      </c>
    </row>
    <row r="21" spans="1:6" ht="15.95" customHeight="1" x14ac:dyDescent="0.2">
      <c r="A21" s="371" t="s">
        <v>126</v>
      </c>
      <c r="B21" s="254">
        <f>+C21*$P$11</f>
        <v>305137.80000000005</v>
      </c>
      <c r="C21" s="302">
        <f>+'PG&amp;E'!D40</f>
        <v>51370</v>
      </c>
      <c r="D21" s="65">
        <f>+'PG&amp;E'!A40</f>
        <v>36929</v>
      </c>
      <c r="E21" t="s">
        <v>90</v>
      </c>
      <c r="F21" t="s">
        <v>114</v>
      </c>
    </row>
    <row r="22" spans="1:6" ht="15.95" customHeight="1" x14ac:dyDescent="0.2">
      <c r="A22" s="371" t="s">
        <v>76</v>
      </c>
      <c r="B22" s="352">
        <f>+transcol!$D$43</f>
        <v>268945.42</v>
      </c>
      <c r="C22" s="319">
        <f>+B22/$P$11</f>
        <v>45277.006734006725</v>
      </c>
      <c r="D22" s="65">
        <f>+transcol!A43</f>
        <v>36929</v>
      </c>
      <c r="E22" t="s">
        <v>91</v>
      </c>
      <c r="F22" t="s">
        <v>127</v>
      </c>
    </row>
    <row r="23" spans="1:6" ht="15.95" customHeight="1" x14ac:dyDescent="0.2">
      <c r="A23" s="372" t="s">
        <v>84</v>
      </c>
      <c r="B23" s="318">
        <f>+Agave!$D$24</f>
        <v>265928.34000000003</v>
      </c>
      <c r="C23" s="319">
        <f>+B23/$P$11</f>
        <v>44769.080808080813</v>
      </c>
      <c r="D23" s="326">
        <f>+Agave!A24</f>
        <v>36929</v>
      </c>
      <c r="E23" s="323" t="s">
        <v>91</v>
      </c>
      <c r="F23" t="s">
        <v>114</v>
      </c>
    </row>
    <row r="24" spans="1:6" ht="15.95" customHeight="1" x14ac:dyDescent="0.2">
      <c r="A24" s="371" t="s">
        <v>96</v>
      </c>
      <c r="B24" s="318">
        <f>+NNG!$D$24</f>
        <v>229210.03000000003</v>
      </c>
      <c r="C24" s="319">
        <f>+B24/$P$11</f>
        <v>38587.547138047143</v>
      </c>
      <c r="D24" s="65">
        <f>+NNG!A24</f>
        <v>36929</v>
      </c>
      <c r="E24" t="s">
        <v>91</v>
      </c>
      <c r="F24" t="s">
        <v>112</v>
      </c>
    </row>
    <row r="25" spans="1:6" ht="15.95" customHeight="1" x14ac:dyDescent="0.2">
      <c r="A25" s="371" t="s">
        <v>85</v>
      </c>
      <c r="B25" s="318">
        <f>+Conoco!$F$41</f>
        <v>167586.57999999984</v>
      </c>
      <c r="C25" s="319">
        <f>+B25/$P$10</f>
        <v>28794.945017182101</v>
      </c>
      <c r="D25" s="326">
        <f>+Conoco!A41</f>
        <v>36929</v>
      </c>
      <c r="E25" t="s">
        <v>91</v>
      </c>
      <c r="F25" t="s">
        <v>111</v>
      </c>
    </row>
    <row r="26" spans="1:6" ht="15.95" customHeight="1" x14ac:dyDescent="0.2">
      <c r="A26" s="371" t="s">
        <v>8</v>
      </c>
      <c r="B26" s="318">
        <f>+C26*$P$11</f>
        <v>158200.02000000002</v>
      </c>
      <c r="C26" s="319">
        <f>+Oasis!D40</f>
        <v>26633</v>
      </c>
      <c r="D26" s="65">
        <f>+Oasis!B40</f>
        <v>36929</v>
      </c>
      <c r="E26" t="s">
        <v>90</v>
      </c>
      <c r="F26" t="s">
        <v>114</v>
      </c>
    </row>
    <row r="27" spans="1:6" ht="15.95" customHeight="1" x14ac:dyDescent="0.2">
      <c r="A27" s="371" t="s">
        <v>35</v>
      </c>
      <c r="B27" s="318">
        <f>+PGETX!$H$39</f>
        <v>111634.28</v>
      </c>
      <c r="C27" s="319">
        <f>+B27/$P$11</f>
        <v>18793.649831649829</v>
      </c>
      <c r="D27" s="65">
        <f>+PGETX!E39</f>
        <v>36929</v>
      </c>
      <c r="E27" t="s">
        <v>91</v>
      </c>
      <c r="F27" t="s">
        <v>114</v>
      </c>
    </row>
    <row r="28" spans="1:6" ht="15.95" customHeight="1" x14ac:dyDescent="0.2">
      <c r="A28" s="371" t="s">
        <v>34</v>
      </c>
      <c r="B28" s="318">
        <f>+C28*$P$11</f>
        <v>94843.98000000001</v>
      </c>
      <c r="C28" s="319">
        <f>+SoCal!D40</f>
        <v>15967</v>
      </c>
      <c r="D28" s="65">
        <f>+SoCal!A40</f>
        <v>36929</v>
      </c>
      <c r="E28" t="s">
        <v>90</v>
      </c>
      <c r="F28" t="s">
        <v>110</v>
      </c>
    </row>
    <row r="29" spans="1:6" ht="15.95" customHeight="1" x14ac:dyDescent="0.2">
      <c r="A29" s="371" t="s">
        <v>33</v>
      </c>
      <c r="B29" s="351">
        <f>+C29*$P$11</f>
        <v>11286</v>
      </c>
      <c r="C29" s="342">
        <f>+Lonestar!F42</f>
        <v>1900</v>
      </c>
      <c r="D29" s="326">
        <f>+Lonestar!B42</f>
        <v>36929</v>
      </c>
      <c r="E29" t="s">
        <v>90</v>
      </c>
      <c r="F29" t="s">
        <v>114</v>
      </c>
    </row>
    <row r="30" spans="1:6" ht="18" customHeight="1" x14ac:dyDescent="0.2">
      <c r="A30" s="301" t="s">
        <v>106</v>
      </c>
      <c r="B30" s="254">
        <f>SUM(B12:B29)</f>
        <v>6807920.7600000007</v>
      </c>
      <c r="C30" s="302">
        <f>SUM(C12:C29)</f>
        <v>1147759.4432295463</v>
      </c>
    </row>
    <row r="31" spans="1:6" ht="18" customHeight="1" x14ac:dyDescent="0.2">
      <c r="F31" s="401"/>
    </row>
    <row r="32" spans="1:6" ht="18" customHeight="1" x14ac:dyDescent="0.2"/>
    <row r="33" spans="1:7" ht="18" customHeight="1" x14ac:dyDescent="0.2">
      <c r="A33" s="306" t="s">
        <v>99</v>
      </c>
      <c r="B33" s="307" t="s">
        <v>18</v>
      </c>
      <c r="C33" s="308" t="s">
        <v>0</v>
      </c>
      <c r="D33" s="309" t="s">
        <v>86</v>
      </c>
      <c r="E33" s="306" t="s">
        <v>100</v>
      </c>
      <c r="F33" s="345" t="s">
        <v>113</v>
      </c>
      <c r="G33" s="306" t="s">
        <v>108</v>
      </c>
    </row>
    <row r="34" spans="1:7" ht="18" customHeight="1" x14ac:dyDescent="0.2">
      <c r="A34" s="371" t="s">
        <v>121</v>
      </c>
      <c r="B34" s="318">
        <f>+Continental!F43</f>
        <v>-375187.48</v>
      </c>
      <c r="C34" s="319">
        <f>+B34/$P$11</f>
        <v>-63162.875420875411</v>
      </c>
      <c r="D34" s="65">
        <f>+Continental!A43</f>
        <v>36929</v>
      </c>
      <c r="E34" t="s">
        <v>91</v>
      </c>
      <c r="F34" t="s">
        <v>127</v>
      </c>
    </row>
    <row r="35" spans="1:7" ht="18" customHeight="1" x14ac:dyDescent="0.2">
      <c r="A35" s="372" t="s">
        <v>105</v>
      </c>
      <c r="B35" s="318">
        <f>+burlington!D42</f>
        <v>-369873.14</v>
      </c>
      <c r="C35" s="319">
        <f>+B35/$P$10</f>
        <v>-63552.085910652917</v>
      </c>
      <c r="D35" s="326">
        <f>+burlington!A42</f>
        <v>36929</v>
      </c>
      <c r="E35" s="323" t="s">
        <v>91</v>
      </c>
      <c r="F35" t="s">
        <v>111</v>
      </c>
    </row>
    <row r="36" spans="1:7" ht="18" customHeight="1" x14ac:dyDescent="0.2">
      <c r="A36" s="371" t="s">
        <v>1</v>
      </c>
      <c r="B36" s="318">
        <f>+C36*$P$10</f>
        <v>-331856.40000000002</v>
      </c>
      <c r="C36" s="319">
        <f>+NW!$F$41</f>
        <v>-57020</v>
      </c>
      <c r="D36" s="326">
        <f>+NW!B41</f>
        <v>36929</v>
      </c>
      <c r="E36" t="s">
        <v>90</v>
      </c>
      <c r="F36" t="s">
        <v>111</v>
      </c>
    </row>
    <row r="37" spans="1:7" ht="18" customHeight="1" x14ac:dyDescent="0.2">
      <c r="A37" s="371" t="s">
        <v>115</v>
      </c>
      <c r="B37" s="318">
        <f>+EOG!J41</f>
        <v>-317230.74</v>
      </c>
      <c r="C37" s="319">
        <f>+B37/$P$11</f>
        <v>-53405.84848484848</v>
      </c>
      <c r="D37" s="326">
        <f>+EOG!A41</f>
        <v>36929</v>
      </c>
      <c r="E37" t="s">
        <v>91</v>
      </c>
      <c r="F37" t="s">
        <v>114</v>
      </c>
    </row>
    <row r="38" spans="1:7" ht="18" customHeight="1" x14ac:dyDescent="0.2">
      <c r="A38" s="372" t="s">
        <v>30</v>
      </c>
      <c r="B38" s="318">
        <f>+C38*$P$10</f>
        <v>-250242.54</v>
      </c>
      <c r="C38" s="319">
        <f>+williams!J40</f>
        <v>-42997</v>
      </c>
      <c r="D38" s="326">
        <f>+williams!A40</f>
        <v>36929</v>
      </c>
      <c r="E38" s="323" t="s">
        <v>90</v>
      </c>
      <c r="F38" s="323" t="s">
        <v>127</v>
      </c>
    </row>
    <row r="39" spans="1:7" ht="18" customHeight="1" x14ac:dyDescent="0.2">
      <c r="A39" s="371" t="s">
        <v>7</v>
      </c>
      <c r="B39" s="318">
        <f>+C39*$P$10</f>
        <v>-217330.44</v>
      </c>
      <c r="C39" s="319">
        <f>+Amoco!D40</f>
        <v>-37342</v>
      </c>
      <c r="D39" s="65">
        <f>+Amoco!A40</f>
        <v>36929</v>
      </c>
      <c r="E39" t="s">
        <v>90</v>
      </c>
      <c r="F39" t="s">
        <v>111</v>
      </c>
    </row>
    <row r="40" spans="1:7" ht="18" customHeight="1" x14ac:dyDescent="0.2">
      <c r="A40" s="371" t="s">
        <v>131</v>
      </c>
      <c r="B40" s="403">
        <f>+GPM!F54</f>
        <v>-189816.04999999993</v>
      </c>
      <c r="C40" s="342">
        <f>+B40/$P$11</f>
        <v>-31955.56397306396</v>
      </c>
      <c r="D40" s="65">
        <f>+GPM!A40</f>
        <v>36929</v>
      </c>
      <c r="E40" t="s">
        <v>91</v>
      </c>
      <c r="F40" t="s">
        <v>112</v>
      </c>
      <c r="G40" t="s">
        <v>132</v>
      </c>
    </row>
    <row r="41" spans="1:7" ht="18" customHeight="1" x14ac:dyDescent="0.2">
      <c r="A41" s="301" t="s">
        <v>107</v>
      </c>
      <c r="B41" s="318">
        <f>SUM(B34:B40)</f>
        <v>-2051536.79</v>
      </c>
      <c r="C41" s="319">
        <f>SUM(C34:C40)</f>
        <v>-349435.37378944072</v>
      </c>
      <c r="D41" s="323"/>
    </row>
    <row r="42" spans="1:7" ht="18" customHeight="1" x14ac:dyDescent="0.2">
      <c r="B42" s="318"/>
      <c r="C42" s="319"/>
    </row>
    <row r="43" spans="1:7" ht="18" customHeight="1" x14ac:dyDescent="0.2">
      <c r="F43" s="401"/>
    </row>
    <row r="44" spans="1:7" ht="18" customHeight="1" thickBot="1" x14ac:dyDescent="0.25">
      <c r="A44" s="34" t="s">
        <v>101</v>
      </c>
      <c r="B44" s="316">
        <f>+B41+B30</f>
        <v>4756383.9700000007</v>
      </c>
      <c r="C44" s="317">
        <f>+C41+C30</f>
        <v>798324.06944010558</v>
      </c>
    </row>
    <row r="45" spans="1:7" ht="18" customHeight="1" thickTop="1" x14ac:dyDescent="0.2"/>
    <row r="46" spans="1:7" x14ac:dyDescent="0.2">
      <c r="C46" s="356"/>
    </row>
    <row r="47" spans="1:7" x14ac:dyDescent="0.2">
      <c r="A47" s="34" t="s">
        <v>102</v>
      </c>
    </row>
    <row r="52" spans="2:5" x14ac:dyDescent="0.2">
      <c r="C52" s="261"/>
      <c r="E52" s="354"/>
    </row>
    <row r="59" spans="2:5" x14ac:dyDescent="0.2">
      <c r="B59" s="320"/>
      <c r="C59" s="341"/>
    </row>
    <row r="60" spans="2:5" x14ac:dyDescent="0.2">
      <c r="B60" s="261"/>
    </row>
    <row r="61" spans="2:5" x14ac:dyDescent="0.2">
      <c r="B61" s="261"/>
    </row>
    <row r="62" spans="2:5" x14ac:dyDescent="0.2">
      <c r="B62" s="261"/>
    </row>
    <row r="63" spans="2:5" x14ac:dyDescent="0.2">
      <c r="B63" s="261"/>
      <c r="D63" s="64"/>
    </row>
    <row r="64" spans="2:5" x14ac:dyDescent="0.2">
      <c r="B64" s="261"/>
      <c r="C64" s="356"/>
    </row>
    <row r="65" spans="2:5" x14ac:dyDescent="0.2">
      <c r="B65" s="261"/>
      <c r="C65" s="356"/>
      <c r="D65" s="349"/>
      <c r="E65" s="357"/>
    </row>
    <row r="66" spans="2:5" x14ac:dyDescent="0.2">
      <c r="B66" s="261"/>
      <c r="C66" s="356"/>
      <c r="D66" s="272"/>
    </row>
    <row r="67" spans="2:5" x14ac:dyDescent="0.2">
      <c r="B67" s="261"/>
      <c r="C67" s="356"/>
      <c r="D67" s="272"/>
    </row>
    <row r="68" spans="2:5" x14ac:dyDescent="0.2">
      <c r="B68" s="261"/>
      <c r="C68" s="356"/>
      <c r="D68" s="31"/>
    </row>
    <row r="69" spans="2:5" x14ac:dyDescent="0.2">
      <c r="B69" s="261"/>
      <c r="C69" s="356"/>
      <c r="D69" s="358"/>
    </row>
    <row r="70" spans="2:5" x14ac:dyDescent="0.2">
      <c r="B70" s="350"/>
    </row>
    <row r="71" spans="2:5" x14ac:dyDescent="0.2">
      <c r="B71" s="350"/>
      <c r="D71" s="64"/>
    </row>
    <row r="72" spans="2:5" x14ac:dyDescent="0.2">
      <c r="B72" s="349"/>
      <c r="C72" s="261"/>
    </row>
    <row r="73" spans="2:5" x14ac:dyDescent="0.2">
      <c r="B73" s="349"/>
      <c r="C73" s="261"/>
    </row>
    <row r="74" spans="2:5" x14ac:dyDescent="0.2">
      <c r="B74" s="350"/>
      <c r="C74" s="261"/>
      <c r="D74" s="64"/>
    </row>
    <row r="75" spans="2:5" x14ac:dyDescent="0.2">
      <c r="B75" s="350"/>
      <c r="D75" s="64"/>
    </row>
    <row r="76" spans="2:5" x14ac:dyDescent="0.2">
      <c r="B76" s="350"/>
    </row>
    <row r="77" spans="2:5" x14ac:dyDescent="0.2">
      <c r="B77" s="320"/>
      <c r="C77" s="327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B34" sqref="B34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73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47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13767</v>
      </c>
      <c r="C5" s="24">
        <v>15609</v>
      </c>
      <c r="D5" s="24">
        <f>+C5-B5</f>
        <v>1842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14914</v>
      </c>
      <c r="C6" s="51">
        <v>20338</v>
      </c>
      <c r="D6" s="24">
        <f t="shared" ref="D6:D36" si="0">+C6-B6</f>
        <v>5424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/>
      <c r="C7" s="51"/>
      <c r="D7" s="24">
        <f t="shared" si="0"/>
        <v>0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/>
      <c r="C8" s="24"/>
      <c r="D8" s="24">
        <f t="shared" si="0"/>
        <v>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50000</v>
      </c>
      <c r="C10" s="24">
        <v>45920</v>
      </c>
      <c r="D10" s="24">
        <f t="shared" si="0"/>
        <v>-4080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24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23"/>
      <c r="W34" s="323"/>
      <c r="X34" s="323"/>
      <c r="Y34" s="323"/>
      <c r="Z34" s="149"/>
      <c r="AA34" s="150"/>
      <c r="AB34" s="150"/>
      <c r="AC34" s="150"/>
      <c r="AD34" s="323"/>
      <c r="AE34" s="323"/>
      <c r="AF34" s="323"/>
      <c r="AG34" s="323"/>
      <c r="AH34" s="323"/>
      <c r="AI34" s="323"/>
      <c r="AJ34" s="323"/>
      <c r="AK34" s="323"/>
      <c r="AL34" s="323"/>
      <c r="AM34" s="323"/>
      <c r="AN34" s="323"/>
      <c r="AO34" s="323"/>
      <c r="AP34" s="323"/>
      <c r="AQ34" s="323"/>
      <c r="AR34" s="323"/>
      <c r="AS34" s="323"/>
      <c r="AT34" s="323"/>
      <c r="AU34" s="323"/>
      <c r="AV34" s="323"/>
      <c r="AW34" s="323"/>
      <c r="AX34" s="323"/>
      <c r="AY34" s="323"/>
      <c r="AZ34" s="323"/>
      <c r="BA34" s="323"/>
      <c r="BB34" s="323"/>
      <c r="BC34" s="323"/>
      <c r="BD34" s="323"/>
      <c r="BE34" s="323"/>
      <c r="BF34" s="323"/>
      <c r="BG34" s="323"/>
      <c r="BH34" s="323"/>
      <c r="BI34" s="323"/>
      <c r="BJ34" s="323"/>
      <c r="BK34" s="323"/>
      <c r="BL34" s="323"/>
      <c r="BM34" s="323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23"/>
      <c r="W35" s="323"/>
      <c r="X35" s="323"/>
      <c r="Y35" s="323"/>
      <c r="Z35" s="149"/>
      <c r="AA35" s="150"/>
      <c r="AB35" s="150"/>
      <c r="AC35" s="150"/>
      <c r="AD35" s="323"/>
      <c r="AE35" s="323"/>
      <c r="AF35" s="323"/>
      <c r="AG35" s="323"/>
      <c r="AH35" s="323"/>
      <c r="AI35" s="323"/>
      <c r="AJ35" s="323"/>
      <c r="AK35" s="323"/>
      <c r="AL35" s="323"/>
      <c r="AM35" s="323"/>
      <c r="AN35" s="323"/>
      <c r="AO35" s="323"/>
      <c r="AP35" s="323"/>
      <c r="AQ35" s="323"/>
      <c r="AR35" s="323"/>
      <c r="AS35" s="323"/>
      <c r="AT35" s="323"/>
      <c r="AU35" s="323"/>
      <c r="AV35" s="323"/>
      <c r="AW35" s="323"/>
      <c r="AX35" s="323"/>
      <c r="AY35" s="323"/>
      <c r="AZ35" s="323"/>
      <c r="BA35" s="323"/>
      <c r="BB35" s="323"/>
      <c r="BC35" s="323"/>
      <c r="BD35" s="323"/>
      <c r="BE35" s="323"/>
      <c r="BF35" s="323"/>
      <c r="BG35" s="323"/>
      <c r="BH35" s="323"/>
      <c r="BI35" s="323"/>
      <c r="BJ35" s="323"/>
      <c r="BK35" s="323"/>
      <c r="BL35" s="323"/>
      <c r="BM35" s="323"/>
    </row>
    <row r="36" spans="1:65" ht="14.1" customHeight="1" x14ac:dyDescent="0.2">
      <c r="A36" s="12"/>
      <c r="B36" s="24">
        <f>SUM(B5:B35)</f>
        <v>78681</v>
      </c>
      <c r="C36" s="24">
        <f>SUM(C5:C35)</f>
        <v>81867</v>
      </c>
      <c r="D36" s="24">
        <f t="shared" si="0"/>
        <v>3186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23"/>
      <c r="W36" s="323"/>
      <c r="X36" s="323"/>
      <c r="Y36" s="323"/>
      <c r="Z36" s="149"/>
      <c r="AA36" s="150"/>
      <c r="AB36" s="150"/>
      <c r="AC36" s="150"/>
      <c r="AD36" s="323"/>
      <c r="AE36" s="323"/>
      <c r="AF36" s="323"/>
      <c r="AG36" s="323"/>
      <c r="AH36" s="323"/>
      <c r="AI36" s="323"/>
      <c r="AJ36" s="323"/>
      <c r="AK36" s="323"/>
      <c r="AL36" s="323"/>
      <c r="AM36" s="323"/>
      <c r="AN36" s="323"/>
      <c r="AO36" s="323"/>
      <c r="AP36" s="323"/>
      <c r="AQ36" s="323"/>
      <c r="AR36" s="323"/>
      <c r="AS36" s="323"/>
      <c r="AT36" s="323"/>
      <c r="AU36" s="323"/>
      <c r="AV36" s="323"/>
      <c r="AW36" s="323"/>
      <c r="AX36" s="323"/>
      <c r="AY36" s="323"/>
      <c r="AZ36" s="323"/>
      <c r="BA36" s="323"/>
      <c r="BB36" s="323"/>
      <c r="BC36" s="323"/>
      <c r="BD36" s="323"/>
      <c r="BE36" s="323"/>
      <c r="BF36" s="323"/>
      <c r="BG36" s="323"/>
      <c r="BH36" s="323"/>
      <c r="BI36" s="323"/>
      <c r="BJ36" s="323"/>
      <c r="BK36" s="323"/>
      <c r="BL36" s="323"/>
      <c r="BM36" s="323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23"/>
      <c r="W37" s="323"/>
      <c r="X37" s="323"/>
      <c r="Y37" s="323"/>
      <c r="Z37" s="206"/>
      <c r="AA37" s="208"/>
      <c r="AB37" s="208"/>
      <c r="AC37" s="208"/>
      <c r="AD37" s="323"/>
      <c r="AE37" s="323"/>
      <c r="AF37" s="323"/>
      <c r="AG37" s="323"/>
      <c r="AH37" s="323"/>
      <c r="AI37" s="323"/>
      <c r="AJ37" s="323"/>
      <c r="AK37" s="323"/>
      <c r="AL37" s="323"/>
      <c r="AM37" s="323"/>
      <c r="AN37" s="323"/>
      <c r="AO37" s="323"/>
      <c r="AP37" s="323"/>
      <c r="AQ37" s="323"/>
      <c r="AR37" s="323"/>
      <c r="AS37" s="323"/>
      <c r="AT37" s="323"/>
      <c r="AU37" s="323"/>
      <c r="AV37" s="323"/>
      <c r="AW37" s="323"/>
      <c r="AX37" s="323"/>
      <c r="AY37" s="323"/>
      <c r="AZ37" s="323"/>
      <c r="BA37" s="323"/>
      <c r="BB37" s="323"/>
      <c r="BC37" s="323"/>
      <c r="BD37" s="323"/>
      <c r="BE37" s="323"/>
      <c r="BF37" s="323"/>
      <c r="BG37" s="323"/>
      <c r="BH37" s="323"/>
      <c r="BI37" s="323"/>
      <c r="BJ37" s="323"/>
      <c r="BK37" s="323"/>
      <c r="BL37" s="323"/>
      <c r="BM37" s="323"/>
    </row>
    <row r="38" spans="1:65" x14ac:dyDescent="0.2">
      <c r="B38" s="257">
        <v>36922</v>
      </c>
      <c r="C38" s="24"/>
      <c r="D38" s="395">
        <v>23447</v>
      </c>
      <c r="E38" s="2"/>
      <c r="G38" s="24"/>
      <c r="H38" s="24"/>
      <c r="I38" s="150"/>
      <c r="J38" s="323"/>
      <c r="K38" s="150"/>
      <c r="L38" s="150"/>
      <c r="M38" s="150"/>
      <c r="N38" s="323"/>
      <c r="O38" s="150"/>
      <c r="P38" s="150"/>
      <c r="Q38" s="150"/>
      <c r="R38" s="323"/>
      <c r="S38" s="150"/>
      <c r="T38" s="150"/>
      <c r="U38" s="150"/>
      <c r="V38" s="323"/>
      <c r="W38" s="323"/>
      <c r="X38" s="323"/>
      <c r="Y38" s="323"/>
      <c r="Z38" s="323"/>
      <c r="AA38" s="150"/>
      <c r="AB38" s="150"/>
      <c r="AC38" s="150"/>
      <c r="AD38" s="323"/>
      <c r="AE38" s="323"/>
      <c r="AF38" s="323"/>
      <c r="AG38" s="323"/>
      <c r="AH38" s="323"/>
      <c r="AI38" s="323"/>
      <c r="AJ38" s="323"/>
      <c r="AK38" s="323"/>
      <c r="AL38" s="323"/>
      <c r="AM38" s="323"/>
      <c r="AN38" s="323"/>
      <c r="AO38" s="323"/>
      <c r="AP38" s="323"/>
      <c r="AQ38" s="323"/>
      <c r="AR38" s="323"/>
      <c r="AS38" s="323"/>
      <c r="AT38" s="323"/>
      <c r="AU38" s="323"/>
      <c r="AV38" s="323"/>
      <c r="AW38" s="323"/>
      <c r="AX38" s="323"/>
      <c r="AY38" s="323"/>
      <c r="AZ38" s="323"/>
      <c r="BA38" s="323"/>
      <c r="BB38" s="323"/>
      <c r="BC38" s="323"/>
      <c r="BD38" s="323"/>
      <c r="BE38" s="323"/>
      <c r="BF38" s="323"/>
      <c r="BG38" s="323"/>
      <c r="BH38" s="323"/>
      <c r="BI38" s="323"/>
      <c r="BJ38" s="323"/>
      <c r="BK38" s="323"/>
      <c r="BL38" s="323"/>
      <c r="BM38" s="323"/>
    </row>
    <row r="39" spans="1:65" x14ac:dyDescent="0.2">
      <c r="B39" s="257"/>
      <c r="C39" s="24"/>
      <c r="D39" s="24"/>
      <c r="E39" s="2"/>
      <c r="G39" s="24"/>
      <c r="H39" s="24"/>
      <c r="I39" s="150"/>
      <c r="J39" s="323"/>
      <c r="K39" s="150"/>
      <c r="L39" s="150"/>
      <c r="M39" s="150"/>
      <c r="N39" s="323"/>
      <c r="O39" s="150"/>
      <c r="P39" s="150"/>
      <c r="Q39" s="150"/>
      <c r="R39" s="323"/>
      <c r="S39" s="150"/>
      <c r="T39" s="150"/>
      <c r="U39" s="150"/>
      <c r="V39" s="323"/>
      <c r="W39" s="323"/>
      <c r="X39" s="323"/>
      <c r="Y39" s="323"/>
      <c r="Z39" s="323"/>
      <c r="AA39" s="150"/>
      <c r="AB39" s="150"/>
      <c r="AC39" s="150"/>
      <c r="AD39" s="323"/>
      <c r="AE39" s="323"/>
      <c r="AF39" s="323"/>
      <c r="AG39" s="323"/>
      <c r="AH39" s="323"/>
      <c r="AI39" s="323"/>
      <c r="AJ39" s="323"/>
      <c r="AK39" s="323"/>
      <c r="AL39" s="323"/>
      <c r="AM39" s="323"/>
      <c r="AN39" s="323"/>
      <c r="AO39" s="323"/>
      <c r="AP39" s="323"/>
      <c r="AQ39" s="323"/>
      <c r="AR39" s="323"/>
      <c r="AS39" s="323"/>
      <c r="AT39" s="323"/>
      <c r="AU39" s="323"/>
      <c r="AV39" s="323"/>
      <c r="AW39" s="323"/>
      <c r="AX39" s="323"/>
      <c r="AY39" s="323"/>
      <c r="AZ39" s="323"/>
      <c r="BA39" s="323"/>
      <c r="BB39" s="323"/>
      <c r="BC39" s="323"/>
      <c r="BD39" s="323"/>
      <c r="BE39" s="323"/>
      <c r="BF39" s="323"/>
      <c r="BG39" s="323"/>
      <c r="BH39" s="323"/>
      <c r="BI39" s="323"/>
      <c r="BJ39" s="323"/>
      <c r="BK39" s="323"/>
      <c r="BL39" s="323"/>
      <c r="BM39" s="323"/>
    </row>
    <row r="40" spans="1:65" ht="13.5" thickBot="1" x14ac:dyDescent="0.25">
      <c r="B40" s="257">
        <v>36929</v>
      </c>
      <c r="C40" s="24"/>
      <c r="D40" s="195">
        <f>+D36+D38</f>
        <v>26633</v>
      </c>
      <c r="E40" s="196"/>
      <c r="G40" s="24"/>
      <c r="H40" s="24"/>
      <c r="I40" s="150"/>
      <c r="J40" s="323"/>
      <c r="K40" s="150"/>
      <c r="L40" s="150"/>
      <c r="M40" s="150"/>
      <c r="N40" s="323"/>
      <c r="O40" s="150"/>
      <c r="P40" s="150"/>
      <c r="Q40" s="169"/>
      <c r="R40" s="323"/>
      <c r="S40" s="150"/>
      <c r="T40" s="150"/>
      <c r="U40" s="169"/>
      <c r="V40" s="323"/>
      <c r="W40" s="323"/>
      <c r="X40" s="323"/>
      <c r="Y40" s="323"/>
      <c r="Z40" s="323"/>
      <c r="AA40" s="150"/>
      <c r="AB40" s="150"/>
      <c r="AC40" s="169"/>
      <c r="AD40" s="323"/>
      <c r="AE40" s="323"/>
      <c r="AF40" s="323"/>
      <c r="AG40" s="323"/>
      <c r="AH40" s="323"/>
      <c r="AI40" s="323"/>
      <c r="AJ40" s="323"/>
      <c r="AK40" s="323"/>
      <c r="AL40" s="323"/>
      <c r="AM40" s="323"/>
      <c r="AN40" s="323"/>
      <c r="AO40" s="323"/>
      <c r="AP40" s="323"/>
      <c r="AQ40" s="323"/>
      <c r="AR40" s="323"/>
      <c r="AS40" s="323"/>
      <c r="AT40" s="323"/>
      <c r="AU40" s="323"/>
      <c r="AV40" s="323"/>
      <c r="AW40" s="323"/>
      <c r="AX40" s="323"/>
      <c r="AY40" s="323"/>
      <c r="AZ40" s="323"/>
      <c r="BA40" s="323"/>
      <c r="BB40" s="323"/>
      <c r="BC40" s="323"/>
      <c r="BD40" s="323"/>
      <c r="BE40" s="323"/>
      <c r="BF40" s="323"/>
      <c r="BG40" s="323"/>
      <c r="BH40" s="323"/>
      <c r="BI40" s="323"/>
      <c r="BJ40" s="323"/>
      <c r="BK40" s="323"/>
      <c r="BL40" s="323"/>
      <c r="BM40" s="323"/>
    </row>
    <row r="41" spans="1:65" ht="13.5" thickTop="1" x14ac:dyDescent="0.2">
      <c r="B41" s="258"/>
      <c r="C41"/>
      <c r="D41"/>
      <c r="E41" s="2"/>
      <c r="I41" s="323"/>
      <c r="J41" s="323"/>
      <c r="K41" s="323"/>
      <c r="L41" s="323"/>
      <c r="M41" s="323"/>
      <c r="N41" s="323"/>
      <c r="O41" s="323"/>
      <c r="P41" s="323"/>
      <c r="Q41" s="323"/>
      <c r="R41" s="323"/>
      <c r="S41" s="323"/>
      <c r="T41" s="323"/>
      <c r="U41" s="323"/>
      <c r="V41" s="323"/>
      <c r="W41" s="323"/>
      <c r="X41" s="323"/>
      <c r="Y41" s="323"/>
      <c r="Z41" s="323"/>
      <c r="AA41" s="323"/>
      <c r="AB41" s="323"/>
      <c r="AC41" s="323"/>
      <c r="AD41" s="323"/>
      <c r="AE41" s="323"/>
      <c r="AF41" s="323"/>
      <c r="AG41" s="323"/>
      <c r="AH41" s="323"/>
      <c r="AI41" s="323"/>
      <c r="AJ41" s="323"/>
      <c r="AK41" s="323"/>
      <c r="AL41" s="323"/>
      <c r="AM41" s="323"/>
      <c r="AN41" s="323"/>
      <c r="AO41" s="323"/>
      <c r="AP41" s="323"/>
      <c r="AQ41" s="323"/>
      <c r="AR41" s="323"/>
      <c r="AS41" s="323"/>
      <c r="AT41" s="323"/>
      <c r="AU41" s="323"/>
      <c r="AV41" s="323"/>
      <c r="AW41" s="323"/>
      <c r="AX41" s="323"/>
      <c r="AY41" s="323"/>
      <c r="AZ41" s="323"/>
      <c r="BA41" s="323"/>
      <c r="BB41" s="323"/>
      <c r="BC41" s="323"/>
      <c r="BD41" s="323"/>
      <c r="BE41" s="323"/>
      <c r="BF41" s="323"/>
      <c r="BG41" s="323"/>
      <c r="BH41" s="323"/>
      <c r="BI41" s="323"/>
      <c r="BJ41" s="323"/>
      <c r="BK41" s="323"/>
      <c r="BL41" s="323"/>
      <c r="BM41" s="323"/>
    </row>
    <row r="42" spans="1:65" x14ac:dyDescent="0.2">
      <c r="B42" s="2"/>
      <c r="C42"/>
      <c r="D42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23"/>
      <c r="AB42" s="323"/>
      <c r="AC42" s="323"/>
      <c r="AD42" s="323"/>
      <c r="AE42" s="323"/>
      <c r="AF42" s="323"/>
      <c r="AG42" s="323"/>
      <c r="AH42" s="323"/>
      <c r="AI42" s="323"/>
      <c r="AJ42" s="323"/>
      <c r="AK42" s="323"/>
      <c r="AL42" s="323"/>
      <c r="AM42" s="323"/>
      <c r="AN42" s="323"/>
      <c r="AO42" s="323"/>
      <c r="AP42" s="323"/>
      <c r="AQ42" s="323"/>
      <c r="AR42" s="323"/>
      <c r="AS42" s="323"/>
      <c r="AT42" s="323"/>
      <c r="AU42" s="323"/>
      <c r="AV42" s="323"/>
      <c r="AW42" s="323"/>
      <c r="AX42" s="323"/>
      <c r="AY42" s="323"/>
      <c r="AZ42" s="323"/>
      <c r="BA42" s="323"/>
      <c r="BB42" s="323"/>
      <c r="BC42" s="323"/>
      <c r="BD42" s="323"/>
      <c r="BE42" s="323"/>
      <c r="BF42" s="323"/>
      <c r="BG42" s="323"/>
      <c r="BH42" s="323"/>
      <c r="BI42" s="323"/>
      <c r="BJ42" s="323"/>
      <c r="BK42" s="323"/>
      <c r="BL42" s="323"/>
      <c r="BM42" s="323"/>
    </row>
    <row r="43" spans="1:65" x14ac:dyDescent="0.2">
      <c r="B43"/>
      <c r="C43"/>
      <c r="D4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3"/>
      <c r="U43" s="323"/>
      <c r="V43" s="323"/>
      <c r="W43" s="323"/>
      <c r="X43" s="323"/>
      <c r="Y43" s="323"/>
      <c r="Z43" s="323"/>
      <c r="AA43" s="323"/>
      <c r="AB43" s="323"/>
      <c r="AC43" s="323"/>
      <c r="AD43" s="323"/>
      <c r="AE43" s="323"/>
      <c r="AF43" s="323"/>
      <c r="AG43" s="323"/>
      <c r="AH43" s="323"/>
      <c r="AI43" s="323"/>
      <c r="AJ43" s="323"/>
      <c r="AK43" s="323"/>
      <c r="AL43" s="323"/>
      <c r="AM43" s="323"/>
      <c r="AN43" s="323"/>
      <c r="AO43" s="323"/>
      <c r="AP43" s="323"/>
      <c r="AQ43" s="323"/>
      <c r="AR43" s="323"/>
      <c r="AS43" s="323"/>
      <c r="AT43" s="323"/>
      <c r="AU43" s="323"/>
      <c r="AV43" s="323"/>
      <c r="AW43" s="323"/>
      <c r="AX43" s="323"/>
      <c r="AY43" s="323"/>
      <c r="AZ43" s="323"/>
      <c r="BA43" s="323"/>
      <c r="BB43" s="323"/>
      <c r="BC43" s="323"/>
      <c r="BD43" s="323"/>
      <c r="BE43" s="323"/>
      <c r="BF43" s="323"/>
      <c r="BG43" s="323"/>
      <c r="BH43" s="323"/>
      <c r="BI43" s="323"/>
      <c r="BJ43" s="323"/>
      <c r="BK43" s="323"/>
      <c r="BL43" s="323"/>
      <c r="BM43" s="323"/>
    </row>
    <row r="44" spans="1:65" x14ac:dyDescent="0.2">
      <c r="B44"/>
      <c r="C44"/>
      <c r="D44"/>
      <c r="I44" s="323"/>
      <c r="J44" s="323"/>
      <c r="K44" s="323"/>
      <c r="L44" s="323"/>
      <c r="M44" s="323"/>
      <c r="N44" s="323"/>
      <c r="O44" s="323"/>
      <c r="P44" s="323"/>
      <c r="Q44" s="323"/>
      <c r="R44" s="323"/>
      <c r="S44" s="323"/>
      <c r="T44" s="323"/>
      <c r="U44" s="323"/>
      <c r="V44" s="323"/>
      <c r="W44" s="323"/>
      <c r="X44" s="323"/>
      <c r="Y44" s="323"/>
      <c r="Z44" s="323"/>
      <c r="AA44" s="323"/>
      <c r="AB44" s="323"/>
      <c r="AC44" s="323"/>
      <c r="AD44" s="323"/>
      <c r="AE44" s="323"/>
      <c r="AF44" s="323"/>
      <c r="AG44" s="323"/>
      <c r="AH44" s="323"/>
      <c r="AI44" s="323"/>
      <c r="AJ44" s="323"/>
      <c r="AK44" s="323"/>
      <c r="AL44" s="323"/>
      <c r="AM44" s="323"/>
      <c r="AN44" s="323"/>
      <c r="AO44" s="323"/>
      <c r="AP44" s="323"/>
      <c r="AQ44" s="323"/>
      <c r="AR44" s="323"/>
      <c r="AS44" s="323"/>
      <c r="AT44" s="323"/>
      <c r="AU44" s="323"/>
      <c r="AV44" s="323"/>
      <c r="AW44" s="323"/>
      <c r="AX44" s="323"/>
      <c r="AY44" s="323"/>
      <c r="AZ44" s="323"/>
      <c r="BA44" s="323"/>
      <c r="BB44" s="323"/>
      <c r="BC44" s="323"/>
      <c r="BD44" s="323"/>
      <c r="BE44" s="323"/>
      <c r="BF44" s="323"/>
      <c r="BG44" s="323"/>
      <c r="BH44" s="323"/>
      <c r="BI44" s="323"/>
      <c r="BJ44" s="323"/>
      <c r="BK44" s="323"/>
      <c r="BL44" s="323"/>
      <c r="BM44" s="323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workbookViewId="1">
      <selection activeCell="C11" sqref="C11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50</v>
      </c>
      <c r="C2" s="205"/>
      <c r="D2" s="12" t="s">
        <v>51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23742</v>
      </c>
      <c r="C4" s="11">
        <v>28000</v>
      </c>
      <c r="D4" s="11">
        <v>28926</v>
      </c>
      <c r="E4" s="11">
        <v>29000</v>
      </c>
      <c r="F4" s="25">
        <f>+E4+C4-D4-B4</f>
        <v>4332</v>
      </c>
      <c r="G4" s="25"/>
    </row>
    <row r="5" spans="1:7" x14ac:dyDescent="0.2">
      <c r="A5" s="41">
        <v>2</v>
      </c>
      <c r="B5" s="11">
        <v>25772</v>
      </c>
      <c r="C5" s="11">
        <v>24000</v>
      </c>
      <c r="D5" s="11">
        <v>29350</v>
      </c>
      <c r="E5" s="11">
        <v>28000</v>
      </c>
      <c r="F5" s="25">
        <f t="shared" ref="F5:F34" si="0">+E5+C5-D5-B5</f>
        <v>-3122</v>
      </c>
      <c r="G5" s="25"/>
    </row>
    <row r="6" spans="1:7" x14ac:dyDescent="0.2">
      <c r="A6" s="41">
        <v>3</v>
      </c>
      <c r="B6" s="11">
        <v>28925</v>
      </c>
      <c r="C6" s="11">
        <v>29000</v>
      </c>
      <c r="D6" s="11">
        <v>31218</v>
      </c>
      <c r="E6" s="11">
        <v>33000</v>
      </c>
      <c r="F6" s="25">
        <f t="shared" si="0"/>
        <v>1857</v>
      </c>
      <c r="G6" s="25"/>
    </row>
    <row r="7" spans="1:7" x14ac:dyDescent="0.2">
      <c r="A7" s="41">
        <v>4</v>
      </c>
      <c r="B7" s="11">
        <v>29195</v>
      </c>
      <c r="C7" s="11">
        <v>29000</v>
      </c>
      <c r="D7" s="11">
        <v>31373</v>
      </c>
      <c r="E7" s="11">
        <v>33000</v>
      </c>
      <c r="F7" s="25">
        <f t="shared" si="0"/>
        <v>1432</v>
      </c>
      <c r="G7" s="25"/>
    </row>
    <row r="8" spans="1:7" x14ac:dyDescent="0.2">
      <c r="A8" s="41">
        <v>5</v>
      </c>
      <c r="B8" s="11">
        <v>27753</v>
      </c>
      <c r="C8" s="11">
        <v>29000</v>
      </c>
      <c r="D8" s="11">
        <v>33284</v>
      </c>
      <c r="E8" s="11">
        <v>33000</v>
      </c>
      <c r="F8" s="25">
        <f t="shared" si="0"/>
        <v>963</v>
      </c>
      <c r="G8" s="25"/>
    </row>
    <row r="9" spans="1:7" x14ac:dyDescent="0.2">
      <c r="A9" s="41">
        <v>6</v>
      </c>
      <c r="B9" s="11">
        <v>25925</v>
      </c>
      <c r="C9" s="11">
        <v>24000</v>
      </c>
      <c r="D9" s="11">
        <v>33912</v>
      </c>
      <c r="E9" s="11">
        <v>28000</v>
      </c>
      <c r="F9" s="25">
        <f t="shared" si="0"/>
        <v>-7837</v>
      </c>
      <c r="G9" s="25"/>
    </row>
    <row r="10" spans="1:7" x14ac:dyDescent="0.2">
      <c r="A10" s="41">
        <v>7</v>
      </c>
      <c r="B10" s="11">
        <v>26828</v>
      </c>
      <c r="C10" s="11">
        <v>24000</v>
      </c>
      <c r="D10" s="11">
        <v>28661</v>
      </c>
      <c r="E10" s="11">
        <v>28000</v>
      </c>
      <c r="F10" s="25">
        <f t="shared" si="0"/>
        <v>-3489</v>
      </c>
      <c r="G10" s="25"/>
    </row>
    <row r="11" spans="1:7" x14ac:dyDescent="0.2">
      <c r="A11" s="41">
        <v>8</v>
      </c>
      <c r="B11" s="11"/>
      <c r="C11" s="11"/>
      <c r="D11" s="11"/>
      <c r="E11" s="11"/>
      <c r="F11" s="25">
        <f t="shared" si="0"/>
        <v>0</v>
      </c>
      <c r="G11" s="25"/>
    </row>
    <row r="12" spans="1:7" x14ac:dyDescent="0.2">
      <c r="A12" s="41">
        <v>9</v>
      </c>
      <c r="B12" s="11"/>
      <c r="C12" s="11"/>
      <c r="D12" s="11"/>
      <c r="E12" s="11"/>
      <c r="F12" s="25">
        <f t="shared" si="0"/>
        <v>0</v>
      </c>
      <c r="G12" s="25"/>
    </row>
    <row r="13" spans="1:7" x14ac:dyDescent="0.2">
      <c r="A13" s="41">
        <v>10</v>
      </c>
      <c r="B13" s="11"/>
      <c r="C13" s="11"/>
      <c r="D13" s="11"/>
      <c r="E13" s="11"/>
      <c r="F13" s="25">
        <f t="shared" si="0"/>
        <v>0</v>
      </c>
      <c r="G13" s="25"/>
    </row>
    <row r="14" spans="1:7" x14ac:dyDescent="0.2">
      <c r="A14" s="41">
        <v>11</v>
      </c>
      <c r="B14" s="11"/>
      <c r="C14" s="11"/>
      <c r="D14" s="11"/>
      <c r="E14" s="11"/>
      <c r="F14" s="25">
        <f t="shared" si="0"/>
        <v>0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188140</v>
      </c>
      <c r="C35" s="11">
        <f>SUM(C4:C34)</f>
        <v>187000</v>
      </c>
      <c r="D35" s="11">
        <f>SUM(D4:D34)</f>
        <v>216724</v>
      </c>
      <c r="E35" s="11">
        <f>SUM(E4:E34)</f>
        <v>212000</v>
      </c>
      <c r="F35" s="11">
        <f>+E35-D35+C35-B35</f>
        <v>-5864</v>
      </c>
    </row>
    <row r="36" spans="1:7" x14ac:dyDescent="0.2">
      <c r="A36" s="45"/>
      <c r="C36" s="14">
        <f>+C35-B35</f>
        <v>-1140</v>
      </c>
      <c r="D36" s="14"/>
      <c r="E36" s="14">
        <f>+E35-D35</f>
        <v>-4724</v>
      </c>
      <c r="F36" s="47"/>
    </row>
    <row r="37" spans="1:7" x14ac:dyDescent="0.2">
      <c r="C37" s="15">
        <f>+summary!P11</f>
        <v>5.94</v>
      </c>
      <c r="D37" s="15"/>
      <c r="E37" s="15">
        <f>+C37</f>
        <v>5.94</v>
      </c>
      <c r="F37" s="24"/>
    </row>
    <row r="38" spans="1:7" x14ac:dyDescent="0.2">
      <c r="C38" s="48">
        <f>+C37*C36</f>
        <v>-6771.6</v>
      </c>
      <c r="D38" s="47"/>
      <c r="E38" s="48">
        <f>+E37*E36</f>
        <v>-28060.560000000001</v>
      </c>
      <c r="F38" s="46">
        <f>+E38+C38</f>
        <v>-34832.160000000003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36922</v>
      </c>
      <c r="C40" s="344">
        <v>2193759.63</v>
      </c>
      <c r="D40" s="344"/>
      <c r="E40" s="344">
        <v>-1991340.89</v>
      </c>
      <c r="F40" s="106">
        <f>+E40+C40</f>
        <v>202418.74</v>
      </c>
      <c r="G40" s="25"/>
    </row>
    <row r="41" spans="1:7" x14ac:dyDescent="0.2">
      <c r="A41" s="57">
        <v>36929</v>
      </c>
      <c r="C41" s="50">
        <f>+C40+C38</f>
        <v>2186988.0299999998</v>
      </c>
      <c r="D41" s="50"/>
      <c r="E41" s="50">
        <f>+E40+E38</f>
        <v>-2019401.45</v>
      </c>
      <c r="F41" s="106">
        <f>+E41+C41</f>
        <v>167586.57999999984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80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22" sqref="D22"/>
    </sheetView>
    <sheetView topLeftCell="A2" workbookViewId="1">
      <selection activeCell="C6" sqref="C6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53</v>
      </c>
    </row>
    <row r="5" spans="1:13" x14ac:dyDescent="0.2">
      <c r="A5" s="87">
        <v>56339</v>
      </c>
      <c r="B5" s="340">
        <f>212516+34295</f>
        <v>246811</v>
      </c>
      <c r="C5" s="90">
        <v>243166</v>
      </c>
      <c r="D5" s="90">
        <f>+C5-B5</f>
        <v>-3645</v>
      </c>
      <c r="E5" s="291"/>
      <c r="F5" s="289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91"/>
      <c r="F6" s="289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340">
        <f>155110+25685</f>
        <v>180795</v>
      </c>
      <c r="C7" s="90">
        <v>188501</v>
      </c>
      <c r="D7" s="90">
        <f t="shared" si="0"/>
        <v>7706</v>
      </c>
      <c r="E7" s="291"/>
      <c r="F7" s="289"/>
      <c r="L7" t="s">
        <v>27</v>
      </c>
      <c r="M7">
        <v>7.6</v>
      </c>
    </row>
    <row r="8" spans="1:13" x14ac:dyDescent="0.2">
      <c r="A8" s="87">
        <v>500239</v>
      </c>
      <c r="B8" s="340">
        <f>223472+38168</f>
        <v>261640</v>
      </c>
      <c r="C8" s="90">
        <v>268852</v>
      </c>
      <c r="D8" s="90">
        <f t="shared" si="0"/>
        <v>7212</v>
      </c>
      <c r="E8" s="291"/>
      <c r="F8" s="289"/>
    </row>
    <row r="9" spans="1:13" x14ac:dyDescent="0.2">
      <c r="A9" s="87">
        <v>500293</v>
      </c>
      <c r="B9" s="340">
        <f>112905+18942</f>
        <v>131847</v>
      </c>
      <c r="C9" s="90">
        <v>171344</v>
      </c>
      <c r="D9" s="90">
        <f t="shared" si="0"/>
        <v>39497</v>
      </c>
      <c r="E9" s="291"/>
      <c r="F9" s="289"/>
    </row>
    <row r="10" spans="1:13" x14ac:dyDescent="0.2">
      <c r="A10" s="87">
        <v>500302</v>
      </c>
      <c r="B10" s="90"/>
      <c r="C10" s="340">
        <v>2209</v>
      </c>
      <c r="D10" s="90">
        <f t="shared" si="0"/>
        <v>2209</v>
      </c>
      <c r="E10" s="291"/>
      <c r="F10" s="289"/>
    </row>
    <row r="11" spans="1:13" x14ac:dyDescent="0.2">
      <c r="A11" s="87">
        <v>500303</v>
      </c>
      <c r="B11" s="340">
        <f>56516+6278</f>
        <v>62794</v>
      </c>
      <c r="C11" s="90">
        <v>46349</v>
      </c>
      <c r="D11" s="90">
        <f t="shared" si="0"/>
        <v>-16445</v>
      </c>
      <c r="E11" s="291"/>
      <c r="F11" s="289"/>
    </row>
    <row r="12" spans="1:13" x14ac:dyDescent="0.2">
      <c r="A12" s="91">
        <v>500305</v>
      </c>
      <c r="B12" s="340">
        <f>302198+39236</f>
        <v>341434</v>
      </c>
      <c r="C12" s="90">
        <v>387648</v>
      </c>
      <c r="D12" s="90">
        <f t="shared" si="0"/>
        <v>46214</v>
      </c>
      <c r="E12" s="292"/>
      <c r="F12" s="289"/>
    </row>
    <row r="13" spans="1:13" x14ac:dyDescent="0.2">
      <c r="A13" s="87">
        <v>500307</v>
      </c>
      <c r="B13" s="340">
        <f>13137+2482</f>
        <v>15619</v>
      </c>
      <c r="C13" s="90">
        <v>15477</v>
      </c>
      <c r="D13" s="90">
        <f t="shared" si="0"/>
        <v>-142</v>
      </c>
      <c r="E13" s="291"/>
      <c r="F13" s="289"/>
    </row>
    <row r="14" spans="1:13" x14ac:dyDescent="0.2">
      <c r="A14" s="87">
        <v>500313</v>
      </c>
      <c r="B14" s="90">
        <v>929</v>
      </c>
      <c r="C14" s="340"/>
      <c r="D14" s="90">
        <f t="shared" si="0"/>
        <v>-929</v>
      </c>
      <c r="E14" s="291"/>
      <c r="F14" s="289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91"/>
      <c r="F15" s="289"/>
    </row>
    <row r="16" spans="1:13" x14ac:dyDescent="0.2">
      <c r="A16" s="87">
        <v>500655</v>
      </c>
      <c r="B16" s="359">
        <v>30421</v>
      </c>
      <c r="C16" s="90"/>
      <c r="D16" s="90">
        <f t="shared" si="0"/>
        <v>-30421</v>
      </c>
      <c r="E16" s="291"/>
      <c r="F16" s="289"/>
    </row>
    <row r="17" spans="1:6" x14ac:dyDescent="0.2">
      <c r="A17" s="87">
        <v>500657</v>
      </c>
      <c r="B17" s="383">
        <f>49455+8000</f>
        <v>57455</v>
      </c>
      <c r="C17" s="88">
        <v>54576</v>
      </c>
      <c r="D17" s="94">
        <f t="shared" si="0"/>
        <v>-2879</v>
      </c>
      <c r="E17" s="291"/>
      <c r="F17" s="289"/>
    </row>
    <row r="18" spans="1:6" x14ac:dyDescent="0.2">
      <c r="A18" s="87"/>
      <c r="B18" s="88"/>
      <c r="C18" s="88"/>
      <c r="D18" s="88">
        <f>SUM(D5:D17)</f>
        <v>48377</v>
      </c>
      <c r="E18" s="291"/>
      <c r="F18" s="289"/>
    </row>
    <row r="19" spans="1:6" x14ac:dyDescent="0.2">
      <c r="A19" s="87" t="s">
        <v>87</v>
      </c>
      <c r="B19" s="88"/>
      <c r="C19" s="88"/>
      <c r="D19" s="95">
        <f>+summary!P11</f>
        <v>5.94</v>
      </c>
      <c r="E19" s="293"/>
      <c r="F19" s="289"/>
    </row>
    <row r="20" spans="1:6" x14ac:dyDescent="0.2">
      <c r="A20" s="87"/>
      <c r="B20" s="88"/>
      <c r="C20" s="88"/>
      <c r="D20" s="96">
        <f>+D19*D18</f>
        <v>287359.38</v>
      </c>
      <c r="E20" s="209"/>
      <c r="F20" s="290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36922</v>
      </c>
      <c r="B22" s="88"/>
      <c r="C22" s="88"/>
      <c r="D22" s="381">
        <v>-21431.040000000001</v>
      </c>
      <c r="E22" s="209"/>
      <c r="F22" s="66"/>
    </row>
    <row r="23" spans="1:6" x14ac:dyDescent="0.2">
      <c r="A23" s="87"/>
      <c r="B23" s="88"/>
      <c r="C23" s="88"/>
      <c r="D23" s="347"/>
      <c r="E23" s="209"/>
      <c r="F23" s="66"/>
    </row>
    <row r="24" spans="1:6" ht="13.5" thickBot="1" x14ac:dyDescent="0.25">
      <c r="A24" s="99">
        <v>36929</v>
      </c>
      <c r="B24" s="88"/>
      <c r="C24" s="88"/>
      <c r="D24" s="382">
        <f>+D22+D20</f>
        <v>265928.34000000003</v>
      </c>
      <c r="E24" s="209"/>
      <c r="F24" s="66"/>
    </row>
    <row r="25" spans="1:6" ht="13.5" thickTop="1" x14ac:dyDescent="0.2">
      <c r="E25" s="294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workbookViewId="1">
      <selection activeCell="D12" sqref="D1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165115</v>
      </c>
      <c r="C5" s="11">
        <v>173665</v>
      </c>
      <c r="D5" s="11"/>
      <c r="E5" s="11">
        <v>7230</v>
      </c>
      <c r="F5" s="11">
        <f>+D5+C5-E5-B5</f>
        <v>1320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157731</v>
      </c>
      <c r="C6" s="11">
        <v>163949</v>
      </c>
      <c r="D6" s="11"/>
      <c r="E6" s="11">
        <v>5133</v>
      </c>
      <c r="F6" s="11">
        <f>+D6+C6-E6-B6</f>
        <v>1085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169391</v>
      </c>
      <c r="C7" s="11">
        <v>176791</v>
      </c>
      <c r="D7" s="11"/>
      <c r="E7" s="11">
        <v>6746</v>
      </c>
      <c r="F7" s="11">
        <f>+D7+C7-E7-B7</f>
        <v>654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182226</v>
      </c>
      <c r="C8" s="11">
        <v>188682</v>
      </c>
      <c r="D8" s="11"/>
      <c r="E8" s="11">
        <v>8413</v>
      </c>
      <c r="F8" s="11">
        <f t="shared" ref="F8:F35" si="5">+D8+C8-E8-B8</f>
        <v>-1957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>
        <v>188863</v>
      </c>
      <c r="C9" s="11">
        <v>197263</v>
      </c>
      <c r="D9" s="11"/>
      <c r="E9" s="11">
        <v>6934</v>
      </c>
      <c r="F9" s="11">
        <f t="shared" si="5"/>
        <v>1466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>
        <v>173575</v>
      </c>
      <c r="C10" s="11">
        <v>182376</v>
      </c>
      <c r="D10" s="11"/>
      <c r="E10" s="11">
        <v>7301</v>
      </c>
      <c r="F10" s="11">
        <f t="shared" si="5"/>
        <v>1500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>
        <v>174084</v>
      </c>
      <c r="C11" s="11">
        <v>179047</v>
      </c>
      <c r="D11" s="11"/>
      <c r="E11" s="11">
        <v>3411</v>
      </c>
      <c r="F11" s="11">
        <f t="shared" si="5"/>
        <v>1552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5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5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5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5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5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5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5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5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5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5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5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1210985</v>
      </c>
      <c r="C36" s="11">
        <f>SUM(C5:C35)</f>
        <v>1261773</v>
      </c>
      <c r="D36" s="11"/>
      <c r="E36" s="11">
        <f>SUM(E5:E35)</f>
        <v>45168</v>
      </c>
      <c r="F36" s="11">
        <f>SUM(F5:F35)</f>
        <v>5620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36922</v>
      </c>
      <c r="F39" s="396">
        <v>-62640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36929</v>
      </c>
      <c r="F41" s="281">
        <f>+F39+F36</f>
        <v>-57020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9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D42" sqref="D42"/>
    </sheetView>
    <sheetView topLeftCell="A34" workbookViewId="1">
      <selection activeCell="A42" sqref="A42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76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37095</v>
      </c>
      <c r="C8" s="11">
        <v>37061</v>
      </c>
      <c r="D8" s="11">
        <f>+C8-B8</f>
        <v>-34</v>
      </c>
      <c r="E8" s="10"/>
      <c r="F8" s="11"/>
      <c r="G8" s="11"/>
      <c r="H8" s="11"/>
    </row>
    <row r="9" spans="1:8" x14ac:dyDescent="0.2">
      <c r="A9" s="10">
        <v>2</v>
      </c>
      <c r="B9" s="11">
        <v>48398</v>
      </c>
      <c r="C9" s="11">
        <v>47560</v>
      </c>
      <c r="D9" s="11">
        <f t="shared" ref="D9:D38" si="0">+C9-B9</f>
        <v>-838</v>
      </c>
      <c r="E9" s="10"/>
      <c r="F9" s="11"/>
      <c r="G9" s="11"/>
      <c r="H9" s="11"/>
    </row>
    <row r="10" spans="1:8" x14ac:dyDescent="0.2">
      <c r="A10" s="10">
        <v>3</v>
      </c>
      <c r="B10" s="11">
        <v>37220</v>
      </c>
      <c r="C10" s="11">
        <v>37061</v>
      </c>
      <c r="D10" s="11">
        <f t="shared" si="0"/>
        <v>-159</v>
      </c>
      <c r="E10" s="10"/>
      <c r="F10" s="11"/>
      <c r="G10" s="11"/>
      <c r="H10" s="11"/>
    </row>
    <row r="11" spans="1:8" x14ac:dyDescent="0.2">
      <c r="A11" s="10">
        <v>4</v>
      </c>
      <c r="B11" s="11">
        <v>37303</v>
      </c>
      <c r="C11" s="11">
        <v>37061</v>
      </c>
      <c r="D11" s="11">
        <f t="shared" si="0"/>
        <v>-242</v>
      </c>
      <c r="E11" s="10"/>
      <c r="F11" s="11"/>
      <c r="G11" s="11"/>
      <c r="H11" s="11"/>
    </row>
    <row r="12" spans="1:8" x14ac:dyDescent="0.2">
      <c r="A12" s="10">
        <v>5</v>
      </c>
      <c r="B12" s="11">
        <v>36998</v>
      </c>
      <c r="C12" s="11">
        <v>37061</v>
      </c>
      <c r="D12" s="11">
        <f t="shared" si="0"/>
        <v>63</v>
      </c>
      <c r="E12" s="10"/>
      <c r="F12" s="11"/>
      <c r="G12" s="11"/>
      <c r="H12" s="11"/>
    </row>
    <row r="13" spans="1:8" x14ac:dyDescent="0.2">
      <c r="A13" s="10">
        <v>6</v>
      </c>
      <c r="B13" s="11">
        <v>36966</v>
      </c>
      <c r="C13" s="11">
        <v>37061</v>
      </c>
      <c r="D13" s="11">
        <f t="shared" si="0"/>
        <v>95</v>
      </c>
      <c r="E13" s="10"/>
      <c r="F13" s="11"/>
      <c r="G13" s="11"/>
      <c r="H13" s="11"/>
    </row>
    <row r="14" spans="1:8" x14ac:dyDescent="0.2">
      <c r="A14" s="10">
        <v>7</v>
      </c>
      <c r="B14" s="11">
        <v>37003</v>
      </c>
      <c r="C14" s="11">
        <v>37061</v>
      </c>
      <c r="D14" s="11">
        <f t="shared" si="0"/>
        <v>58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270983</v>
      </c>
      <c r="C39" s="11">
        <f>SUM(C8:C38)</f>
        <v>269926</v>
      </c>
      <c r="D39" s="11">
        <f>SUM(D8:D38)</f>
        <v>-1057</v>
      </c>
      <c r="E39" s="10"/>
      <c r="F39" s="11"/>
      <c r="G39" s="11"/>
      <c r="H39" s="11"/>
    </row>
    <row r="40" spans="1:8" x14ac:dyDescent="0.2">
      <c r="A40" s="26"/>
      <c r="D40" s="75">
        <f>+summary!P11</f>
        <v>5.94</v>
      </c>
      <c r="E40" s="26"/>
      <c r="H40" s="75"/>
    </row>
    <row r="41" spans="1:8" x14ac:dyDescent="0.2">
      <c r="D41" s="197">
        <f>+D40*D39</f>
        <v>-6278.5800000000008</v>
      </c>
      <c r="F41" s="254"/>
      <c r="H41" s="197"/>
    </row>
    <row r="42" spans="1:8" x14ac:dyDescent="0.2">
      <c r="A42" s="57">
        <v>36922</v>
      </c>
      <c r="D42" s="397">
        <v>275224</v>
      </c>
      <c r="E42" s="57"/>
      <c r="H42" s="197"/>
    </row>
    <row r="43" spans="1:8" x14ac:dyDescent="0.2">
      <c r="A43" s="57">
        <v>36929</v>
      </c>
      <c r="D43" s="198">
        <f>+D42+D41</f>
        <v>268945.42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tabSelected="1" workbookViewId="0">
      <selection activeCell="C5" sqref="C5"/>
    </sheetView>
    <sheetView topLeftCell="A23" workbookViewId="1">
      <selection activeCell="B41" sqref="B41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10.140625" style="32" bestFit="1" customWidth="1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103</v>
      </c>
      <c r="G2" s="32"/>
      <c r="H2" s="15"/>
      <c r="I2" s="32"/>
      <c r="J2" s="32"/>
    </row>
    <row r="3" spans="1:10" x14ac:dyDescent="0.2">
      <c r="A3" s="2" t="s">
        <v>77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70">
        <v>36922</v>
      </c>
      <c r="C5" s="400">
        <v>16766.48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36929</v>
      </c>
      <c r="G7" s="32"/>
      <c r="H7" s="15"/>
      <c r="I7" s="32"/>
      <c r="J7" s="32"/>
    </row>
    <row r="8" spans="1:10" x14ac:dyDescent="0.2">
      <c r="A8" s="255">
        <v>60874</v>
      </c>
      <c r="B8" s="385">
        <v>954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5">
        <v>500248</v>
      </c>
      <c r="B10" s="212">
        <f>7635-6699-1024</f>
        <v>-88</v>
      </c>
      <c r="G10" s="32"/>
      <c r="H10" s="15"/>
      <c r="I10" s="32"/>
      <c r="J10" s="32"/>
    </row>
    <row r="11" spans="1:10" x14ac:dyDescent="0.2">
      <c r="A11" s="255">
        <v>500251</v>
      </c>
      <c r="B11" s="369">
        <f>3010-578-690</f>
        <v>1742</v>
      </c>
      <c r="G11" s="32"/>
      <c r="H11" s="15"/>
      <c r="I11" s="32"/>
      <c r="J11" s="32"/>
    </row>
    <row r="12" spans="1:10" x14ac:dyDescent="0.2">
      <c r="A12" s="255">
        <v>500254</v>
      </c>
      <c r="B12" s="369">
        <f>245-99</f>
        <v>146</v>
      </c>
      <c r="G12" s="32"/>
      <c r="H12" s="15"/>
      <c r="I12" s="32"/>
      <c r="J12" s="32"/>
    </row>
    <row r="13" spans="1:10" x14ac:dyDescent="0.2">
      <c r="A13" s="32">
        <v>500255</v>
      </c>
      <c r="B13" s="369">
        <f>4760-5568-933</f>
        <v>-1741</v>
      </c>
      <c r="G13" s="32"/>
      <c r="H13" s="15"/>
      <c r="I13" s="32"/>
      <c r="J13" s="32"/>
    </row>
    <row r="14" spans="1:10" x14ac:dyDescent="0.2">
      <c r="A14" s="32">
        <v>500262</v>
      </c>
      <c r="B14" s="369">
        <f>1750-550-401</f>
        <v>799</v>
      </c>
      <c r="G14" s="32"/>
      <c r="H14" s="15"/>
      <c r="I14" s="32"/>
      <c r="J14" s="32"/>
    </row>
    <row r="15" spans="1:10" x14ac:dyDescent="0.2">
      <c r="A15" s="296">
        <v>500267</v>
      </c>
      <c r="B15" s="370">
        <f>398642-358635-55468</f>
        <v>-15461</v>
      </c>
      <c r="G15" s="32"/>
      <c r="H15" s="15"/>
      <c r="I15" s="32"/>
      <c r="J15" s="32"/>
    </row>
    <row r="16" spans="1:10" x14ac:dyDescent="0.2">
      <c r="B16" s="14">
        <f>SUM(B8:B15)</f>
        <v>-13649</v>
      </c>
      <c r="G16" s="32"/>
      <c r="H16" s="15"/>
      <c r="I16" s="32"/>
      <c r="J16" s="32"/>
    </row>
    <row r="17" spans="1:10" x14ac:dyDescent="0.2">
      <c r="B17" s="15">
        <f>+B30</f>
        <v>5.94</v>
      </c>
      <c r="C17" s="201">
        <f>+B17*B16</f>
        <v>-81075.060000000012</v>
      </c>
      <c r="G17" s="32"/>
      <c r="H17" s="15"/>
      <c r="I17" s="32"/>
      <c r="J17" s="32"/>
    </row>
    <row r="18" spans="1:10" x14ac:dyDescent="0.2">
      <c r="C18" s="399">
        <f>+C17+C5</f>
        <v>-64308.580000000016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95</v>
      </c>
      <c r="G20" s="32"/>
      <c r="H20" s="15"/>
      <c r="I20" s="32"/>
      <c r="J20" s="32"/>
    </row>
    <row r="21" spans="1:10" x14ac:dyDescent="0.2">
      <c r="A21" s="2" t="s">
        <v>78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36922</v>
      </c>
      <c r="C24" s="398">
        <v>275313.71999999997</v>
      </c>
      <c r="G24" s="32"/>
      <c r="H24" s="15"/>
      <c r="I24" s="32"/>
      <c r="J24" s="32"/>
    </row>
    <row r="25" spans="1:10" x14ac:dyDescent="0.2">
      <c r="F25" s="272"/>
      <c r="G25" s="32"/>
      <c r="H25" s="15"/>
      <c r="I25" s="32"/>
      <c r="J25" s="32"/>
    </row>
    <row r="26" spans="1:10" x14ac:dyDescent="0.2">
      <c r="A26" s="57">
        <v>36929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+summary!P11</f>
        <v>5.94</v>
      </c>
      <c r="C30" s="201">
        <f>+B30*B29</f>
        <v>0</v>
      </c>
    </row>
    <row r="31" spans="1:10" x14ac:dyDescent="0.2">
      <c r="C31" s="399">
        <f>+C30+C24</f>
        <v>275313.71999999997</v>
      </c>
      <c r="E31" s="15"/>
    </row>
    <row r="33" spans="1:6" x14ac:dyDescent="0.2">
      <c r="E33" s="277"/>
    </row>
    <row r="34" spans="1:6" x14ac:dyDescent="0.2">
      <c r="A34" s="32" t="s">
        <v>95</v>
      </c>
      <c r="E34" s="15"/>
    </row>
    <row r="35" spans="1:6" x14ac:dyDescent="0.2">
      <c r="A35" s="32" t="s">
        <v>79</v>
      </c>
      <c r="E35" s="15"/>
    </row>
    <row r="38" spans="1:6" x14ac:dyDescent="0.2">
      <c r="A38" s="49">
        <v>36922</v>
      </c>
      <c r="C38" s="277">
        <v>467961.61</v>
      </c>
      <c r="E38" s="15"/>
      <c r="F38" s="272"/>
    </row>
    <row r="40" spans="1:6" x14ac:dyDescent="0.2">
      <c r="A40" s="251">
        <v>36929</v>
      </c>
    </row>
    <row r="41" spans="1:6" x14ac:dyDescent="0.2">
      <c r="A41" s="255">
        <v>500241</v>
      </c>
      <c r="B41" s="14"/>
    </row>
    <row r="42" spans="1:6" x14ac:dyDescent="0.2">
      <c r="A42" s="32">
        <v>500391</v>
      </c>
      <c r="B42" s="212">
        <v>1648</v>
      </c>
    </row>
    <row r="43" spans="1:6" x14ac:dyDescent="0.2">
      <c r="A43" s="32">
        <v>500392</v>
      </c>
      <c r="B43" s="259">
        <v>464</v>
      </c>
    </row>
    <row r="44" spans="1:6" x14ac:dyDescent="0.2">
      <c r="B44" s="14">
        <f>SUM(B41:B43)</f>
        <v>2112</v>
      </c>
    </row>
    <row r="45" spans="1:6" x14ac:dyDescent="0.2">
      <c r="B45" s="201">
        <f>+B30</f>
        <v>5.94</v>
      </c>
      <c r="C45" s="201">
        <f>+B45*B44</f>
        <v>12545.28</v>
      </c>
    </row>
    <row r="46" spans="1:6" x14ac:dyDescent="0.2">
      <c r="C46" s="260">
        <f>+C45+C38</f>
        <v>480506.89</v>
      </c>
      <c r="E46" s="206"/>
    </row>
    <row r="47" spans="1:6" x14ac:dyDescent="0.2">
      <c r="E47" s="218"/>
    </row>
    <row r="48" spans="1:6" x14ac:dyDescent="0.2">
      <c r="E48" s="206"/>
    </row>
    <row r="49" spans="1:5" x14ac:dyDescent="0.2">
      <c r="C49" s="355"/>
      <c r="E49" s="218"/>
    </row>
    <row r="50" spans="1:5" x14ac:dyDescent="0.2">
      <c r="A50" s="32" t="s">
        <v>95</v>
      </c>
    </row>
    <row r="51" spans="1:5" x14ac:dyDescent="0.2">
      <c r="A51" s="32">
        <v>21665</v>
      </c>
      <c r="C51" s="376">
        <v>73449.16</v>
      </c>
      <c r="E51" s="50"/>
    </row>
    <row r="52" spans="1:5" x14ac:dyDescent="0.2">
      <c r="A52" s="32">
        <v>22664</v>
      </c>
      <c r="C52" s="377">
        <v>23612.35</v>
      </c>
    </row>
    <row r="53" spans="1:5" x14ac:dyDescent="0.2">
      <c r="A53" s="32">
        <v>20248</v>
      </c>
      <c r="C53" s="47">
        <v>-15794</v>
      </c>
      <c r="D53" s="15"/>
      <c r="E53" s="15"/>
    </row>
    <row r="54" spans="1:5" x14ac:dyDescent="0.2">
      <c r="A54" s="32">
        <v>25873</v>
      </c>
      <c r="C54" s="47">
        <v>-259</v>
      </c>
      <c r="D54" s="15"/>
    </row>
    <row r="55" spans="1:5" x14ac:dyDescent="0.2">
      <c r="A55" s="32">
        <v>26758</v>
      </c>
      <c r="C55" s="47">
        <v>-596</v>
      </c>
      <c r="D55" s="15"/>
    </row>
    <row r="56" spans="1:5" x14ac:dyDescent="0.2">
      <c r="A56" s="32">
        <v>26372</v>
      </c>
      <c r="C56" s="47">
        <v>2997.09</v>
      </c>
      <c r="D56" s="15"/>
    </row>
    <row r="57" spans="1:5" x14ac:dyDescent="0.2">
      <c r="A57" s="32">
        <v>26700</v>
      </c>
      <c r="C57" s="47">
        <v>4077.9</v>
      </c>
      <c r="D57" s="15"/>
    </row>
    <row r="58" spans="1:5" x14ac:dyDescent="0.2">
      <c r="A58" s="32">
        <v>26422</v>
      </c>
      <c r="C58" s="47">
        <v>8155.8</v>
      </c>
      <c r="D58" s="15"/>
    </row>
    <row r="59" spans="1:5" x14ac:dyDescent="0.2">
      <c r="A59" s="32">
        <v>26661</v>
      </c>
      <c r="C59" s="47">
        <v>146862.35</v>
      </c>
      <c r="D59" s="15"/>
    </row>
    <row r="60" spans="1:5" x14ac:dyDescent="0.2">
      <c r="A60" s="32">
        <v>27291</v>
      </c>
      <c r="C60" s="47">
        <v>-17965</v>
      </c>
      <c r="D60" s="15"/>
    </row>
    <row r="61" spans="1:5" x14ac:dyDescent="0.2">
      <c r="A61" s="32">
        <v>27123</v>
      </c>
      <c r="C61" s="368">
        <v>-6425.19</v>
      </c>
      <c r="D61" s="15"/>
    </row>
    <row r="62" spans="1:5" x14ac:dyDescent="0.2">
      <c r="C62" s="367">
        <f>+C18+C31+C46+C51+C52+C53+C54+C55+C56+C57+C58+C59+C60+C61</f>
        <v>909627.49000000011</v>
      </c>
    </row>
    <row r="63" spans="1:5" x14ac:dyDescent="0.2">
      <c r="C63" s="367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topLeftCell="A32" workbookViewId="1">
      <selection activeCell="A39" sqref="A39"/>
    </sheetView>
  </sheetViews>
  <sheetFormatPr defaultRowHeight="12.75" x14ac:dyDescent="0.2"/>
  <cols>
    <col min="3" max="3" width="9.85546875" bestFit="1" customWidth="1"/>
    <col min="6" max="6" width="12.28515625" bestFit="1" customWidth="1"/>
  </cols>
  <sheetData>
    <row r="1" spans="1:8" x14ac:dyDescent="0.2">
      <c r="A1" s="54"/>
      <c r="B1" s="364">
        <v>23995</v>
      </c>
      <c r="C1" s="237"/>
      <c r="D1" s="363">
        <v>22051</v>
      </c>
      <c r="F1" s="2"/>
      <c r="H1" s="118"/>
    </row>
    <row r="2" spans="1:8" x14ac:dyDescent="0.2">
      <c r="B2" s="12">
        <v>59687</v>
      </c>
      <c r="D2" s="12">
        <v>10703</v>
      </c>
      <c r="E2" s="4"/>
      <c r="F2" s="59"/>
      <c r="G2" s="4"/>
    </row>
    <row r="3" spans="1:8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">
      <c r="A4" s="10">
        <v>1</v>
      </c>
      <c r="B4" s="11">
        <v>25933</v>
      </c>
      <c r="C4" s="11">
        <v>25000</v>
      </c>
      <c r="D4" s="11">
        <v>24799</v>
      </c>
      <c r="E4" s="11">
        <v>24000</v>
      </c>
      <c r="F4" s="11">
        <f>+E4+C4-D4-B4</f>
        <v>-1732</v>
      </c>
      <c r="G4" s="11"/>
      <c r="H4" s="24"/>
    </row>
    <row r="5" spans="1:8" x14ac:dyDescent="0.2">
      <c r="A5" s="10">
        <v>2</v>
      </c>
      <c r="B5" s="11">
        <v>26491</v>
      </c>
      <c r="C5" s="11">
        <v>25000</v>
      </c>
      <c r="D5" s="11">
        <v>24763</v>
      </c>
      <c r="E5" s="11">
        <v>24000</v>
      </c>
      <c r="F5" s="11">
        <f t="shared" ref="F5:F34" si="0">+E5+C5-D5-B5</f>
        <v>-2254</v>
      </c>
      <c r="G5" s="11"/>
      <c r="H5" s="24"/>
    </row>
    <row r="6" spans="1:8" x14ac:dyDescent="0.2">
      <c r="A6" s="10">
        <v>3</v>
      </c>
      <c r="B6" s="11">
        <v>25000</v>
      </c>
      <c r="C6" s="11">
        <v>25000</v>
      </c>
      <c r="D6" s="129">
        <v>24413</v>
      </c>
      <c r="E6" s="11">
        <v>24000</v>
      </c>
      <c r="F6" s="11">
        <f t="shared" si="0"/>
        <v>-413</v>
      </c>
      <c r="G6" s="11"/>
      <c r="H6" s="24"/>
    </row>
    <row r="7" spans="1:8" x14ac:dyDescent="0.2">
      <c r="A7" s="10">
        <v>4</v>
      </c>
      <c r="B7" s="11">
        <v>24998</v>
      </c>
      <c r="C7" s="11">
        <v>25000</v>
      </c>
      <c r="D7" s="129">
        <v>24252</v>
      </c>
      <c r="E7" s="11">
        <v>24000</v>
      </c>
      <c r="F7" s="11">
        <f t="shared" si="0"/>
        <v>-250</v>
      </c>
      <c r="G7" s="11"/>
      <c r="H7" s="24"/>
    </row>
    <row r="8" spans="1:8" x14ac:dyDescent="0.2">
      <c r="A8" s="10">
        <v>5</v>
      </c>
      <c r="B8" s="11">
        <v>29668</v>
      </c>
      <c r="C8" s="11">
        <v>25000</v>
      </c>
      <c r="D8" s="11">
        <v>24253</v>
      </c>
      <c r="E8" s="11">
        <v>13474</v>
      </c>
      <c r="F8" s="11">
        <f t="shared" si="0"/>
        <v>-15447</v>
      </c>
      <c r="G8" s="11"/>
      <c r="H8" s="24"/>
    </row>
    <row r="9" spans="1:8" x14ac:dyDescent="0.2">
      <c r="A9" s="10">
        <v>6</v>
      </c>
      <c r="B9" s="11">
        <v>22951</v>
      </c>
      <c r="C9" s="11">
        <v>30000</v>
      </c>
      <c r="D9" s="11">
        <v>24278</v>
      </c>
      <c r="E9" s="11">
        <v>24000</v>
      </c>
      <c r="F9" s="11">
        <f t="shared" si="0"/>
        <v>6771</v>
      </c>
      <c r="G9" s="11"/>
      <c r="H9" s="24"/>
    </row>
    <row r="10" spans="1:8" x14ac:dyDescent="0.2">
      <c r="A10" s="10">
        <v>7</v>
      </c>
      <c r="B10" s="11">
        <v>24954</v>
      </c>
      <c r="C10" s="11">
        <v>25000</v>
      </c>
      <c r="D10" s="11">
        <v>24397</v>
      </c>
      <c r="E10" s="11">
        <v>24000</v>
      </c>
      <c r="F10" s="11">
        <f t="shared" si="0"/>
        <v>-351</v>
      </c>
      <c r="G10" s="11"/>
      <c r="H10" s="24"/>
    </row>
    <row r="11" spans="1:8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H11" s="24"/>
    </row>
    <row r="12" spans="1:8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H12" s="24"/>
    </row>
    <row r="13" spans="1:8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H13" s="24"/>
    </row>
    <row r="14" spans="1:8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H14" s="24"/>
    </row>
    <row r="15" spans="1:8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H15" s="24"/>
    </row>
    <row r="16" spans="1:8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H16" s="24"/>
    </row>
    <row r="17" spans="1:8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H17" s="24"/>
    </row>
    <row r="18" spans="1:8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H18" s="24"/>
    </row>
    <row r="19" spans="1:8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H19" s="24"/>
    </row>
    <row r="20" spans="1:8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H20" s="24"/>
    </row>
    <row r="21" spans="1:8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H21" s="24"/>
    </row>
    <row r="22" spans="1:8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H22" s="24"/>
    </row>
    <row r="23" spans="1:8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H23" s="24"/>
    </row>
    <row r="24" spans="1:8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H24" s="24"/>
    </row>
    <row r="25" spans="1:8" x14ac:dyDescent="0.2">
      <c r="A25" s="10">
        <v>22</v>
      </c>
      <c r="B25" s="11"/>
      <c r="C25" s="11"/>
      <c r="D25" s="11"/>
      <c r="E25" s="11"/>
      <c r="F25" s="11">
        <f t="shared" si="0"/>
        <v>0</v>
      </c>
      <c r="G25" s="11"/>
      <c r="H25" s="24"/>
    </row>
    <row r="26" spans="1:8" x14ac:dyDescent="0.2">
      <c r="A26" s="10">
        <v>23</v>
      </c>
      <c r="B26" s="11"/>
      <c r="C26" s="11"/>
      <c r="D26" s="11"/>
      <c r="E26" s="11"/>
      <c r="F26" s="11">
        <f t="shared" si="0"/>
        <v>0</v>
      </c>
      <c r="G26" s="11"/>
      <c r="H26" s="24"/>
    </row>
    <row r="27" spans="1:8" x14ac:dyDescent="0.2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">
      <c r="A35" s="10"/>
      <c r="B35" s="11">
        <f>SUM(B4:B34)</f>
        <v>179995</v>
      </c>
      <c r="C35" s="11">
        <f>SUM(C4:C34)</f>
        <v>180000</v>
      </c>
      <c r="D35" s="11">
        <f>SUM(D4:D34)</f>
        <v>171155</v>
      </c>
      <c r="E35" s="11">
        <f>SUM(E4:E34)</f>
        <v>157474</v>
      </c>
      <c r="F35" s="11">
        <f>SUM(F4:F34)</f>
        <v>-13676</v>
      </c>
      <c r="G35" s="11"/>
      <c r="H35" s="11"/>
    </row>
    <row r="36" spans="1:8" x14ac:dyDescent="0.2">
      <c r="C36" s="25">
        <f>+C35-B35</f>
        <v>5</v>
      </c>
      <c r="E36" s="25">
        <f>+E35-D35</f>
        <v>-13681</v>
      </c>
      <c r="F36" s="25">
        <f>+E36+C36</f>
        <v>-13676</v>
      </c>
    </row>
    <row r="37" spans="1:8" x14ac:dyDescent="0.2">
      <c r="C37" s="365">
        <f>+summary!P12</f>
        <v>5.98</v>
      </c>
      <c r="E37" s="365">
        <f>+C37</f>
        <v>5.98</v>
      </c>
      <c r="F37" s="365">
        <f>+E37</f>
        <v>5.98</v>
      </c>
    </row>
    <row r="38" spans="1:8" x14ac:dyDescent="0.2">
      <c r="C38" s="138">
        <f>+C37*C36</f>
        <v>29.900000000000002</v>
      </c>
      <c r="E38" s="138">
        <f>+E37*E36</f>
        <v>-81812.38</v>
      </c>
      <c r="F38" s="138">
        <f>+F37*F36</f>
        <v>-81782.48000000001</v>
      </c>
    </row>
    <row r="39" spans="1:8" x14ac:dyDescent="0.2">
      <c r="A39" s="57">
        <v>36922</v>
      </c>
      <c r="B39" s="2" t="s">
        <v>48</v>
      </c>
      <c r="C39" s="388">
        <v>-772485</v>
      </c>
      <c r="D39" s="392"/>
      <c r="E39" s="388">
        <v>-64735</v>
      </c>
      <c r="F39" s="137">
        <f>+E39+C39</f>
        <v>-837220</v>
      </c>
      <c r="G39" s="24"/>
      <c r="H39" s="24"/>
    </row>
    <row r="40" spans="1:8" x14ac:dyDescent="0.2">
      <c r="A40" s="57">
        <v>36929</v>
      </c>
      <c r="B40" s="2" t="s">
        <v>48</v>
      </c>
      <c r="C40" s="366">
        <f>+C39+C38</f>
        <v>-772455.1</v>
      </c>
      <c r="D40" s="262"/>
      <c r="E40" s="366">
        <f>+E39+E38</f>
        <v>-146547.38</v>
      </c>
      <c r="F40" s="366">
        <f>+F39+F38</f>
        <v>-919002.48</v>
      </c>
      <c r="G40" s="131"/>
      <c r="H40" s="131"/>
    </row>
    <row r="41" spans="1:8" x14ac:dyDescent="0.2">
      <c r="C41" s="254"/>
    </row>
    <row r="42" spans="1:8" x14ac:dyDescent="0.2">
      <c r="F42" s="15"/>
    </row>
    <row r="43" spans="1:8" x14ac:dyDescent="0.2">
      <c r="B43" s="12" t="s">
        <v>124</v>
      </c>
      <c r="F43" s="15"/>
    </row>
    <row r="44" spans="1:8" x14ac:dyDescent="0.2">
      <c r="B44" s="12">
        <v>22864</v>
      </c>
      <c r="F44" s="379">
        <v>-58339.66</v>
      </c>
    </row>
    <row r="45" spans="1:8" x14ac:dyDescent="0.2">
      <c r="B45" s="12">
        <v>20379</v>
      </c>
      <c r="F45" s="378">
        <v>-51695.87</v>
      </c>
    </row>
    <row r="46" spans="1:8" x14ac:dyDescent="0.2">
      <c r="B46" s="12">
        <v>21459</v>
      </c>
      <c r="F46" s="379">
        <v>10570.56</v>
      </c>
    </row>
    <row r="47" spans="1:8" x14ac:dyDescent="0.2">
      <c r="B47" s="12">
        <v>26357</v>
      </c>
      <c r="F47" s="379">
        <v>44144.84</v>
      </c>
    </row>
    <row r="48" spans="1:8" x14ac:dyDescent="0.2">
      <c r="B48" s="12">
        <v>21544</v>
      </c>
      <c r="F48" s="379">
        <v>61340.160000000003</v>
      </c>
    </row>
    <row r="49" spans="2:6" x14ac:dyDescent="0.2">
      <c r="B49" s="12">
        <v>24532</v>
      </c>
      <c r="F49" s="380">
        <v>-186461.09</v>
      </c>
    </row>
    <row r="50" spans="2:6" x14ac:dyDescent="0.2">
      <c r="F50" s="104">
        <f>SUM(F40:F49)</f>
        <v>-1099443.54</v>
      </c>
    </row>
    <row r="52" spans="2:6" x14ac:dyDescent="0.2">
      <c r="B52" s="2" t="s">
        <v>128</v>
      </c>
      <c r="F52" s="138">
        <f>+Duke!C62</f>
        <v>909627.49000000011</v>
      </c>
    </row>
    <row r="54" spans="2:6" x14ac:dyDescent="0.2">
      <c r="F54" s="104">
        <f>+F52+F50</f>
        <v>-189816.04999999993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41" sqref="B41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74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6766</v>
      </c>
      <c r="C8" s="11">
        <v>5699</v>
      </c>
      <c r="D8" s="11">
        <v>104</v>
      </c>
      <c r="E8" s="11">
        <v>86</v>
      </c>
      <c r="F8" s="11">
        <v>1368</v>
      </c>
      <c r="G8" s="11">
        <v>1203</v>
      </c>
      <c r="H8" s="11">
        <v>1841</v>
      </c>
      <c r="I8" s="11">
        <v>1182</v>
      </c>
      <c r="J8" s="25">
        <f>+C8-B8+E8-D8+G8-F8+I8-H8</f>
        <v>-1909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4639</v>
      </c>
      <c r="C9" s="11">
        <v>5862</v>
      </c>
      <c r="D9" s="11">
        <v>79</v>
      </c>
      <c r="E9" s="11">
        <v>91</v>
      </c>
      <c r="F9" s="11">
        <v>1158</v>
      </c>
      <c r="G9" s="11">
        <v>1182</v>
      </c>
      <c r="H9" s="11">
        <v>1791</v>
      </c>
      <c r="I9" s="11">
        <v>1923</v>
      </c>
      <c r="J9" s="25">
        <f t="shared" ref="J9:J38" si="0">+C9-B9+E9-D9+G9-F9+I9-H9</f>
        <v>1391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6141</v>
      </c>
      <c r="C10" s="11">
        <v>5862</v>
      </c>
      <c r="D10" s="11">
        <v>95</v>
      </c>
      <c r="E10" s="11">
        <v>91</v>
      </c>
      <c r="F10" s="11">
        <v>672</v>
      </c>
      <c r="G10" s="11">
        <v>1182</v>
      </c>
      <c r="H10" s="11">
        <v>1847</v>
      </c>
      <c r="I10" s="11">
        <v>1923</v>
      </c>
      <c r="J10" s="25">
        <f t="shared" si="0"/>
        <v>303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6706</v>
      </c>
      <c r="C11" s="11">
        <v>5862</v>
      </c>
      <c r="D11" s="11">
        <v>84</v>
      </c>
      <c r="E11" s="11">
        <v>91</v>
      </c>
      <c r="F11" s="11">
        <v>1203</v>
      </c>
      <c r="G11" s="11">
        <v>1182</v>
      </c>
      <c r="H11" s="11">
        <v>1844</v>
      </c>
      <c r="I11" s="11">
        <v>1923</v>
      </c>
      <c r="J11" s="25">
        <f t="shared" si="0"/>
        <v>-779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6889</v>
      </c>
      <c r="C12" s="11">
        <v>5861</v>
      </c>
      <c r="D12" s="11">
        <v>70</v>
      </c>
      <c r="E12" s="11">
        <v>91</v>
      </c>
      <c r="F12" s="11">
        <v>1005</v>
      </c>
      <c r="G12" s="11">
        <v>1182</v>
      </c>
      <c r="H12" s="11">
        <v>1830</v>
      </c>
      <c r="I12" s="11">
        <v>1923</v>
      </c>
      <c r="J12" s="25">
        <f t="shared" si="0"/>
        <v>-737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6902</v>
      </c>
      <c r="C13" s="11">
        <v>5862</v>
      </c>
      <c r="D13" s="11">
        <v>84</v>
      </c>
      <c r="E13" s="11">
        <v>91</v>
      </c>
      <c r="F13" s="11">
        <v>1158</v>
      </c>
      <c r="G13" s="11">
        <v>1182</v>
      </c>
      <c r="H13" s="11">
        <v>1812</v>
      </c>
      <c r="I13" s="11">
        <v>1923</v>
      </c>
      <c r="J13" s="25">
        <f t="shared" si="0"/>
        <v>-898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5129</v>
      </c>
      <c r="C14" s="11">
        <v>5862</v>
      </c>
      <c r="D14" s="11"/>
      <c r="E14" s="11"/>
      <c r="F14" s="11">
        <v>1409</v>
      </c>
      <c r="G14" s="11">
        <v>1182</v>
      </c>
      <c r="H14" s="11">
        <v>1767</v>
      </c>
      <c r="I14" s="129">
        <v>1923</v>
      </c>
      <c r="J14" s="25">
        <f t="shared" si="0"/>
        <v>662</v>
      </c>
      <c r="K14" s="10"/>
      <c r="L14" s="11"/>
      <c r="M14" s="11"/>
      <c r="N14" s="11"/>
      <c r="O14" s="11"/>
      <c r="P14" s="11"/>
      <c r="Q14" s="11"/>
      <c r="R14" s="123"/>
      <c r="S14" s="295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95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95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95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43172</v>
      </c>
      <c r="C39" s="11">
        <f t="shared" si="1"/>
        <v>40870</v>
      </c>
      <c r="D39" s="11">
        <f t="shared" si="1"/>
        <v>516</v>
      </c>
      <c r="E39" s="11">
        <f t="shared" si="1"/>
        <v>541</v>
      </c>
      <c r="F39" s="11">
        <f t="shared" si="1"/>
        <v>7973</v>
      </c>
      <c r="G39" s="11">
        <f t="shared" si="1"/>
        <v>8295</v>
      </c>
      <c r="H39" s="11">
        <f t="shared" si="1"/>
        <v>12732</v>
      </c>
      <c r="I39" s="11">
        <f t="shared" si="1"/>
        <v>12720</v>
      </c>
      <c r="J39" s="25">
        <f t="shared" si="1"/>
        <v>-1967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4">
        <f>+summary!P11</f>
        <v>5.94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-11683.980000000001</v>
      </c>
      <c r="L41"/>
      <c r="R41" s="138"/>
      <c r="X41" s="138"/>
    </row>
    <row r="42" spans="1:24" x14ac:dyDescent="0.2">
      <c r="A42" s="57">
        <v>36922</v>
      </c>
      <c r="C42" s="15"/>
      <c r="J42" s="375">
        <v>519844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36929</v>
      </c>
      <c r="C43" s="48"/>
      <c r="J43" s="138">
        <f>+J42+J41</f>
        <v>508160.02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topLeftCell="A26" workbookViewId="1">
      <selection activeCell="A44" sqref="A44"/>
    </sheetView>
  </sheetViews>
  <sheetFormatPr defaultRowHeight="12.75" x14ac:dyDescent="0.2"/>
  <cols>
    <col min="4" max="4" width="11.7109375" bestFit="1" customWidth="1"/>
  </cols>
  <sheetData>
    <row r="5" spans="1:24" ht="15" x14ac:dyDescent="0.25">
      <c r="A5" s="134"/>
      <c r="E5" s="134"/>
      <c r="I5" s="134"/>
      <c r="M5" s="134"/>
      <c r="Q5" s="134"/>
      <c r="U5" s="134"/>
    </row>
    <row r="6" spans="1:24" x14ac:dyDescent="0.2">
      <c r="A6" s="3"/>
      <c r="B6" s="1" t="s">
        <v>75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47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">
      <c r="A8" s="10">
        <v>1</v>
      </c>
      <c r="B8" s="11">
        <v>12775</v>
      </c>
      <c r="C8" s="11">
        <v>10600</v>
      </c>
      <c r="D8" s="25">
        <f>+C8-B8</f>
        <v>-2175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">
      <c r="A9" s="10">
        <v>2</v>
      </c>
      <c r="B9" s="11">
        <v>13246</v>
      </c>
      <c r="C9" s="11">
        <v>10600</v>
      </c>
      <c r="D9" s="25">
        <f>+C9-B9</f>
        <v>-2646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">
      <c r="A10" s="10">
        <v>3</v>
      </c>
      <c r="B10" s="11">
        <v>13142</v>
      </c>
      <c r="C10" s="11">
        <v>10600</v>
      </c>
      <c r="D10" s="25">
        <f t="shared" ref="D10:D38" si="0">+C10-B10</f>
        <v>-2542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">
      <c r="A11" s="10">
        <v>4</v>
      </c>
      <c r="B11" s="11">
        <v>12799</v>
      </c>
      <c r="C11" s="11">
        <v>10600</v>
      </c>
      <c r="D11" s="25">
        <f t="shared" si="0"/>
        <v>-2199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">
      <c r="A12" s="10">
        <v>5</v>
      </c>
      <c r="B12" s="11">
        <v>13325</v>
      </c>
      <c r="C12" s="11">
        <v>10600</v>
      </c>
      <c r="D12" s="25">
        <f t="shared" si="0"/>
        <v>-2725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">
      <c r="A13" s="10">
        <v>6</v>
      </c>
      <c r="B13" s="11">
        <v>13103</v>
      </c>
      <c r="C13" s="11">
        <v>10074</v>
      </c>
      <c r="D13" s="25">
        <f t="shared" si="0"/>
        <v>-3029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">
      <c r="A14" s="10">
        <v>7</v>
      </c>
      <c r="B14" s="11">
        <v>12780</v>
      </c>
      <c r="C14" s="11">
        <v>10600</v>
      </c>
      <c r="D14" s="25">
        <f t="shared" si="0"/>
        <v>-2180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">
      <c r="A15" s="10">
        <v>8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">
      <c r="A16" s="10">
        <v>9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">
      <c r="A17" s="10">
        <v>10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">
      <c r="A18" s="10">
        <v>11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">
      <c r="A19" s="10">
        <v>12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">
      <c r="A20" s="10">
        <v>13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">
      <c r="A21" s="10">
        <v>14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">
      <c r="A22" s="10">
        <v>15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">
      <c r="A23" s="10">
        <v>16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">
      <c r="A24" s="10">
        <v>17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">
      <c r="A25" s="10">
        <v>18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">
      <c r="A26" s="10">
        <v>19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">
      <c r="A39" s="10"/>
      <c r="B39" s="11">
        <f>SUM(B8:B38)</f>
        <v>91170</v>
      </c>
      <c r="C39" s="11">
        <f>SUM(C8:C38)</f>
        <v>73674</v>
      </c>
      <c r="D39" s="11">
        <f>SUM(D8:D38)</f>
        <v>-17496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">
      <c r="A40" s="26"/>
      <c r="C40" s="14"/>
      <c r="D40" s="106">
        <f>+summary!P11</f>
        <v>5.94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">
      <c r="D41" s="138">
        <f>+D40*D39</f>
        <v>-103926.24</v>
      </c>
      <c r="H41" s="138"/>
      <c r="L41" s="138"/>
      <c r="P41" s="138"/>
      <c r="T41" s="138"/>
      <c r="X41" s="138"/>
    </row>
    <row r="42" spans="1:24" x14ac:dyDescent="0.2">
      <c r="A42" s="57">
        <v>36922</v>
      </c>
      <c r="C42" s="15"/>
      <c r="D42" s="387">
        <v>1002068.76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">
      <c r="A43" s="57">
        <v>36929</v>
      </c>
      <c r="C43" s="48"/>
      <c r="D43" s="110">
        <f>+D42+D41</f>
        <v>898142.52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10" sqref="B10"/>
    </sheetView>
    <sheetView workbookViewId="1">
      <selection activeCell="C9" sqref="C9"/>
    </sheetView>
  </sheetViews>
  <sheetFormatPr defaultRowHeight="11.25" x14ac:dyDescent="0.2"/>
  <cols>
    <col min="1" max="3" width="9.140625" style="32"/>
    <col min="4" max="4" width="12" style="32" bestFit="1" customWidth="1"/>
    <col min="5" max="16384" width="9.140625" style="32"/>
  </cols>
  <sheetData>
    <row r="4" spans="1:8" ht="12.75" x14ac:dyDescent="0.2">
      <c r="A4" s="34" t="s">
        <v>96</v>
      </c>
      <c r="B4" s="69"/>
      <c r="C4" s="297"/>
      <c r="D4" s="69"/>
    </row>
    <row r="5" spans="1:8" x14ac:dyDescent="0.2">
      <c r="B5" s="298" t="s">
        <v>21</v>
      </c>
      <c r="C5" s="298" t="s">
        <v>22</v>
      </c>
      <c r="D5" s="299" t="s">
        <v>53</v>
      </c>
    </row>
    <row r="6" spans="1:8" x14ac:dyDescent="0.2">
      <c r="A6" s="32">
        <v>1635</v>
      </c>
      <c r="B6" s="80"/>
      <c r="C6" s="80"/>
      <c r="D6" s="80">
        <f t="shared" ref="D6:D14" si="0">+C6-B6</f>
        <v>0</v>
      </c>
    </row>
    <row r="7" spans="1:8" x14ac:dyDescent="0.2">
      <c r="A7" s="32">
        <v>3531</v>
      </c>
      <c r="B7" s="80">
        <f>-213411-42281</f>
        <v>-255692</v>
      </c>
      <c r="C7" s="80">
        <v>-195879</v>
      </c>
      <c r="D7" s="80">
        <f t="shared" si="0"/>
        <v>59813</v>
      </c>
    </row>
    <row r="8" spans="1:8" x14ac:dyDescent="0.2">
      <c r="A8" s="32">
        <v>60667</v>
      </c>
      <c r="B8" s="80">
        <f>-179545-736</f>
        <v>-180281</v>
      </c>
      <c r="C8" s="80">
        <v>-241655</v>
      </c>
      <c r="D8" s="80">
        <f t="shared" si="0"/>
        <v>-61374</v>
      </c>
      <c r="H8" s="256"/>
    </row>
    <row r="9" spans="1:8" x14ac:dyDescent="0.2">
      <c r="A9" s="32">
        <v>60749</v>
      </c>
      <c r="B9" s="80">
        <v>4688</v>
      </c>
      <c r="C9" s="80">
        <v>-37404</v>
      </c>
      <c r="D9" s="80">
        <f t="shared" si="0"/>
        <v>-42092</v>
      </c>
      <c r="H9" s="256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6"/>
    </row>
    <row r="11" spans="1:8" x14ac:dyDescent="0.2">
      <c r="A11" s="32">
        <v>61334</v>
      </c>
      <c r="B11" s="80">
        <v>-53499</v>
      </c>
      <c r="C11" s="80"/>
      <c r="D11" s="80">
        <f t="shared" si="0"/>
        <v>53499</v>
      </c>
      <c r="H11" s="256"/>
    </row>
    <row r="12" spans="1:8" x14ac:dyDescent="0.2">
      <c r="A12" s="32">
        <v>62960</v>
      </c>
      <c r="B12" s="348"/>
      <c r="C12" s="80"/>
      <c r="D12" s="80">
        <f t="shared" si="0"/>
        <v>0</v>
      </c>
      <c r="H12" s="256"/>
    </row>
    <row r="13" spans="1:8" x14ac:dyDescent="0.2">
      <c r="A13" s="300"/>
      <c r="B13" s="80"/>
      <c r="C13" s="80"/>
      <c r="D13" s="80">
        <f t="shared" si="0"/>
        <v>0</v>
      </c>
      <c r="H13" s="256"/>
    </row>
    <row r="14" spans="1:8" x14ac:dyDescent="0.2">
      <c r="B14" s="80"/>
      <c r="C14" s="80"/>
      <c r="D14" s="80">
        <f t="shared" si="0"/>
        <v>0</v>
      </c>
      <c r="H14" s="256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9846</v>
      </c>
    </row>
    <row r="19" spans="1:5" x14ac:dyDescent="0.2">
      <c r="A19" s="32" t="s">
        <v>87</v>
      </c>
      <c r="B19" s="69"/>
      <c r="C19" s="69"/>
      <c r="D19" s="73">
        <f>+summary!P11</f>
        <v>5.94</v>
      </c>
    </row>
    <row r="20" spans="1:5" x14ac:dyDescent="0.2">
      <c r="B20" s="69"/>
      <c r="C20" s="69"/>
      <c r="D20" s="75">
        <f>+D19*D18</f>
        <v>58485.240000000005</v>
      </c>
    </row>
    <row r="21" spans="1:5" x14ac:dyDescent="0.2">
      <c r="B21" s="69"/>
      <c r="C21" s="80"/>
      <c r="D21" s="304"/>
      <c r="E21" s="256"/>
    </row>
    <row r="22" spans="1:5" x14ac:dyDescent="0.2">
      <c r="A22" s="49">
        <v>36922</v>
      </c>
      <c r="B22" s="69"/>
      <c r="C22" s="80"/>
      <c r="D22" s="374">
        <v>170724.79</v>
      </c>
      <c r="E22" s="256"/>
    </row>
    <row r="23" spans="1:5" x14ac:dyDescent="0.2">
      <c r="B23" s="69"/>
      <c r="C23" s="80"/>
      <c r="D23" s="304"/>
      <c r="E23" s="256"/>
    </row>
    <row r="24" spans="1:5" ht="12" thickBot="1" x14ac:dyDescent="0.25">
      <c r="A24" s="49">
        <v>36929</v>
      </c>
      <c r="B24" s="69"/>
      <c r="C24" s="69"/>
      <c r="D24" s="305">
        <f>+D22+D20</f>
        <v>229210.03000000003</v>
      </c>
      <c r="E24" s="256"/>
    </row>
    <row r="25" spans="1:5" ht="12" thickTop="1" x14ac:dyDescent="0.2">
      <c r="B25" s="69"/>
      <c r="C25" s="69"/>
      <c r="D25" s="69"/>
      <c r="E25" s="2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opLeftCell="A30" workbookViewId="1">
      <selection activeCell="E36" sqref="E36"/>
    </sheetView>
  </sheetViews>
  <sheetFormatPr defaultRowHeight="12.75" x14ac:dyDescent="0.2"/>
  <cols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9</v>
      </c>
      <c r="D1" s="1" t="s">
        <v>109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334710</v>
      </c>
      <c r="C4" s="11">
        <v>339430</v>
      </c>
      <c r="D4" s="11">
        <v>67545</v>
      </c>
      <c r="E4" s="11">
        <v>70147</v>
      </c>
      <c r="F4" s="11">
        <v>44382</v>
      </c>
      <c r="G4" s="11">
        <v>44890</v>
      </c>
      <c r="H4" s="11">
        <v>165424</v>
      </c>
      <c r="I4" s="11">
        <v>152641</v>
      </c>
      <c r="J4" s="11">
        <f t="shared" ref="J4:J34" si="0">+C4+E4+G4+I4-H4-F4-D4-B4</f>
        <v>-4953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234782</v>
      </c>
      <c r="C5" s="11">
        <v>259819</v>
      </c>
      <c r="D5" s="11">
        <v>87870</v>
      </c>
      <c r="E5" s="11">
        <v>67797</v>
      </c>
      <c r="F5" s="11">
        <v>30709</v>
      </c>
      <c r="G5" s="11">
        <v>34191</v>
      </c>
      <c r="H5" s="11">
        <v>121870</v>
      </c>
      <c r="I5" s="11">
        <v>130584</v>
      </c>
      <c r="J5" s="11">
        <f t="shared" si="0"/>
        <v>17160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326583</v>
      </c>
      <c r="C6" s="11">
        <v>336985</v>
      </c>
      <c r="D6" s="11">
        <v>74701</v>
      </c>
      <c r="E6" s="11">
        <v>67075</v>
      </c>
      <c r="F6" s="11">
        <v>39819</v>
      </c>
      <c r="G6" s="11">
        <v>31890</v>
      </c>
      <c r="H6" s="11">
        <v>165343</v>
      </c>
      <c r="I6" s="11">
        <v>168246</v>
      </c>
      <c r="J6" s="11">
        <f t="shared" si="0"/>
        <v>-2250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339550</v>
      </c>
      <c r="C7" s="11">
        <v>338460</v>
      </c>
      <c r="D7" s="11">
        <v>42482</v>
      </c>
      <c r="E7" s="11">
        <v>48418</v>
      </c>
      <c r="F7" s="11">
        <v>41469</v>
      </c>
      <c r="G7" s="11">
        <v>31612</v>
      </c>
      <c r="H7" s="11">
        <v>144642</v>
      </c>
      <c r="I7" s="11">
        <v>153213</v>
      </c>
      <c r="J7" s="11">
        <f t="shared" si="0"/>
        <v>3560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349246</v>
      </c>
      <c r="C8" s="11">
        <v>334305</v>
      </c>
      <c r="D8" s="11">
        <v>50756</v>
      </c>
      <c r="E8" s="11">
        <v>54026</v>
      </c>
      <c r="F8" s="11">
        <v>67156</v>
      </c>
      <c r="G8" s="11">
        <v>54143</v>
      </c>
      <c r="H8" s="11">
        <v>142121</v>
      </c>
      <c r="I8" s="11">
        <v>168899</v>
      </c>
      <c r="J8" s="11">
        <f t="shared" si="0"/>
        <v>2094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337262</v>
      </c>
      <c r="C9" s="11">
        <v>324264</v>
      </c>
      <c r="D9" s="11">
        <v>36102</v>
      </c>
      <c r="E9" s="11">
        <v>53490</v>
      </c>
      <c r="F9" s="11">
        <v>64150</v>
      </c>
      <c r="G9" s="11">
        <v>53026</v>
      </c>
      <c r="H9" s="11">
        <v>153231</v>
      </c>
      <c r="I9" s="11">
        <v>155563</v>
      </c>
      <c r="J9" s="11">
        <f t="shared" si="0"/>
        <v>-4402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332993</v>
      </c>
      <c r="C10" s="11">
        <v>303628</v>
      </c>
      <c r="D10" s="11">
        <v>42736</v>
      </c>
      <c r="E10" s="11">
        <v>42944</v>
      </c>
      <c r="F10" s="11">
        <v>50434</v>
      </c>
      <c r="G10" s="11">
        <v>50798</v>
      </c>
      <c r="H10" s="11">
        <v>105619</v>
      </c>
      <c r="I10" s="11">
        <v>124843</v>
      </c>
      <c r="J10" s="11">
        <f t="shared" si="0"/>
        <v>-9569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2255126</v>
      </c>
      <c r="C35" s="11">
        <f t="shared" ref="C35:I35" si="1">SUM(C4:C34)</f>
        <v>2236891</v>
      </c>
      <c r="D35" s="11">
        <f t="shared" si="1"/>
        <v>402192</v>
      </c>
      <c r="E35" s="11">
        <f t="shared" si="1"/>
        <v>403897</v>
      </c>
      <c r="F35" s="11">
        <f t="shared" si="1"/>
        <v>338119</v>
      </c>
      <c r="G35" s="11">
        <f t="shared" si="1"/>
        <v>300550</v>
      </c>
      <c r="H35" s="11">
        <f t="shared" si="1"/>
        <v>998250</v>
      </c>
      <c r="I35" s="11">
        <f t="shared" si="1"/>
        <v>1053989</v>
      </c>
      <c r="J35" s="11">
        <f>SUM(J4:J34)</f>
        <v>1640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36922</v>
      </c>
      <c r="C38" s="25"/>
      <c r="E38" s="25"/>
      <c r="G38" s="25"/>
      <c r="I38" s="25"/>
      <c r="J38" s="51">
        <v>-44637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36929</v>
      </c>
      <c r="J40" s="51">
        <f>+J38+J35</f>
        <v>-42997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C12" sqref="C12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89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53</v>
      </c>
    </row>
    <row r="5" spans="1:13" x14ac:dyDescent="0.2">
      <c r="A5" s="87">
        <v>9236</v>
      </c>
      <c r="B5" s="340">
        <f>-7915-118</f>
        <v>-8033</v>
      </c>
      <c r="C5" s="90">
        <v>-27293</v>
      </c>
      <c r="D5" s="90">
        <f t="shared" ref="D5:D13" si="0">+C5-B5</f>
        <v>-19260</v>
      </c>
      <c r="E5" s="69"/>
      <c r="F5" s="70"/>
    </row>
    <row r="6" spans="1:13" x14ac:dyDescent="0.2">
      <c r="A6" s="87">
        <v>9238</v>
      </c>
      <c r="B6" s="340">
        <f>-5358-762</f>
        <v>-6120</v>
      </c>
      <c r="C6" s="90">
        <v>-7000</v>
      </c>
      <c r="D6" s="90">
        <f t="shared" si="0"/>
        <v>-880</v>
      </c>
      <c r="E6" s="291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340">
        <f>-603156-54625</f>
        <v>-657781</v>
      </c>
      <c r="C7" s="90">
        <v>-750975</v>
      </c>
      <c r="D7" s="90">
        <f t="shared" si="0"/>
        <v>-93194</v>
      </c>
      <c r="E7" s="291"/>
      <c r="F7" s="70"/>
    </row>
    <row r="8" spans="1:13" x14ac:dyDescent="0.2">
      <c r="A8" s="87">
        <v>58710</v>
      </c>
      <c r="B8" s="402">
        <v>-943</v>
      </c>
      <c r="C8" s="90">
        <v>-6218</v>
      </c>
      <c r="D8" s="90">
        <f t="shared" si="0"/>
        <v>-5275</v>
      </c>
      <c r="E8" s="291"/>
      <c r="F8" s="70"/>
    </row>
    <row r="9" spans="1:13" x14ac:dyDescent="0.2">
      <c r="A9" s="87">
        <v>60921</v>
      </c>
      <c r="B9" s="90">
        <f>-285971-42769</f>
        <v>-328740</v>
      </c>
      <c r="C9" s="90">
        <v>-302825</v>
      </c>
      <c r="D9" s="90">
        <f t="shared" si="0"/>
        <v>25915</v>
      </c>
      <c r="E9" s="291"/>
      <c r="F9" s="70"/>
    </row>
    <row r="10" spans="1:13" x14ac:dyDescent="0.2">
      <c r="A10" s="87">
        <v>78026</v>
      </c>
      <c r="B10" s="402">
        <f>17818+3000</f>
        <v>20818</v>
      </c>
      <c r="C10" s="90">
        <v>17626</v>
      </c>
      <c r="D10" s="90">
        <f t="shared" si="0"/>
        <v>-3192</v>
      </c>
      <c r="E10" s="291"/>
      <c r="F10" s="289"/>
    </row>
    <row r="11" spans="1:13" x14ac:dyDescent="0.2">
      <c r="A11" s="87">
        <v>500084</v>
      </c>
      <c r="B11" s="384">
        <f>-11939-1972</f>
        <v>-13911</v>
      </c>
      <c r="C11" s="90">
        <v>-20980</v>
      </c>
      <c r="D11" s="90">
        <f t="shared" si="0"/>
        <v>-7069</v>
      </c>
      <c r="E11" s="292"/>
      <c r="F11" s="289"/>
    </row>
    <row r="12" spans="1:13" x14ac:dyDescent="0.2">
      <c r="A12" s="373">
        <v>500085</v>
      </c>
      <c r="B12" s="384">
        <v>-64962</v>
      </c>
      <c r="C12" s="90">
        <v>-35000</v>
      </c>
      <c r="D12" s="90">
        <f t="shared" si="0"/>
        <v>29962</v>
      </c>
      <c r="E12" s="291"/>
      <c r="F12" s="289"/>
    </row>
    <row r="13" spans="1:13" x14ac:dyDescent="0.2">
      <c r="A13" s="87">
        <v>500097</v>
      </c>
      <c r="B13" s="384">
        <v>-14322</v>
      </c>
      <c r="C13" s="90"/>
      <c r="D13" s="90">
        <f t="shared" si="0"/>
        <v>14322</v>
      </c>
      <c r="E13" s="291"/>
      <c r="F13" s="289"/>
    </row>
    <row r="14" spans="1:13" x14ac:dyDescent="0.2">
      <c r="A14" s="87"/>
      <c r="B14" s="90"/>
      <c r="C14" s="90"/>
      <c r="D14" s="90"/>
      <c r="E14" s="291"/>
      <c r="F14" s="289"/>
    </row>
    <row r="15" spans="1:13" x14ac:dyDescent="0.2">
      <c r="A15" s="87"/>
      <c r="B15" s="90"/>
      <c r="C15" s="90"/>
      <c r="D15" s="90"/>
      <c r="E15" s="291"/>
      <c r="F15" s="289"/>
    </row>
    <row r="16" spans="1:13" x14ac:dyDescent="0.2">
      <c r="A16" s="87"/>
      <c r="B16" s="88"/>
      <c r="C16" s="88"/>
      <c r="D16" s="94"/>
      <c r="E16" s="291"/>
      <c r="F16" s="289"/>
    </row>
    <row r="17" spans="1:7" x14ac:dyDescent="0.2">
      <c r="A17" s="87"/>
      <c r="B17" s="88"/>
      <c r="C17" s="88"/>
      <c r="D17" s="88">
        <f>SUM(D5:D16)</f>
        <v>-58671</v>
      </c>
      <c r="E17" s="291"/>
      <c r="F17" s="289"/>
    </row>
    <row r="18" spans="1:7" x14ac:dyDescent="0.2">
      <c r="A18" s="87" t="s">
        <v>87</v>
      </c>
      <c r="B18" s="88"/>
      <c r="C18" s="88"/>
      <c r="D18" s="95">
        <f>+summary!P11</f>
        <v>5.94</v>
      </c>
      <c r="E18" s="293"/>
      <c r="F18" s="289"/>
    </row>
    <row r="19" spans="1:7" x14ac:dyDescent="0.2">
      <c r="A19" s="87"/>
      <c r="B19" s="88"/>
      <c r="C19" s="88"/>
      <c r="D19" s="96">
        <f>+D18*D17</f>
        <v>-348505.74000000005</v>
      </c>
      <c r="E19" s="209"/>
      <c r="F19" s="290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36922</v>
      </c>
      <c r="B21" s="88"/>
      <c r="C21" s="88"/>
      <c r="D21" s="381">
        <v>1123225.45</v>
      </c>
      <c r="E21" s="209"/>
      <c r="F21" s="66"/>
    </row>
    <row r="22" spans="1:7" x14ac:dyDescent="0.2">
      <c r="A22" s="87"/>
      <c r="B22" s="88"/>
      <c r="C22" s="88"/>
      <c r="D22" s="347"/>
      <c r="E22" s="209"/>
      <c r="F22" s="66"/>
    </row>
    <row r="23" spans="1:7" ht="13.5" thickBot="1" x14ac:dyDescent="0.25">
      <c r="A23" s="99">
        <v>36929</v>
      </c>
      <c r="B23" s="88"/>
      <c r="C23" s="88"/>
      <c r="D23" s="382">
        <f>+D21+D19</f>
        <v>774719.71</v>
      </c>
      <c r="E23" s="209"/>
      <c r="F23" s="66"/>
    </row>
    <row r="24" spans="1:7" ht="13.5" thickTop="1" x14ac:dyDescent="0.2">
      <c r="E24" s="294"/>
    </row>
    <row r="25" spans="1:7" x14ac:dyDescent="0.2">
      <c r="E25" s="294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24"/>
      <c r="E36" s="69"/>
      <c r="F36" s="70"/>
      <c r="G36" s="32"/>
    </row>
    <row r="37" spans="1:7" x14ac:dyDescent="0.2">
      <c r="B37" s="69"/>
      <c r="C37" s="69"/>
      <c r="D37" s="324"/>
      <c r="E37" s="69"/>
      <c r="F37" s="70"/>
      <c r="G37" s="32"/>
    </row>
    <row r="38" spans="1:7" x14ac:dyDescent="0.2">
      <c r="B38" s="69"/>
      <c r="C38" s="69"/>
      <c r="D38" s="324"/>
      <c r="E38" s="69"/>
      <c r="F38" s="70"/>
      <c r="G38" s="32"/>
    </row>
    <row r="39" spans="1:7" x14ac:dyDescent="0.2">
      <c r="B39" s="69"/>
      <c r="C39" s="69"/>
      <c r="D39" s="324"/>
      <c r="E39" s="69"/>
      <c r="F39" s="70"/>
      <c r="G39" s="32"/>
    </row>
    <row r="40" spans="1:7" x14ac:dyDescent="0.2">
      <c r="B40" s="69"/>
      <c r="C40" s="69"/>
      <c r="D40" s="324"/>
      <c r="E40" s="69"/>
      <c r="F40" s="70"/>
      <c r="G40" s="32"/>
    </row>
    <row r="41" spans="1:7" x14ac:dyDescent="0.2">
      <c r="B41" s="69"/>
      <c r="C41" s="69"/>
      <c r="D41" s="324"/>
      <c r="E41" s="69"/>
      <c r="F41" s="70"/>
      <c r="G41" s="32"/>
    </row>
    <row r="42" spans="1:7" x14ac:dyDescent="0.2">
      <c r="B42" s="69"/>
      <c r="C42" s="69"/>
      <c r="D42" s="324"/>
      <c r="E42" s="69"/>
      <c r="F42" s="70"/>
      <c r="G42" s="32"/>
    </row>
    <row r="43" spans="1:7" x14ac:dyDescent="0.2">
      <c r="B43" s="69"/>
      <c r="C43" s="69"/>
      <c r="D43" s="324"/>
      <c r="E43" s="69"/>
      <c r="F43" s="70"/>
      <c r="G43" s="32"/>
    </row>
    <row r="44" spans="1:7" x14ac:dyDescent="0.2">
      <c r="B44" s="69"/>
      <c r="C44" s="69"/>
      <c r="D44" s="325"/>
      <c r="E44" s="291"/>
      <c r="F44" s="289"/>
      <c r="G44" s="206"/>
    </row>
    <row r="45" spans="1:7" x14ac:dyDescent="0.2">
      <c r="B45" s="69"/>
      <c r="C45" s="69"/>
      <c r="D45" s="325"/>
      <c r="E45" s="291"/>
      <c r="F45" s="289"/>
      <c r="G45" s="206"/>
    </row>
    <row r="46" spans="1:7" x14ac:dyDescent="0.2">
      <c r="A46" s="32"/>
      <c r="B46" s="69"/>
      <c r="C46" s="69"/>
      <c r="D46" s="291"/>
      <c r="E46" s="291"/>
      <c r="F46" s="289"/>
      <c r="G46" s="206"/>
    </row>
    <row r="47" spans="1:7" x14ac:dyDescent="0.2">
      <c r="A47" s="32"/>
      <c r="B47" s="69"/>
      <c r="C47" s="69"/>
      <c r="D47" s="293"/>
      <c r="E47" s="293"/>
      <c r="F47" s="289"/>
      <c r="G47" s="206"/>
    </row>
    <row r="48" spans="1:7" x14ac:dyDescent="0.2">
      <c r="B48" s="69"/>
      <c r="C48" s="69"/>
      <c r="D48" s="291"/>
      <c r="E48" s="291"/>
      <c r="F48" s="290"/>
      <c r="G48" s="206"/>
    </row>
    <row r="49" spans="1:7" x14ac:dyDescent="0.2">
      <c r="B49" s="69"/>
      <c r="C49" s="69"/>
      <c r="D49" s="291"/>
      <c r="E49" s="291"/>
      <c r="F49" s="290"/>
      <c r="G49" s="206"/>
    </row>
    <row r="50" spans="1:7" x14ac:dyDescent="0.2">
      <c r="C50" s="321"/>
      <c r="D50" s="321"/>
      <c r="E50" s="321"/>
      <c r="F50" s="322"/>
      <c r="G50" s="323"/>
    </row>
    <row r="51" spans="1:7" x14ac:dyDescent="0.2">
      <c r="A51" s="32"/>
      <c r="C51" s="321"/>
      <c r="D51" s="321"/>
      <c r="E51" s="321"/>
      <c r="F51" s="322"/>
    </row>
    <row r="52" spans="1:7" x14ac:dyDescent="0.2">
      <c r="A52" s="32"/>
      <c r="C52" s="321"/>
      <c r="D52" s="321"/>
      <c r="E52" s="321"/>
      <c r="F52" s="322"/>
    </row>
    <row r="53" spans="1:7" x14ac:dyDescent="0.2">
      <c r="A53" s="32"/>
      <c r="C53" s="321"/>
      <c r="D53" s="321"/>
      <c r="E53" s="321"/>
      <c r="F53" s="322"/>
    </row>
    <row r="54" spans="1:7" x14ac:dyDescent="0.2">
      <c r="A54" s="32"/>
      <c r="C54" s="321"/>
      <c r="D54" s="321"/>
      <c r="E54" s="321"/>
      <c r="F54" s="322"/>
    </row>
    <row r="55" spans="1:7" x14ac:dyDescent="0.2">
      <c r="A55" s="32"/>
      <c r="C55" s="321"/>
      <c r="D55" s="321"/>
      <c r="E55" s="294"/>
      <c r="F55" s="294"/>
    </row>
    <row r="56" spans="1:7" x14ac:dyDescent="0.2">
      <c r="C56" s="321"/>
      <c r="D56" s="321"/>
      <c r="E56" s="294"/>
      <c r="F56" s="294"/>
    </row>
    <row r="57" spans="1:7" x14ac:dyDescent="0.2">
      <c r="C57" s="321"/>
      <c r="D57" s="321"/>
      <c r="E57" s="294"/>
      <c r="F57" s="294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6" workbookViewId="0">
      <selection activeCell="A39" sqref="A39"/>
    </sheetView>
    <sheetView workbookViewId="1">
      <selection activeCell="C10" sqref="C10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5" t="s">
        <v>21</v>
      </c>
      <c r="C2" s="265" t="s">
        <v>22</v>
      </c>
      <c r="D2" s="265" t="s">
        <v>21</v>
      </c>
      <c r="E2" s="265" t="s">
        <v>22</v>
      </c>
      <c r="F2" s="266" t="s">
        <v>53</v>
      </c>
    </row>
    <row r="3" spans="1:6" x14ac:dyDescent="0.2">
      <c r="A3">
        <v>1</v>
      </c>
      <c r="B3" s="90">
        <v>36840</v>
      </c>
      <c r="C3" s="90">
        <v>37236</v>
      </c>
      <c r="D3" s="90"/>
      <c r="E3" s="90"/>
      <c r="F3" s="90">
        <f>+C3-B3+D3-E3</f>
        <v>396</v>
      </c>
    </row>
    <row r="4" spans="1:6" x14ac:dyDescent="0.2">
      <c r="A4">
        <v>2</v>
      </c>
      <c r="B4" s="90">
        <v>44709</v>
      </c>
      <c r="C4" s="90">
        <v>44762</v>
      </c>
      <c r="D4" s="90"/>
      <c r="E4" s="90"/>
      <c r="F4" s="90">
        <f t="shared" ref="F4:F33" si="0">+C4-B4+D4-E4</f>
        <v>53</v>
      </c>
    </row>
    <row r="5" spans="1:6" x14ac:dyDescent="0.2">
      <c r="A5">
        <v>3</v>
      </c>
      <c r="B5" s="90">
        <v>42744</v>
      </c>
      <c r="C5" s="90">
        <v>42762</v>
      </c>
      <c r="D5" s="90"/>
      <c r="E5" s="90">
        <v>15000</v>
      </c>
      <c r="F5" s="90">
        <f t="shared" si="0"/>
        <v>-14982</v>
      </c>
    </row>
    <row r="6" spans="1:6" x14ac:dyDescent="0.2">
      <c r="A6">
        <v>4</v>
      </c>
      <c r="B6" s="90">
        <v>42732</v>
      </c>
      <c r="C6" s="90">
        <v>42762</v>
      </c>
      <c r="D6" s="90"/>
      <c r="E6" s="90">
        <v>15000</v>
      </c>
      <c r="F6" s="90">
        <f t="shared" si="0"/>
        <v>-14970</v>
      </c>
    </row>
    <row r="7" spans="1:6" x14ac:dyDescent="0.2">
      <c r="A7">
        <v>5</v>
      </c>
      <c r="B7" s="90">
        <v>42708</v>
      </c>
      <c r="C7" s="90">
        <v>42762</v>
      </c>
      <c r="D7" s="90">
        <v>38</v>
      </c>
      <c r="E7" s="90">
        <v>15000</v>
      </c>
      <c r="F7" s="90">
        <f t="shared" si="0"/>
        <v>-14908</v>
      </c>
    </row>
    <row r="8" spans="1:6" x14ac:dyDescent="0.2">
      <c r="A8">
        <v>6</v>
      </c>
      <c r="B8" s="90">
        <v>48175</v>
      </c>
      <c r="C8" s="90">
        <v>48262</v>
      </c>
      <c r="D8" s="90"/>
      <c r="E8" s="90"/>
      <c r="F8" s="90">
        <f t="shared" si="0"/>
        <v>87</v>
      </c>
    </row>
    <row r="9" spans="1:6" x14ac:dyDescent="0.2">
      <c r="A9">
        <v>7</v>
      </c>
      <c r="B9" s="90">
        <v>33784</v>
      </c>
      <c r="C9" s="90">
        <v>33736</v>
      </c>
      <c r="D9" s="90"/>
      <c r="E9" s="90"/>
      <c r="F9" s="90">
        <f t="shared" si="0"/>
        <v>-48</v>
      </c>
    </row>
    <row r="10" spans="1:6" x14ac:dyDescent="0.2">
      <c r="A10">
        <v>8</v>
      </c>
      <c r="B10" s="90"/>
      <c r="C10" s="90"/>
      <c r="D10" s="90"/>
      <c r="E10" s="90"/>
      <c r="F10" s="90">
        <f t="shared" si="0"/>
        <v>0</v>
      </c>
    </row>
    <row r="11" spans="1:6" x14ac:dyDescent="0.2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">
      <c r="A20">
        <v>18</v>
      </c>
      <c r="B20" s="14"/>
      <c r="C20" s="14"/>
      <c r="D20" s="14"/>
      <c r="E20" s="14"/>
      <c r="F20" s="90">
        <f t="shared" si="0"/>
        <v>0</v>
      </c>
    </row>
    <row r="21" spans="1:6" x14ac:dyDescent="0.2">
      <c r="A21">
        <v>19</v>
      </c>
      <c r="B21" s="14"/>
      <c r="C21" s="14"/>
      <c r="D21" s="14"/>
      <c r="E21" s="14"/>
      <c r="F21" s="90">
        <f t="shared" si="0"/>
        <v>0</v>
      </c>
    </row>
    <row r="22" spans="1:6" x14ac:dyDescent="0.2">
      <c r="A22">
        <v>20</v>
      </c>
      <c r="B22" s="14"/>
      <c r="C22" s="14"/>
      <c r="D22" s="14"/>
      <c r="E22" s="14"/>
      <c r="F22" s="90">
        <f t="shared" si="0"/>
        <v>0</v>
      </c>
    </row>
    <row r="23" spans="1:6" x14ac:dyDescent="0.2">
      <c r="A23">
        <v>21</v>
      </c>
      <c r="B23" s="14"/>
      <c r="C23" s="14"/>
      <c r="D23" s="14"/>
      <c r="E23" s="14"/>
      <c r="F23" s="90">
        <f t="shared" si="0"/>
        <v>0</v>
      </c>
    </row>
    <row r="24" spans="1:6" x14ac:dyDescent="0.2">
      <c r="A24">
        <v>22</v>
      </c>
      <c r="B24" s="14"/>
      <c r="C24" s="14"/>
      <c r="D24" s="14"/>
      <c r="E24" s="14"/>
      <c r="F24" s="90">
        <f t="shared" si="0"/>
        <v>0</v>
      </c>
    </row>
    <row r="25" spans="1:6" x14ac:dyDescent="0.2">
      <c r="A25">
        <v>23</v>
      </c>
      <c r="B25" s="14"/>
      <c r="C25" s="14"/>
      <c r="D25" s="14"/>
      <c r="E25" s="14"/>
      <c r="F25" s="90">
        <f t="shared" si="0"/>
        <v>0</v>
      </c>
    </row>
    <row r="26" spans="1:6" x14ac:dyDescent="0.2">
      <c r="A26">
        <v>24</v>
      </c>
      <c r="B26" s="14"/>
      <c r="C26" s="14"/>
      <c r="D26" s="14"/>
      <c r="E26" s="14"/>
      <c r="F26" s="90">
        <f t="shared" si="0"/>
        <v>0</v>
      </c>
    </row>
    <row r="27" spans="1:6" x14ac:dyDescent="0.2">
      <c r="A27">
        <v>25</v>
      </c>
      <c r="B27" s="14"/>
      <c r="C27" s="14"/>
      <c r="D27" s="14"/>
      <c r="E27" s="14"/>
      <c r="F27" s="90">
        <f t="shared" si="0"/>
        <v>0</v>
      </c>
    </row>
    <row r="28" spans="1:6" x14ac:dyDescent="0.2">
      <c r="A28">
        <v>26</v>
      </c>
      <c r="B28" s="14"/>
      <c r="C28" s="14"/>
      <c r="D28" s="14"/>
      <c r="E28" s="14"/>
      <c r="F28" s="90">
        <f t="shared" si="0"/>
        <v>0</v>
      </c>
    </row>
    <row r="29" spans="1:6" x14ac:dyDescent="0.2">
      <c r="A29">
        <v>27</v>
      </c>
      <c r="B29" s="14"/>
      <c r="C29" s="14"/>
      <c r="D29" s="14"/>
      <c r="E29" s="14"/>
      <c r="F29" s="90">
        <f t="shared" si="0"/>
        <v>0</v>
      </c>
    </row>
    <row r="30" spans="1:6" x14ac:dyDescent="0.2">
      <c r="A30">
        <v>28</v>
      </c>
      <c r="B30" s="14"/>
      <c r="C30" s="14"/>
      <c r="D30" s="14"/>
      <c r="E30" s="14"/>
      <c r="F30" s="90">
        <f t="shared" si="0"/>
        <v>0</v>
      </c>
    </row>
    <row r="31" spans="1:6" x14ac:dyDescent="0.2">
      <c r="A31">
        <v>29</v>
      </c>
      <c r="B31" s="14"/>
      <c r="C31" s="14"/>
      <c r="D31" s="14"/>
      <c r="E31" s="14"/>
      <c r="F31" s="90">
        <f t="shared" si="0"/>
        <v>0</v>
      </c>
    </row>
    <row r="32" spans="1:6" x14ac:dyDescent="0.2">
      <c r="A32">
        <v>30</v>
      </c>
      <c r="B32" s="14"/>
      <c r="C32" s="14"/>
      <c r="D32" s="14"/>
      <c r="E32" s="14"/>
      <c r="F32" s="90">
        <f t="shared" si="0"/>
        <v>0</v>
      </c>
    </row>
    <row r="33" spans="1:6" x14ac:dyDescent="0.2">
      <c r="A33">
        <v>31</v>
      </c>
      <c r="B33" s="14"/>
      <c r="C33" s="14"/>
      <c r="D33" s="14"/>
      <c r="E33" s="14"/>
      <c r="F33" s="90">
        <f t="shared" si="0"/>
        <v>0</v>
      </c>
    </row>
    <row r="34" spans="1:6" x14ac:dyDescent="0.2">
      <c r="B34" s="303">
        <f>SUM(B3:B33)</f>
        <v>291692</v>
      </c>
      <c r="C34" s="303">
        <f>SUM(C3:C33)</f>
        <v>292282</v>
      </c>
      <c r="D34" s="14">
        <f>SUM(D3:D33)</f>
        <v>38</v>
      </c>
      <c r="E34" s="14">
        <f>SUM(E3:E33)</f>
        <v>45000</v>
      </c>
      <c r="F34" s="14">
        <f>SUM(F3:F33)</f>
        <v>-44372</v>
      </c>
    </row>
    <row r="35" spans="1:6" x14ac:dyDescent="0.2">
      <c r="D35" s="14"/>
      <c r="E35" s="14"/>
      <c r="F35" s="14"/>
    </row>
    <row r="36" spans="1:6" x14ac:dyDescent="0.2">
      <c r="F36" s="261"/>
    </row>
    <row r="37" spans="1:6" x14ac:dyDescent="0.2">
      <c r="A37" s="267">
        <v>36922</v>
      </c>
      <c r="B37" s="14"/>
      <c r="C37" s="14"/>
      <c r="D37" s="14"/>
      <c r="E37" s="14"/>
      <c r="F37" s="51">
        <v>136733</v>
      </c>
    </row>
    <row r="38" spans="1:6" x14ac:dyDescent="0.2">
      <c r="A38" s="267">
        <v>36929</v>
      </c>
      <c r="B38" s="14"/>
      <c r="C38" s="14"/>
      <c r="D38" s="14"/>
      <c r="E38" s="14"/>
      <c r="F38" s="24">
        <f>+F37+F34</f>
        <v>92361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A39" sqref="A39"/>
    </sheetView>
  </sheetViews>
  <sheetFormatPr defaultRowHeight="12.75" x14ac:dyDescent="0.2"/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15125</v>
      </c>
      <c r="C4" s="11">
        <v>15368</v>
      </c>
      <c r="D4" s="25">
        <f>+C4-B4</f>
        <v>243</v>
      </c>
    </row>
    <row r="5" spans="1:4" x14ac:dyDescent="0.2">
      <c r="A5" s="10">
        <v>2</v>
      </c>
      <c r="B5" s="11">
        <v>19055</v>
      </c>
      <c r="C5" s="11">
        <v>20609</v>
      </c>
      <c r="D5" s="25">
        <f t="shared" ref="D5:D34" si="0">+C5-B5</f>
        <v>1554</v>
      </c>
    </row>
    <row r="6" spans="1:4" x14ac:dyDescent="0.2">
      <c r="A6" s="10">
        <v>3</v>
      </c>
      <c r="B6" s="11">
        <v>27279</v>
      </c>
      <c r="C6" s="11">
        <v>25523</v>
      </c>
      <c r="D6" s="25">
        <f t="shared" si="0"/>
        <v>-1756</v>
      </c>
    </row>
    <row r="7" spans="1:4" x14ac:dyDescent="0.2">
      <c r="A7" s="10">
        <v>4</v>
      </c>
      <c r="B7" s="11">
        <v>25613</v>
      </c>
      <c r="C7" s="11">
        <v>29048</v>
      </c>
      <c r="D7" s="25">
        <f t="shared" si="0"/>
        <v>3435</v>
      </c>
    </row>
    <row r="8" spans="1:4" x14ac:dyDescent="0.2">
      <c r="A8" s="10">
        <v>5</v>
      </c>
      <c r="B8" s="11">
        <v>30000</v>
      </c>
      <c r="C8" s="11">
        <v>29248</v>
      </c>
      <c r="D8" s="25">
        <f t="shared" si="0"/>
        <v>-752</v>
      </c>
    </row>
    <row r="9" spans="1:4" x14ac:dyDescent="0.2">
      <c r="A9" s="10">
        <v>6</v>
      </c>
      <c r="B9" s="11">
        <v>30000</v>
      </c>
      <c r="C9" s="11">
        <v>30707</v>
      </c>
      <c r="D9" s="25">
        <f t="shared" si="0"/>
        <v>707</v>
      </c>
    </row>
    <row r="10" spans="1:4" x14ac:dyDescent="0.2">
      <c r="A10" s="10">
        <v>7</v>
      </c>
      <c r="B10" s="11">
        <v>32764</v>
      </c>
      <c r="C10" s="11">
        <v>33690</v>
      </c>
      <c r="D10" s="25">
        <f t="shared" si="0"/>
        <v>926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179836</v>
      </c>
      <c r="C35" s="11">
        <f>SUM(C4:C34)</f>
        <v>184193</v>
      </c>
      <c r="D35" s="11">
        <f>SUM(D4:D34)</f>
        <v>4357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36922</v>
      </c>
      <c r="D38" s="249">
        <v>49955</v>
      </c>
    </row>
    <row r="39" spans="1:4" x14ac:dyDescent="0.2">
      <c r="A39" s="2"/>
      <c r="D39" s="24"/>
    </row>
    <row r="40" spans="1:4" x14ac:dyDescent="0.2">
      <c r="A40" s="57">
        <v>36929</v>
      </c>
      <c r="D40" s="36">
        <f>+D38+D35</f>
        <v>54312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workbookViewId="1">
      <selection activeCell="C11" sqref="C1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116</v>
      </c>
      <c r="C2" s="4"/>
      <c r="D2" s="38" t="s">
        <v>117</v>
      </c>
      <c r="E2" s="4"/>
      <c r="F2" s="38" t="s">
        <v>118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33193</v>
      </c>
      <c r="C4" s="11">
        <v>30049</v>
      </c>
      <c r="D4" s="11">
        <v>10503</v>
      </c>
      <c r="E4" s="11">
        <v>10000</v>
      </c>
      <c r="F4" s="11">
        <v>23795</v>
      </c>
      <c r="G4" s="11">
        <v>25000</v>
      </c>
      <c r="H4" s="11"/>
      <c r="I4" s="11"/>
      <c r="J4" s="11">
        <f t="shared" ref="J4:J34" si="0">+C4+E4+G4+I4-H4-F4-D4-B4</f>
        <v>-2442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33037</v>
      </c>
      <c r="C5" s="11">
        <v>33666</v>
      </c>
      <c r="D5" s="11">
        <v>10371</v>
      </c>
      <c r="E5" s="11">
        <v>10000</v>
      </c>
      <c r="F5" s="11">
        <v>24097</v>
      </c>
      <c r="G5" s="11">
        <v>25000</v>
      </c>
      <c r="H5" s="11"/>
      <c r="I5" s="11"/>
      <c r="J5" s="11">
        <f t="shared" si="0"/>
        <v>1161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32947</v>
      </c>
      <c r="C6" s="11">
        <v>33000</v>
      </c>
      <c r="D6" s="11">
        <v>10032</v>
      </c>
      <c r="E6" s="11">
        <v>10000</v>
      </c>
      <c r="F6" s="11">
        <v>24103</v>
      </c>
      <c r="G6" s="11">
        <v>24718</v>
      </c>
      <c r="H6" s="11"/>
      <c r="I6" s="11"/>
      <c r="J6" s="11">
        <f t="shared" si="0"/>
        <v>636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32790</v>
      </c>
      <c r="C7" s="11">
        <v>33000</v>
      </c>
      <c r="D7" s="11">
        <v>10136</v>
      </c>
      <c r="E7" s="11">
        <v>10000</v>
      </c>
      <c r="F7" s="11">
        <v>23821</v>
      </c>
      <c r="G7" s="11">
        <v>24718</v>
      </c>
      <c r="H7" s="11">
        <v>212</v>
      </c>
      <c r="I7" s="11"/>
      <c r="J7" s="11">
        <f t="shared" si="0"/>
        <v>759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32630</v>
      </c>
      <c r="C8" s="11">
        <v>33000</v>
      </c>
      <c r="D8" s="11">
        <v>10383</v>
      </c>
      <c r="E8" s="11">
        <v>10000</v>
      </c>
      <c r="F8" s="11">
        <v>24847</v>
      </c>
      <c r="G8" s="11">
        <v>24718</v>
      </c>
      <c r="H8" s="11"/>
      <c r="I8" s="11"/>
      <c r="J8" s="11">
        <f t="shared" si="0"/>
        <v>-142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32514</v>
      </c>
      <c r="C9" s="11">
        <v>33000</v>
      </c>
      <c r="D9" s="11">
        <v>10151</v>
      </c>
      <c r="E9" s="11">
        <v>10000</v>
      </c>
      <c r="F9" s="11">
        <v>24836</v>
      </c>
      <c r="G9" s="11">
        <v>25666</v>
      </c>
      <c r="H9" s="11"/>
      <c r="I9" s="11"/>
      <c r="J9" s="11">
        <f t="shared" si="0"/>
        <v>1165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32414</v>
      </c>
      <c r="C10" s="11">
        <v>33000</v>
      </c>
      <c r="D10" s="11">
        <v>8698</v>
      </c>
      <c r="E10" s="11">
        <v>10000</v>
      </c>
      <c r="F10" s="11">
        <v>24612</v>
      </c>
      <c r="G10" s="11">
        <v>25666</v>
      </c>
      <c r="H10" s="11"/>
      <c r="I10" s="11"/>
      <c r="J10" s="11">
        <f t="shared" si="0"/>
        <v>2942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229525</v>
      </c>
      <c r="C35" s="11">
        <f t="shared" ref="C35:I35" si="1">SUM(C4:C34)</f>
        <v>228715</v>
      </c>
      <c r="D35" s="11">
        <f t="shared" si="1"/>
        <v>70274</v>
      </c>
      <c r="E35" s="11">
        <f t="shared" si="1"/>
        <v>70000</v>
      </c>
      <c r="F35" s="11">
        <f t="shared" si="1"/>
        <v>170111</v>
      </c>
      <c r="G35" s="11">
        <f t="shared" si="1"/>
        <v>175486</v>
      </c>
      <c r="H35" s="11">
        <f t="shared" si="1"/>
        <v>212</v>
      </c>
      <c r="I35" s="11">
        <f t="shared" si="1"/>
        <v>0</v>
      </c>
      <c r="J35" s="11">
        <f>SUM(J4:J34)</f>
        <v>4079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+summary!P11</f>
        <v>5.94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24229.260000000002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4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36922</v>
      </c>
      <c r="C39" s="25"/>
      <c r="E39" s="25"/>
      <c r="G39" s="25"/>
      <c r="I39" s="25"/>
      <c r="J39" s="388">
        <v>-341460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88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36929</v>
      </c>
      <c r="J41" s="388">
        <f>+J39+J37</f>
        <v>-317230.74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4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7" workbookViewId="1">
      <selection activeCell="C32" sqref="C3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2.1406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1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80</v>
      </c>
      <c r="AD1" s="38" t="s">
        <v>81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129</v>
      </c>
      <c r="B4" s="237">
        <v>500168</v>
      </c>
      <c r="C4" s="24" t="s">
        <v>82</v>
      </c>
      <c r="D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38264</v>
      </c>
      <c r="C6" s="24">
        <v>38260</v>
      </c>
      <c r="D6" s="24">
        <f>+C6-B6</f>
        <v>-4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40528</v>
      </c>
      <c r="C7" s="24">
        <v>41288</v>
      </c>
      <c r="D7" s="24">
        <f t="shared" ref="D7:D36" si="0">+C7-B7</f>
        <v>760</v>
      </c>
      <c r="E7" s="214"/>
      <c r="F7" s="206"/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5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55919</v>
      </c>
      <c r="C8" s="24">
        <v>52759</v>
      </c>
      <c r="D8" s="24">
        <f t="shared" si="0"/>
        <v>-3160</v>
      </c>
      <c r="E8" s="209"/>
      <c r="F8" s="206"/>
      <c r="G8" s="217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5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55926</v>
      </c>
      <c r="C9" s="24">
        <v>52856</v>
      </c>
      <c r="D9" s="24">
        <f t="shared" si="0"/>
        <v>-3070</v>
      </c>
      <c r="E9" s="209"/>
      <c r="F9" s="206"/>
      <c r="G9" s="217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5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55221</v>
      </c>
      <c r="C10" s="24">
        <v>55727</v>
      </c>
      <c r="D10" s="24">
        <f t="shared" si="0"/>
        <v>506</v>
      </c>
      <c r="E10" s="209"/>
      <c r="F10" s="206"/>
      <c r="G10" s="21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5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54884</v>
      </c>
      <c r="C11" s="24">
        <v>57962</v>
      </c>
      <c r="D11" s="24">
        <f t="shared" si="0"/>
        <v>3078</v>
      </c>
      <c r="E11" s="209"/>
      <c r="F11" s="206"/>
      <c r="G11" s="21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5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66274</v>
      </c>
      <c r="C12" s="24">
        <v>56463</v>
      </c>
      <c r="D12" s="24">
        <f t="shared" si="0"/>
        <v>-9811</v>
      </c>
      <c r="E12" s="209"/>
      <c r="F12" s="206"/>
      <c r="G12" s="21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5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0</v>
      </c>
      <c r="E13" s="209"/>
      <c r="F13" s="206"/>
      <c r="G13" s="21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5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09"/>
      <c r="F14" s="206"/>
      <c r="G14" s="21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5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0</v>
      </c>
      <c r="E15" s="209"/>
      <c r="F15" s="206"/>
      <c r="G15" s="218"/>
      <c r="O15" s="135"/>
      <c r="P15" s="205"/>
      <c r="R15" s="14"/>
      <c r="AD15" s="101"/>
      <c r="AE15" s="215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0</v>
      </c>
      <c r="E16" s="209"/>
      <c r="F16" s="206"/>
      <c r="G16" s="21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5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0</v>
      </c>
      <c r="E17" s="209"/>
      <c r="F17" s="206"/>
      <c r="G17" s="218"/>
      <c r="O17" s="135"/>
      <c r="P17" s="205"/>
      <c r="R17" s="14"/>
      <c r="S17" s="205"/>
      <c r="AD17" s="101"/>
      <c r="AE17" s="215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0</v>
      </c>
      <c r="E18" s="209"/>
      <c r="F18" s="206"/>
      <c r="G18" s="218"/>
      <c r="O18" s="135"/>
      <c r="P18" s="205"/>
      <c r="R18" s="14"/>
      <c r="S18" s="205"/>
      <c r="AD18" s="101"/>
      <c r="AE18" s="215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0</v>
      </c>
      <c r="E19" s="209"/>
      <c r="F19" s="206"/>
      <c r="G19" s="218"/>
      <c r="O19" s="135"/>
      <c r="P19" s="205"/>
      <c r="R19" s="14"/>
      <c r="S19" s="205"/>
      <c r="U19" s="14"/>
      <c r="AD19" s="101"/>
      <c r="AE19" s="215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0</v>
      </c>
      <c r="E20" s="209"/>
      <c r="F20" s="206"/>
      <c r="G20" s="218"/>
      <c r="O20" s="135"/>
      <c r="P20" s="205"/>
      <c r="R20" s="14"/>
      <c r="S20" s="205"/>
      <c r="U20" s="14"/>
      <c r="AD20" s="101"/>
      <c r="AE20" s="215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0</v>
      </c>
      <c r="E21" s="209"/>
      <c r="F21" s="206"/>
      <c r="G21" s="218"/>
      <c r="O21" s="135"/>
      <c r="P21" s="205"/>
      <c r="R21" s="14"/>
      <c r="S21" s="205"/>
      <c r="U21" s="14"/>
      <c r="AD21" s="101"/>
      <c r="AE21" s="215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09"/>
      <c r="F22" s="206"/>
      <c r="G22" s="21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5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09"/>
      <c r="F23" s="206"/>
      <c r="G23" s="21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5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09"/>
      <c r="F24" s="206"/>
      <c r="G24" s="21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5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09"/>
      <c r="F25" s="206"/>
      <c r="G25" s="218"/>
      <c r="O25" s="135"/>
      <c r="P25" s="205"/>
      <c r="Q25" s="219"/>
      <c r="R25" s="14"/>
      <c r="S25" s="205"/>
      <c r="U25" s="14"/>
      <c r="V25" s="14"/>
      <c r="W25" s="75"/>
      <c r="X25" s="15"/>
      <c r="Y25" s="15"/>
      <c r="AD25" s="101"/>
      <c r="AE25" s="215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09"/>
      <c r="F26" s="206"/>
      <c r="G26" s="218"/>
      <c r="O26" s="135"/>
      <c r="P26" s="205"/>
      <c r="Q26" s="135"/>
      <c r="R26" s="14"/>
      <c r="U26" s="14"/>
      <c r="V26" s="14"/>
      <c r="W26" s="75"/>
      <c r="X26" s="15"/>
      <c r="AD26" s="101"/>
      <c r="AE26" s="215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09"/>
      <c r="F27" s="206"/>
      <c r="G27" s="218"/>
      <c r="O27" s="135"/>
      <c r="P27" s="205"/>
      <c r="Q27" s="135"/>
      <c r="R27" s="14"/>
      <c r="U27" s="14"/>
      <c r="V27" s="14"/>
      <c r="W27" s="75"/>
      <c r="X27" s="201"/>
      <c r="AD27" s="101"/>
      <c r="AE27" s="215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09"/>
      <c r="F28" s="206"/>
      <c r="G28" s="218"/>
      <c r="O28" s="135"/>
      <c r="P28" s="205"/>
      <c r="Q28" s="135"/>
      <c r="R28" s="14"/>
      <c r="U28" s="14"/>
      <c r="V28" s="14"/>
      <c r="W28" s="75"/>
      <c r="X28" s="218"/>
      <c r="AD28" s="101"/>
      <c r="AE28" s="215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09"/>
      <c r="F29" s="206"/>
      <c r="G29" s="218"/>
      <c r="P29" s="205"/>
      <c r="Q29" s="135"/>
      <c r="R29" s="14"/>
      <c r="U29" s="14"/>
      <c r="V29" s="14"/>
      <c r="W29" s="75"/>
      <c r="X29" s="221"/>
      <c r="AD29" s="101"/>
      <c r="AE29" s="215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09"/>
      <c r="F30" s="206"/>
      <c r="G30" s="218"/>
      <c r="AD30" s="101"/>
      <c r="AE30" s="215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09"/>
      <c r="F31" s="206"/>
      <c r="G31" s="218"/>
      <c r="Q31" s="135"/>
      <c r="R31" s="14"/>
      <c r="S31" s="14"/>
      <c r="T31" s="14"/>
      <c r="U31" s="75"/>
      <c r="V31" s="15"/>
      <c r="AD31" s="101"/>
      <c r="AE31" s="215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09"/>
      <c r="F32" s="206"/>
      <c r="G32" s="218"/>
      <c r="Q32" s="135"/>
      <c r="R32" s="14"/>
      <c r="S32" s="14"/>
      <c r="T32" s="14"/>
      <c r="U32" s="75"/>
      <c r="V32" s="15"/>
      <c r="AD32" s="101"/>
      <c r="AE32" s="215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09"/>
      <c r="F33" s="206"/>
      <c r="G33" s="218"/>
      <c r="Q33" s="135"/>
      <c r="R33" s="14"/>
      <c r="S33" s="14"/>
      <c r="T33" s="14"/>
      <c r="U33" s="75"/>
      <c r="V33" s="15"/>
      <c r="AD33" s="101"/>
      <c r="AE33" s="215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09"/>
      <c r="F34" s="206"/>
      <c r="G34" s="218"/>
      <c r="Q34" s="135"/>
      <c r="R34" s="14"/>
      <c r="S34" s="14"/>
      <c r="T34" s="14"/>
      <c r="U34" s="75"/>
      <c r="V34" s="15"/>
      <c r="AD34" s="101"/>
      <c r="AE34" s="215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09"/>
      <c r="F35" s="206"/>
      <c r="G35" s="218"/>
      <c r="R35" s="14"/>
      <c r="S35" s="14"/>
      <c r="T35" s="14"/>
      <c r="U35" s="75"/>
      <c r="V35" s="15"/>
      <c r="AD35" s="101"/>
      <c r="AE35" s="215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09"/>
      <c r="F36" s="206"/>
      <c r="G36" s="218"/>
      <c r="R36" s="14"/>
      <c r="S36" s="14"/>
      <c r="T36" s="14"/>
      <c r="U36" s="75"/>
      <c r="V36" s="15"/>
      <c r="AD36" s="101"/>
      <c r="AE36" s="215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367016</v>
      </c>
      <c r="C37" s="24">
        <f>SUM(C6:C36)</f>
        <v>355315</v>
      </c>
      <c r="D37" s="24">
        <f>SUM(D6:D36)</f>
        <v>-11701</v>
      </c>
      <c r="E37" s="209"/>
      <c r="F37" s="206"/>
      <c r="G37" s="218"/>
      <c r="R37" s="14"/>
      <c r="S37" s="14"/>
      <c r="T37" s="14"/>
      <c r="U37" s="75"/>
      <c r="V37" s="15"/>
      <c r="AD37" s="101"/>
      <c r="AE37" s="215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83</v>
      </c>
      <c r="B38" s="14"/>
      <c r="C38" s="14"/>
      <c r="D38" s="104">
        <f>+summary!P11</f>
        <v>5.94</v>
      </c>
      <c r="E38" s="209"/>
      <c r="F38" s="206"/>
      <c r="G38" s="218"/>
      <c r="R38" s="14"/>
      <c r="S38" s="14"/>
      <c r="T38" s="14"/>
      <c r="U38" s="75"/>
      <c r="V38" s="15"/>
      <c r="AD38" s="101"/>
      <c r="AE38" s="215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B39" s="14"/>
      <c r="C39" s="14"/>
      <c r="D39" s="104">
        <f>+D38*D37</f>
        <v>-69503.94</v>
      </c>
      <c r="E39" s="222"/>
      <c r="F39" s="206"/>
      <c r="G39" s="222"/>
      <c r="R39" s="14"/>
      <c r="S39" s="14"/>
      <c r="T39" s="14"/>
      <c r="U39" s="14"/>
      <c r="AD39" s="101"/>
      <c r="AE39" s="215"/>
      <c r="AF39" s="24"/>
      <c r="AG39" s="24"/>
      <c r="AH39" s="106"/>
      <c r="AI39" s="143"/>
      <c r="AJ39" s="15"/>
    </row>
    <row r="40" spans="1:36" ht="18" customHeight="1" outlineLevel="1" x14ac:dyDescent="0.2">
      <c r="A40" s="267">
        <v>36922</v>
      </c>
      <c r="B40" s="14"/>
      <c r="C40" s="14"/>
      <c r="D40" s="389">
        <v>517990.98</v>
      </c>
      <c r="E40" s="222"/>
      <c r="F40" s="206"/>
      <c r="G40" s="222"/>
      <c r="R40" s="14"/>
      <c r="S40" s="14"/>
      <c r="T40" s="14"/>
      <c r="U40" s="14"/>
      <c r="AD40" s="101"/>
      <c r="AE40" s="215"/>
      <c r="AF40" s="24"/>
      <c r="AG40" s="24"/>
      <c r="AH40" s="106"/>
      <c r="AI40" s="143"/>
      <c r="AJ40" s="15"/>
    </row>
    <row r="41" spans="1:36" ht="18" customHeight="1" x14ac:dyDescent="0.2">
      <c r="A41" s="267">
        <v>36929</v>
      </c>
      <c r="B41" s="14"/>
      <c r="C41" s="14"/>
      <c r="D41" s="104">
        <f>+D40+D39</f>
        <v>448487.04</v>
      </c>
      <c r="E41" s="222"/>
      <c r="F41" s="206"/>
      <c r="G41" s="222"/>
      <c r="R41" s="14"/>
      <c r="S41" s="14"/>
      <c r="T41" s="14"/>
      <c r="U41" s="14"/>
      <c r="AD41" s="101"/>
      <c r="AE41" s="215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5"/>
      <c r="AF42" s="24"/>
      <c r="AG42" s="24"/>
      <c r="AH42" s="106"/>
      <c r="AI42" s="143"/>
      <c r="AJ42" s="15"/>
    </row>
    <row r="43" spans="1:36" ht="18" customHeight="1" x14ac:dyDescent="0.2">
      <c r="C43" s="75"/>
      <c r="D43" s="220"/>
      <c r="E43" s="209"/>
      <c r="F43" s="206"/>
      <c r="G43" s="218"/>
      <c r="R43" s="14"/>
      <c r="S43" s="14"/>
      <c r="T43" s="14"/>
      <c r="U43" s="14"/>
      <c r="AD43" s="101"/>
      <c r="AE43" s="215"/>
      <c r="AF43" s="24"/>
      <c r="AG43" s="24"/>
      <c r="AH43" s="106"/>
      <c r="AI43" s="143"/>
      <c r="AJ43" s="15"/>
    </row>
    <row r="44" spans="1:36" ht="18" customHeight="1" x14ac:dyDescent="0.2">
      <c r="C44" s="75"/>
      <c r="D44" s="220"/>
      <c r="E44" s="209"/>
      <c r="F44" s="206"/>
      <c r="G44" s="218"/>
      <c r="AD44" s="101"/>
      <c r="AE44" s="215"/>
      <c r="AF44" s="24"/>
      <c r="AG44" s="24"/>
      <c r="AH44" s="106"/>
      <c r="AI44" s="143"/>
      <c r="AJ44" s="15"/>
    </row>
    <row r="45" spans="1:36" ht="18" customHeight="1" x14ac:dyDescent="0.2">
      <c r="C45" s="75"/>
      <c r="D45" s="216"/>
      <c r="E45" s="209"/>
      <c r="F45" s="206"/>
      <c r="G45" s="218"/>
      <c r="AD45" s="101"/>
      <c r="AE45" s="215"/>
      <c r="AF45" s="24"/>
      <c r="AG45" s="24"/>
      <c r="AH45" s="106"/>
      <c r="AI45" s="143"/>
      <c r="AJ45" s="15"/>
    </row>
    <row r="46" spans="1:36" ht="18" customHeight="1" x14ac:dyDescent="0.2">
      <c r="C46" s="75"/>
      <c r="D46" s="216"/>
      <c r="E46" s="209"/>
      <c r="F46" s="206"/>
      <c r="G46" s="218"/>
      <c r="AD46" s="101"/>
      <c r="AE46" s="215"/>
      <c r="AF46" s="24"/>
      <c r="AG46" s="24"/>
      <c r="AH46" s="106"/>
      <c r="AI46" s="143"/>
      <c r="AJ46" s="15"/>
    </row>
    <row r="47" spans="1:36" ht="18" customHeight="1" x14ac:dyDescent="0.2">
      <c r="C47" s="75"/>
      <c r="D47" s="216"/>
      <c r="E47" s="209"/>
      <c r="F47" s="206"/>
      <c r="G47" s="218"/>
      <c r="AD47" s="101"/>
      <c r="AE47" s="215"/>
      <c r="AF47" s="24"/>
      <c r="AG47" s="24"/>
      <c r="AH47" s="106"/>
      <c r="AI47" s="143"/>
      <c r="AJ47" s="15"/>
    </row>
    <row r="48" spans="1:36" ht="18" customHeight="1" x14ac:dyDescent="0.2">
      <c r="C48" s="75"/>
      <c r="D48" s="216"/>
      <c r="E48" s="209"/>
      <c r="F48" s="206"/>
      <c r="G48" s="218"/>
      <c r="AD48" s="101"/>
      <c r="AE48" s="215"/>
      <c r="AF48" s="24"/>
      <c r="AG48" s="24"/>
      <c r="AH48" s="106"/>
      <c r="AI48" s="143"/>
      <c r="AJ48" s="15"/>
    </row>
    <row r="49" spans="3:36" ht="18" customHeight="1" x14ac:dyDescent="0.2">
      <c r="C49" s="76"/>
      <c r="D49" s="216"/>
      <c r="E49" s="209"/>
      <c r="F49" s="206"/>
      <c r="G49" s="218"/>
      <c r="AD49" s="101"/>
      <c r="AE49" s="215"/>
      <c r="AF49" s="24"/>
      <c r="AG49" s="24"/>
      <c r="AH49" s="106"/>
      <c r="AI49" s="143"/>
      <c r="AJ49" s="15"/>
    </row>
    <row r="50" spans="3:36" ht="18" customHeight="1" x14ac:dyDescent="0.2">
      <c r="C50" s="15"/>
      <c r="D50" s="208"/>
      <c r="E50" s="209"/>
      <c r="F50" s="206"/>
      <c r="G50" s="206"/>
      <c r="AD50" s="101"/>
      <c r="AE50" s="215"/>
      <c r="AF50" s="24"/>
      <c r="AG50" s="24"/>
      <c r="AH50" s="106"/>
      <c r="AI50" s="223"/>
      <c r="AJ50" s="15"/>
    </row>
    <row r="51" spans="3:36" ht="21.95" customHeight="1" thickBot="1" x14ac:dyDescent="0.25">
      <c r="AD51" s="101"/>
      <c r="AE51" s="215"/>
      <c r="AF51" s="24"/>
      <c r="AG51" s="24"/>
      <c r="AH51" s="106"/>
      <c r="AI51" s="224"/>
    </row>
    <row r="52" spans="3:36" ht="18" customHeight="1" thickTop="1" x14ac:dyDescent="0.2">
      <c r="AD52" s="101"/>
      <c r="AE52" s="215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5"/>
    </row>
    <row r="55" spans="3:36" ht="17.100000000000001" customHeight="1" x14ac:dyDescent="0.2">
      <c r="AD55" s="225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6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7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7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8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9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6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30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30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1"/>
      <c r="D84" s="24"/>
      <c r="R84" s="14"/>
      <c r="S84" s="14"/>
      <c r="T84" s="14"/>
      <c r="U84" s="14"/>
      <c r="AD84" s="225"/>
      <c r="AE84" s="213"/>
      <c r="AF84" s="24"/>
      <c r="AG84" s="24"/>
      <c r="AH84" s="24"/>
      <c r="AI84" s="143"/>
      <c r="AJ84" s="232"/>
    </row>
    <row r="85" spans="3:36" ht="15" customHeight="1" thickTop="1" x14ac:dyDescent="0.2">
      <c r="C85" s="229"/>
      <c r="R85" s="14"/>
      <c r="S85" s="14"/>
      <c r="T85" s="14"/>
      <c r="U85" s="14"/>
      <c r="AD85" s="101"/>
      <c r="AE85" s="215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5"/>
      <c r="AE86" s="215"/>
      <c r="AF86" s="24"/>
      <c r="AG86" s="24"/>
      <c r="AH86" s="24"/>
      <c r="AI86" s="143"/>
      <c r="AJ86" s="15"/>
    </row>
    <row r="87" spans="3:36" ht="24.95" customHeight="1" thickBot="1" x14ac:dyDescent="0.25">
      <c r="C87" s="233"/>
      <c r="R87" s="14"/>
      <c r="S87" s="14"/>
      <c r="T87" s="14"/>
      <c r="U87" s="14"/>
      <c r="AD87" s="234"/>
      <c r="AE87" s="235"/>
      <c r="AF87" s="150"/>
      <c r="AG87" s="150"/>
      <c r="AH87" s="150"/>
      <c r="AI87" s="236"/>
      <c r="AJ87" s="218"/>
    </row>
    <row r="88" spans="3:36" ht="24.95" customHeight="1" thickTop="1" x14ac:dyDescent="0.2">
      <c r="C88" s="230"/>
      <c r="D88" s="24"/>
      <c r="R88" s="14"/>
      <c r="S88" s="14"/>
      <c r="T88" s="14"/>
      <c r="U88" s="14"/>
      <c r="AD88" s="38"/>
      <c r="AJ88" s="218"/>
    </row>
    <row r="89" spans="3:36" ht="15" customHeight="1" x14ac:dyDescent="0.2">
      <c r="D89" s="128"/>
      <c r="E89" s="110"/>
      <c r="F89" s="2"/>
      <c r="G89" s="12"/>
      <c r="H89" s="237"/>
      <c r="I89" s="128"/>
      <c r="J89" s="24"/>
      <c r="K89" s="12"/>
      <c r="L89" s="237"/>
      <c r="M89" s="24"/>
      <c r="N89" s="24"/>
      <c r="O89" s="12"/>
      <c r="P89" s="237"/>
      <c r="Q89" s="24"/>
      <c r="R89" s="24"/>
      <c r="S89" s="101"/>
      <c r="T89" s="237"/>
      <c r="U89" s="24"/>
      <c r="V89" s="24"/>
      <c r="AD89" s="238"/>
      <c r="AJ89" s="218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8"/>
      <c r="AJ90" s="218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8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8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8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8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8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8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9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9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9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5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40"/>
      <c r="AD103" s="101"/>
      <c r="AE103" s="215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9"/>
      <c r="AD104" s="101"/>
      <c r="AE104" s="215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9"/>
      <c r="AD105" s="101"/>
      <c r="AE105" s="215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9"/>
      <c r="AD106" s="101"/>
      <c r="AE106" s="215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5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5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5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5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5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5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5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5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5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5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5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5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5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5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5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5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5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5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5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7"/>
      <c r="U126" s="24"/>
      <c r="V126" s="24"/>
      <c r="X126" s="53"/>
      <c r="AD126" s="101"/>
      <c r="AE126" s="215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5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5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5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5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9"/>
      <c r="AD131" s="101"/>
      <c r="AE131" s="215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9"/>
      <c r="AD132" s="101"/>
      <c r="AE132" s="215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5"/>
      <c r="AF133" s="24"/>
      <c r="AG133" s="24"/>
      <c r="AH133" s="24"/>
      <c r="AI133" s="143"/>
      <c r="AJ133" s="104"/>
    </row>
    <row r="134" spans="1:36" ht="21.95" customHeight="1" x14ac:dyDescent="0.25">
      <c r="C134" s="230"/>
      <c r="D134" s="242"/>
      <c r="E134" s="110"/>
      <c r="F134" s="2"/>
      <c r="G134" s="2"/>
      <c r="R134" s="14"/>
      <c r="S134" s="12"/>
      <c r="T134" s="24"/>
      <c r="U134" s="24"/>
      <c r="V134" s="24"/>
      <c r="X134" s="239"/>
      <c r="AD134" s="101"/>
      <c r="AE134" s="215"/>
      <c r="AF134" s="24"/>
      <c r="AG134" s="24"/>
      <c r="AH134" s="24"/>
      <c r="AI134" s="143"/>
      <c r="AJ134" s="104"/>
    </row>
    <row r="135" spans="1:36" ht="21.95" customHeight="1" x14ac:dyDescent="0.25">
      <c r="C135" s="243"/>
      <c r="D135" s="128"/>
      <c r="E135" s="110"/>
      <c r="F135" s="2"/>
      <c r="G135" s="2"/>
      <c r="R135" s="14"/>
      <c r="S135" s="12"/>
      <c r="T135" s="24"/>
      <c r="U135" s="24"/>
      <c r="V135" s="24"/>
      <c r="X135" s="239"/>
      <c r="AD135" s="101"/>
      <c r="AE135" s="215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5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9"/>
      <c r="AD137" s="101"/>
      <c r="AE137" s="215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5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5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9"/>
      <c r="AD140" s="101"/>
      <c r="AE140" s="215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9"/>
      <c r="AD141" s="101"/>
      <c r="AE141" s="215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5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5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5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5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5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5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5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5"/>
      <c r="AF149" s="24"/>
      <c r="AG149" s="244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5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5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5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5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5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5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5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5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5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5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5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5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5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5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5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5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5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7"/>
      <c r="T167" s="24"/>
      <c r="U167" s="24"/>
      <c r="AD167" s="101"/>
      <c r="AE167" s="215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5"/>
      <c r="AF168" s="244"/>
      <c r="AG168" s="244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5"/>
      <c r="AB169" s="87"/>
      <c r="AC169" s="87"/>
      <c r="AD169" s="101"/>
      <c r="AE169" s="215"/>
      <c r="AF169" s="244"/>
      <c r="AG169" s="244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5"/>
      <c r="AB170" s="87"/>
      <c r="AC170" s="87"/>
      <c r="AD170" s="101"/>
      <c r="AE170" s="215"/>
      <c r="AF170" s="244"/>
      <c r="AG170" s="244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5"/>
      <c r="AB171" s="87"/>
      <c r="AC171" s="87"/>
      <c r="AD171" s="101"/>
      <c r="AE171" s="215"/>
      <c r="AF171" s="244"/>
      <c r="AG171" s="244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5"/>
      <c r="AB172" s="87"/>
      <c r="AC172" s="87"/>
      <c r="AD172" s="101"/>
      <c r="AE172" s="215"/>
      <c r="AF172" s="24"/>
      <c r="AG172" s="244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5"/>
      <c r="AB173" s="87"/>
      <c r="AC173" s="87"/>
      <c r="AD173" s="101"/>
      <c r="AE173" s="215"/>
      <c r="AF173" s="244"/>
      <c r="AG173" s="244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5"/>
      <c r="AB174" s="87"/>
      <c r="AC174" s="87"/>
      <c r="AD174" s="101"/>
      <c r="AE174" s="215"/>
      <c r="AF174" s="244"/>
      <c r="AG174" s="244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5"/>
      <c r="AB175" s="87"/>
      <c r="AC175" s="87"/>
      <c r="AD175" s="101"/>
      <c r="AE175" s="215"/>
      <c r="AF175" s="24"/>
      <c r="AG175" s="244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5"/>
      <c r="AB176" s="87"/>
      <c r="AC176" s="87"/>
      <c r="AD176" s="101"/>
      <c r="AE176" s="215"/>
      <c r="AF176" s="24"/>
      <c r="AG176" s="244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5"/>
      <c r="AB177" s="87"/>
      <c r="AC177" s="87"/>
      <c r="AD177" s="101"/>
      <c r="AE177" s="215"/>
      <c r="AF177" s="24"/>
      <c r="AG177" s="244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5"/>
      <c r="AB178" s="87"/>
      <c r="AC178" s="87"/>
      <c r="AD178" s="101"/>
      <c r="AE178" s="215"/>
      <c r="AF178" s="24"/>
      <c r="AG178" s="244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5"/>
      <c r="AB179" s="87"/>
      <c r="AC179" s="87"/>
      <c r="AD179" s="101"/>
      <c r="AE179" s="215"/>
      <c r="AF179" s="24"/>
      <c r="AG179" s="244"/>
      <c r="AH179" s="24"/>
      <c r="AI179" s="143"/>
      <c r="AJ179" s="104"/>
    </row>
    <row r="180" spans="2:36" ht="15" customHeight="1" x14ac:dyDescent="0.2">
      <c r="C180" s="230"/>
      <c r="D180" s="242"/>
      <c r="E180" s="110"/>
      <c r="R180" s="12"/>
      <c r="S180" s="24"/>
      <c r="T180" s="24"/>
      <c r="U180" s="24"/>
      <c r="X180" s="87"/>
      <c r="Y180" s="87"/>
      <c r="Z180" s="87"/>
      <c r="AA180" s="245"/>
      <c r="AB180" s="87"/>
      <c r="AC180" s="87"/>
      <c r="AD180" s="101"/>
      <c r="AE180" s="215"/>
      <c r="AF180" s="24"/>
      <c r="AG180" s="244"/>
      <c r="AH180" s="24"/>
      <c r="AI180" s="143"/>
      <c r="AJ180" s="104"/>
    </row>
    <row r="181" spans="2:36" ht="15" customHeight="1" x14ac:dyDescent="0.2">
      <c r="C181" s="230"/>
      <c r="D181" s="242"/>
      <c r="E181" s="110"/>
      <c r="R181" s="12"/>
      <c r="S181" s="24"/>
      <c r="T181" s="24"/>
      <c r="U181" s="24"/>
      <c r="X181" s="87"/>
      <c r="Y181" s="87"/>
      <c r="Z181" s="87"/>
      <c r="AA181" s="245"/>
      <c r="AB181" s="87"/>
      <c r="AC181" s="87"/>
      <c r="AD181" s="101"/>
      <c r="AE181" s="215"/>
      <c r="AF181" s="24"/>
      <c r="AG181" s="244"/>
      <c r="AH181" s="24"/>
      <c r="AI181" s="143"/>
      <c r="AJ181" s="104"/>
    </row>
    <row r="182" spans="2:36" ht="15" customHeight="1" x14ac:dyDescent="0.2">
      <c r="C182" s="230"/>
      <c r="D182" s="242"/>
      <c r="E182" s="110"/>
      <c r="R182" s="12"/>
      <c r="S182" s="24"/>
      <c r="T182" s="24"/>
      <c r="U182" s="24"/>
      <c r="X182" s="87"/>
      <c r="Y182" s="87"/>
      <c r="Z182" s="87"/>
      <c r="AA182" s="245"/>
      <c r="AB182" s="87"/>
      <c r="AC182" s="87"/>
      <c r="AD182" s="101"/>
      <c r="AE182" s="215"/>
      <c r="AF182" s="24"/>
      <c r="AG182" s="244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5"/>
      <c r="AB183" s="87"/>
      <c r="AC183" s="87"/>
      <c r="AD183" s="101"/>
      <c r="AE183" s="215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5"/>
      <c r="AB184" s="87"/>
      <c r="AC184" s="87"/>
      <c r="AD184" s="101"/>
      <c r="AE184" s="215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5"/>
      <c r="AB185" s="87"/>
      <c r="AC185" s="87"/>
      <c r="AD185" s="101"/>
      <c r="AE185" s="215"/>
      <c r="AF185" s="24"/>
      <c r="AG185" s="244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5"/>
      <c r="AB186" s="87"/>
      <c r="AC186" s="87"/>
      <c r="AD186" s="101"/>
      <c r="AE186" s="215"/>
      <c r="AF186" s="24"/>
      <c r="AG186" s="244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5"/>
      <c r="AB187" s="87"/>
      <c r="AC187" s="87"/>
      <c r="AD187" s="101"/>
      <c r="AE187" s="215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5"/>
      <c r="AB188" s="87"/>
      <c r="AC188" s="87"/>
      <c r="AD188" s="101"/>
      <c r="AE188" s="215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5"/>
      <c r="AB189" s="87"/>
      <c r="AC189" s="87"/>
      <c r="AD189" s="101"/>
      <c r="AE189" s="215"/>
      <c r="AF189" s="244"/>
      <c r="AG189" s="244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5"/>
      <c r="AB190" s="87"/>
      <c r="AC190" s="87"/>
      <c r="AD190" s="101"/>
      <c r="AE190" s="215"/>
      <c r="AF190" s="244"/>
      <c r="AG190" s="244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5"/>
      <c r="AB191" s="87"/>
      <c r="AC191" s="87"/>
      <c r="AD191" s="101"/>
      <c r="AE191" s="215"/>
      <c r="AF191" s="244"/>
      <c r="AG191" s="244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5"/>
      <c r="AB192" s="87"/>
      <c r="AC192" s="87"/>
      <c r="AD192" s="101"/>
      <c r="AE192" s="215"/>
      <c r="AF192" s="244"/>
      <c r="AG192" s="244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5"/>
      <c r="AB193" s="87"/>
      <c r="AC193" s="87"/>
      <c r="AD193" s="101"/>
      <c r="AE193" s="215"/>
      <c r="AF193" s="24"/>
      <c r="AG193" s="244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5"/>
      <c r="AB194" s="87"/>
      <c r="AC194" s="87"/>
      <c r="AD194" s="101"/>
      <c r="AE194" s="215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5"/>
      <c r="AB195" s="87"/>
      <c r="AC195" s="87"/>
      <c r="AD195" s="101"/>
      <c r="AE195" s="215"/>
      <c r="AF195" s="244"/>
      <c r="AG195" s="244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5"/>
      <c r="AB196" s="87"/>
      <c r="AC196" s="87"/>
      <c r="AD196" s="101"/>
      <c r="AE196" s="215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5"/>
      <c r="AB197" s="87"/>
      <c r="AC197" s="87"/>
      <c r="AD197" s="101"/>
      <c r="AE197" s="215"/>
      <c r="AF197" s="244"/>
      <c r="AG197" s="244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5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5"/>
      <c r="AF199" s="244"/>
      <c r="AG199" s="244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5"/>
      <c r="AF200" s="24"/>
      <c r="AG200" s="244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5"/>
      <c r="AF201" s="244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5"/>
      <c r="AF202" s="244"/>
      <c r="AG202" s="244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5"/>
      <c r="AF203" s="244"/>
      <c r="AG203" s="244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5"/>
      <c r="AF204" s="244"/>
      <c r="AG204" s="244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5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5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7"/>
      <c r="T207" s="24"/>
      <c r="U207" s="24"/>
      <c r="AD207" s="101"/>
      <c r="AE207" s="215"/>
      <c r="AF207" s="244"/>
      <c r="AG207" s="244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5"/>
      <c r="AF208" s="244"/>
      <c r="AG208" s="244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5"/>
      <c r="AF209" s="244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5"/>
      <c r="AF210" s="244"/>
      <c r="AG210" s="244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5"/>
      <c r="AF211" s="244"/>
      <c r="AG211" s="244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5"/>
      <c r="AF212" s="244"/>
      <c r="AG212" s="244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5"/>
      <c r="AF213" s="244"/>
      <c r="AG213" s="244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5"/>
      <c r="AF214" s="24"/>
      <c r="AG214" s="244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5"/>
      <c r="AF215" s="24"/>
      <c r="AG215" s="242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5"/>
      <c r="AF216" s="24"/>
      <c r="AG216" s="242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5"/>
      <c r="AF217" s="242"/>
      <c r="AG217" s="242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5"/>
      <c r="AF218" s="246"/>
      <c r="AG218" s="246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5"/>
      <c r="AF219" s="246"/>
      <c r="AG219" s="246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5"/>
      <c r="AF220" s="246"/>
      <c r="AG220" s="246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5"/>
      <c r="AF221" s="24"/>
      <c r="AG221" s="246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5"/>
      <c r="AF222" s="24"/>
      <c r="AG222" s="244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5"/>
      <c r="AF223" s="24"/>
      <c r="AG223" s="244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5"/>
      <c r="AF224" s="24"/>
      <c r="AG224" s="244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5"/>
      <c r="AF225" s="242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5"/>
      <c r="AF226" s="242"/>
      <c r="AG226" s="242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5"/>
      <c r="AF227" s="242"/>
      <c r="AG227" s="242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5"/>
      <c r="AF228" s="242"/>
      <c r="AG228" s="242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5"/>
      <c r="AF229" s="242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5"/>
      <c r="AF230" s="242"/>
      <c r="AG230" s="246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5"/>
      <c r="AF231" s="242"/>
      <c r="AG231" s="246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5"/>
      <c r="AF232" s="242"/>
      <c r="AG232" s="246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5"/>
      <c r="AF233" s="24"/>
      <c r="AG233" s="244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5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5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5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5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5"/>
      <c r="AF238" s="242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5"/>
      <c r="AF239" s="242"/>
      <c r="AG239" s="247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5"/>
      <c r="AF240" s="242"/>
      <c r="AG240" s="247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5"/>
      <c r="AF241" s="242"/>
      <c r="AG241" s="247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5"/>
      <c r="AF242" s="242"/>
      <c r="AG242" s="246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5"/>
      <c r="AF243" s="242"/>
      <c r="AG243" s="247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5"/>
      <c r="AF244" s="242"/>
      <c r="AG244" s="246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5"/>
      <c r="AF245" s="242"/>
      <c r="AG245" s="246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5"/>
      <c r="AF246" s="24"/>
      <c r="AG246" s="244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5"/>
      <c r="AF247" s="248"/>
      <c r="AG247" s="249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5"/>
      <c r="AF248" s="248"/>
      <c r="AG248" s="248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5"/>
      <c r="AF249" s="250"/>
      <c r="AG249" s="247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5"/>
      <c r="AF250" s="250"/>
      <c r="AG250" s="247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5"/>
      <c r="AF251" s="248"/>
      <c r="AG251" s="248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5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5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5"/>
      <c r="AF254" s="244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5"/>
      <c r="AF255" s="248"/>
      <c r="AG255" s="246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5"/>
      <c r="AF256" s="248"/>
      <c r="AG256" s="248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5"/>
      <c r="AF257" s="250"/>
      <c r="AG257" s="247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5"/>
      <c r="AF258" s="248"/>
      <c r="AG258" s="248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5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5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5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5"/>
      <c r="AF262" s="244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5"/>
      <c r="AF263" s="250"/>
      <c r="AG263" s="249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5"/>
      <c r="AF264" s="248"/>
      <c r="AG264" s="248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5"/>
      <c r="AF265" s="248"/>
      <c r="AG265" s="248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5"/>
      <c r="AF266" s="24"/>
      <c r="AG266" s="244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5"/>
      <c r="AF267" s="24"/>
      <c r="AG267" s="244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5"/>
      <c r="AF268" s="24"/>
      <c r="AG268" s="244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5"/>
      <c r="AF269" s="24"/>
      <c r="AG269" s="244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5"/>
      <c r="AF270" s="244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5"/>
      <c r="AF271" s="250"/>
      <c r="AG271" s="246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5"/>
      <c r="AF272" s="250"/>
      <c r="AG272" s="248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5"/>
      <c r="AF273" s="248"/>
      <c r="AG273" s="248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5"/>
      <c r="AF274" s="24"/>
      <c r="AG274" s="244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5"/>
      <c r="AF275" s="24"/>
      <c r="AG275" s="244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5"/>
      <c r="AF276" s="244"/>
      <c r="AG276" s="244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5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5"/>
      <c r="AF278" s="250"/>
      <c r="AG278" s="249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5"/>
      <c r="AF279" s="250"/>
      <c r="AG279" s="247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5"/>
      <c r="AF280" s="250"/>
      <c r="AG280" s="247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5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5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5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5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5"/>
      <c r="AF285" s="24"/>
      <c r="AG285" s="244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5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5"/>
      <c r="AF287" s="24"/>
      <c r="AG287" s="244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5"/>
      <c r="AF288" s="24"/>
      <c r="AG288" s="244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5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5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5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5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5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5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5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5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5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5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5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5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5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5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5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5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5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5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5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5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5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5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5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5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5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5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5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5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5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5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5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5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5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5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5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5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5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5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5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5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5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5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5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5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5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5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5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5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5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5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5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5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5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5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5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5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5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5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5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5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5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5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5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5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5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5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5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5"/>
      <c r="AE356" s="215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5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5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5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5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5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5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5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5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5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5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5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5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5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5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5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5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5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5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5"/>
      <c r="AE375" s="215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5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5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5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5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5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5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5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5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5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5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5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5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5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5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5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5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.75" bottom="0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43"/>
  <sheetViews>
    <sheetView workbookViewId="0">
      <selection activeCell="F9" sqref="F9"/>
    </sheetView>
    <sheetView topLeftCell="A26" workbookViewId="1">
      <selection activeCell="C39" sqref="C39"/>
    </sheetView>
  </sheetViews>
  <sheetFormatPr defaultRowHeight="12.75" x14ac:dyDescent="0.2"/>
  <sheetData>
    <row r="5" spans="1:6" ht="15" x14ac:dyDescent="0.25">
      <c r="A5" s="134"/>
      <c r="B5" s="34" t="s">
        <v>120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>
        <v>6315</v>
      </c>
      <c r="C8" s="11">
        <v>6850</v>
      </c>
      <c r="D8" s="11">
        <v>5183</v>
      </c>
      <c r="E8" s="11">
        <v>4456</v>
      </c>
      <c r="F8" s="25">
        <f>+E8+C8-D8-B8</f>
        <v>-192</v>
      </c>
    </row>
    <row r="9" spans="1:6" x14ac:dyDescent="0.2">
      <c r="A9" s="10">
        <v>2</v>
      </c>
      <c r="B9" s="11">
        <v>6177</v>
      </c>
      <c r="C9" s="11">
        <v>6932</v>
      </c>
      <c r="D9" s="11">
        <v>4957</v>
      </c>
      <c r="E9" s="11">
        <v>4503</v>
      </c>
      <c r="F9" s="25">
        <f t="shared" ref="F9:F38" si="0">+E9+C9-D9-B9</f>
        <v>301</v>
      </c>
    </row>
    <row r="10" spans="1:6" x14ac:dyDescent="0.2">
      <c r="A10" s="10">
        <v>3</v>
      </c>
      <c r="B10" s="11">
        <v>6080</v>
      </c>
      <c r="C10" s="11">
        <v>6932</v>
      </c>
      <c r="D10" s="11">
        <v>4785</v>
      </c>
      <c r="E10" s="11">
        <v>4503</v>
      </c>
      <c r="F10" s="25">
        <f t="shared" si="0"/>
        <v>570</v>
      </c>
    </row>
    <row r="11" spans="1:6" x14ac:dyDescent="0.2">
      <c r="A11" s="10">
        <v>4</v>
      </c>
      <c r="B11" s="11">
        <v>6061</v>
      </c>
      <c r="C11" s="11">
        <v>6932</v>
      </c>
      <c r="D11" s="11">
        <v>4586</v>
      </c>
      <c r="E11" s="11">
        <v>4503</v>
      </c>
      <c r="F11" s="25">
        <f t="shared" si="0"/>
        <v>788</v>
      </c>
    </row>
    <row r="12" spans="1:6" x14ac:dyDescent="0.2">
      <c r="A12" s="10">
        <v>5</v>
      </c>
      <c r="B12" s="11">
        <v>6044</v>
      </c>
      <c r="C12" s="11">
        <v>6932</v>
      </c>
      <c r="D12" s="11">
        <v>4752</v>
      </c>
      <c r="E12" s="11">
        <v>4503</v>
      </c>
      <c r="F12" s="25">
        <f t="shared" si="0"/>
        <v>639</v>
      </c>
    </row>
    <row r="13" spans="1:6" x14ac:dyDescent="0.2">
      <c r="A13" s="10">
        <v>6</v>
      </c>
      <c r="B13" s="11">
        <v>2913</v>
      </c>
      <c r="C13" s="11">
        <v>6932</v>
      </c>
      <c r="D13" s="11">
        <v>6134</v>
      </c>
      <c r="E13" s="11">
        <v>4503</v>
      </c>
      <c r="F13" s="25">
        <f t="shared" si="0"/>
        <v>2388</v>
      </c>
    </row>
    <row r="14" spans="1:6" x14ac:dyDescent="0.2">
      <c r="A14" s="10">
        <v>7</v>
      </c>
      <c r="B14" s="11"/>
      <c r="C14" s="11"/>
      <c r="D14" s="11">
        <v>5239</v>
      </c>
      <c r="E14" s="11">
        <v>4503</v>
      </c>
      <c r="F14" s="25">
        <f t="shared" si="0"/>
        <v>-736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6" x14ac:dyDescent="0.2">
      <c r="A17" s="10">
        <v>10</v>
      </c>
      <c r="B17" s="11"/>
      <c r="C17" s="11"/>
      <c r="D17" s="11"/>
      <c r="E17" s="11"/>
      <c r="F17" s="25">
        <f t="shared" si="0"/>
        <v>0</v>
      </c>
    </row>
    <row r="18" spans="1:6" x14ac:dyDescent="0.2">
      <c r="A18" s="10">
        <v>11</v>
      </c>
      <c r="B18" s="11"/>
      <c r="C18" s="11"/>
      <c r="D18" s="11"/>
      <c r="E18" s="11"/>
      <c r="F18" s="25">
        <f t="shared" si="0"/>
        <v>0</v>
      </c>
    </row>
    <row r="19" spans="1:6" x14ac:dyDescent="0.2">
      <c r="A19" s="10">
        <v>12</v>
      </c>
      <c r="B19" s="11"/>
      <c r="C19" s="11"/>
      <c r="D19" s="11"/>
      <c r="E19" s="11"/>
      <c r="F19" s="25">
        <f t="shared" si="0"/>
        <v>0</v>
      </c>
    </row>
    <row r="20" spans="1:6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6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6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6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6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6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6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6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6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6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6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6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6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33590</v>
      </c>
      <c r="C39" s="11">
        <f>SUM(C8:C38)</f>
        <v>41510</v>
      </c>
      <c r="D39" s="11">
        <f>SUM(D8:D38)</f>
        <v>35636</v>
      </c>
      <c r="E39" s="11">
        <f>SUM(E8:E38)</f>
        <v>31474</v>
      </c>
      <c r="F39" s="25">
        <f>SUM(F8:F38)</f>
        <v>3758</v>
      </c>
    </row>
    <row r="40" spans="1:6" x14ac:dyDescent="0.2">
      <c r="A40" s="26"/>
      <c r="C40" s="14"/>
      <c r="F40" s="264">
        <f>+summary!P11</f>
        <v>5.94</v>
      </c>
    </row>
    <row r="41" spans="1:6" x14ac:dyDescent="0.2">
      <c r="F41" s="138">
        <f>+F40*F39</f>
        <v>22322.52</v>
      </c>
    </row>
    <row r="42" spans="1:6" x14ac:dyDescent="0.2">
      <c r="A42" s="57">
        <v>36922</v>
      </c>
      <c r="C42" s="15"/>
      <c r="F42" s="375">
        <v>-397510</v>
      </c>
    </row>
    <row r="43" spans="1:6" x14ac:dyDescent="0.2">
      <c r="A43" s="57">
        <v>36929</v>
      </c>
      <c r="C43" s="48"/>
      <c r="F43" s="138">
        <f>+F42+F41</f>
        <v>-375187.48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C40" sqref="C40"/>
    </sheetView>
  </sheetViews>
  <sheetFormatPr defaultRowHeight="12.75" x14ac:dyDescent="0.2"/>
  <sheetData>
    <row r="5" spans="1:4" ht="15" x14ac:dyDescent="0.25">
      <c r="A5" s="134"/>
      <c r="B5" s="34" t="s">
        <v>123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>
        <v>34946</v>
      </c>
      <c r="C8" s="11">
        <v>40319</v>
      </c>
      <c r="D8" s="25">
        <f>+C8-B8</f>
        <v>5373</v>
      </c>
    </row>
    <row r="9" spans="1:4" x14ac:dyDescent="0.2">
      <c r="A9" s="10">
        <v>2</v>
      </c>
      <c r="B9" s="11">
        <v>39334</v>
      </c>
      <c r="C9" s="11">
        <v>40319</v>
      </c>
      <c r="D9" s="25">
        <f t="shared" ref="D9:D38" si="0">+C9-B9</f>
        <v>985</v>
      </c>
    </row>
    <row r="10" spans="1:4" x14ac:dyDescent="0.2">
      <c r="A10" s="10">
        <v>3</v>
      </c>
      <c r="B10" s="11">
        <v>40051</v>
      </c>
      <c r="C10" s="11">
        <v>40319</v>
      </c>
      <c r="D10" s="25">
        <f t="shared" si="0"/>
        <v>268</v>
      </c>
    </row>
    <row r="11" spans="1:4" x14ac:dyDescent="0.2">
      <c r="A11" s="10">
        <v>4</v>
      </c>
      <c r="B11" s="11">
        <v>40002</v>
      </c>
      <c r="C11" s="11">
        <v>40180</v>
      </c>
      <c r="D11" s="25">
        <f t="shared" si="0"/>
        <v>178</v>
      </c>
    </row>
    <row r="12" spans="1:4" x14ac:dyDescent="0.2">
      <c r="A12" s="10">
        <v>5</v>
      </c>
      <c r="B12" s="11">
        <v>39860</v>
      </c>
      <c r="C12" s="11">
        <v>40319</v>
      </c>
      <c r="D12" s="25">
        <f t="shared" si="0"/>
        <v>459</v>
      </c>
    </row>
    <row r="13" spans="1:4" x14ac:dyDescent="0.2">
      <c r="A13" s="10">
        <v>6</v>
      </c>
      <c r="B13" s="11">
        <v>39756</v>
      </c>
      <c r="C13" s="11">
        <v>40319</v>
      </c>
      <c r="D13" s="25">
        <f t="shared" si="0"/>
        <v>563</v>
      </c>
    </row>
    <row r="14" spans="1:4" x14ac:dyDescent="0.2">
      <c r="A14" s="10">
        <v>7</v>
      </c>
      <c r="B14" s="11">
        <v>39047</v>
      </c>
      <c r="C14" s="11">
        <v>40319</v>
      </c>
      <c r="D14" s="25">
        <f t="shared" si="0"/>
        <v>1272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272996</v>
      </c>
      <c r="C39" s="11">
        <f>SUM(C8:C38)</f>
        <v>282094</v>
      </c>
      <c r="D39" s="25">
        <f>SUM(D8:D38)</f>
        <v>9098</v>
      </c>
    </row>
    <row r="40" spans="1:4" x14ac:dyDescent="0.2">
      <c r="A40" s="26"/>
      <c r="C40" s="14"/>
      <c r="D40" s="264">
        <f>+summary!P11</f>
        <v>5.94</v>
      </c>
    </row>
    <row r="41" spans="1:4" x14ac:dyDescent="0.2">
      <c r="D41" s="138">
        <f>+D40*D39</f>
        <v>54042.12</v>
      </c>
    </row>
    <row r="42" spans="1:4" x14ac:dyDescent="0.2">
      <c r="A42" s="57">
        <v>36922</v>
      </c>
      <c r="C42" s="15"/>
      <c r="D42" s="360">
        <v>403061</v>
      </c>
    </row>
    <row r="43" spans="1:4" x14ac:dyDescent="0.2">
      <c r="A43" s="57">
        <v>36929</v>
      </c>
      <c r="C43" s="48"/>
      <c r="D43" s="138">
        <f>+D42+D41</f>
        <v>457103.12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B38" sqref="B38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47</v>
      </c>
    </row>
    <row r="7" spans="1:4" x14ac:dyDescent="0.2">
      <c r="A7" s="10">
        <v>1</v>
      </c>
      <c r="B7" s="11">
        <v>159499</v>
      </c>
      <c r="C7" s="11">
        <v>157188</v>
      </c>
      <c r="D7" s="25">
        <f>+C7-B7</f>
        <v>-2311</v>
      </c>
    </row>
    <row r="8" spans="1:4" x14ac:dyDescent="0.2">
      <c r="A8" s="10">
        <v>2</v>
      </c>
      <c r="B8" s="11">
        <v>105053</v>
      </c>
      <c r="C8" s="11">
        <v>103320</v>
      </c>
      <c r="D8" s="25">
        <f>+C8-B8</f>
        <v>-1733</v>
      </c>
    </row>
    <row r="9" spans="1:4" x14ac:dyDescent="0.2">
      <c r="A9" s="10">
        <v>3</v>
      </c>
      <c r="B9" s="11">
        <v>164647</v>
      </c>
      <c r="C9" s="11">
        <v>163202</v>
      </c>
      <c r="D9" s="25">
        <f t="shared" ref="D9:D37" si="0">+C9-B9</f>
        <v>-1445</v>
      </c>
    </row>
    <row r="10" spans="1:4" x14ac:dyDescent="0.2">
      <c r="A10" s="10">
        <v>4</v>
      </c>
      <c r="B10" s="11">
        <v>179040</v>
      </c>
      <c r="C10" s="11">
        <v>178178</v>
      </c>
      <c r="D10" s="25">
        <f t="shared" si="0"/>
        <v>-862</v>
      </c>
    </row>
    <row r="11" spans="1:4" x14ac:dyDescent="0.2">
      <c r="A11" s="10">
        <v>5</v>
      </c>
      <c r="B11" s="11">
        <v>149175</v>
      </c>
      <c r="C11" s="11">
        <v>147800</v>
      </c>
      <c r="D11" s="25">
        <f t="shared" si="0"/>
        <v>-1375</v>
      </c>
    </row>
    <row r="12" spans="1:4" x14ac:dyDescent="0.2">
      <c r="A12" s="10">
        <v>6</v>
      </c>
      <c r="B12" s="11">
        <v>150519</v>
      </c>
      <c r="C12" s="11">
        <v>151198</v>
      </c>
      <c r="D12" s="25">
        <f t="shared" si="0"/>
        <v>679</v>
      </c>
    </row>
    <row r="13" spans="1:4" x14ac:dyDescent="0.2">
      <c r="A13" s="10">
        <v>7</v>
      </c>
      <c r="B13" s="11">
        <v>148438</v>
      </c>
      <c r="C13" s="11">
        <v>146608</v>
      </c>
      <c r="D13" s="25">
        <f t="shared" si="0"/>
        <v>-1830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1056371</v>
      </c>
      <c r="C38" s="11">
        <f>SUM(C7:C37)</f>
        <v>1047494</v>
      </c>
      <c r="D38" s="11">
        <f>SUM(D7:D37)</f>
        <v>-8877</v>
      </c>
    </row>
    <row r="39" spans="1:4" x14ac:dyDescent="0.2">
      <c r="A39" s="26"/>
      <c r="C39" s="14"/>
      <c r="D39" s="106">
        <f>+summary!P10</f>
        <v>5.82</v>
      </c>
    </row>
    <row r="40" spans="1:4" x14ac:dyDescent="0.2">
      <c r="D40" s="138">
        <f>+D39*D38</f>
        <v>-51664.14</v>
      </c>
    </row>
    <row r="41" spans="1:4" x14ac:dyDescent="0.2">
      <c r="A41" s="57">
        <v>36922</v>
      </c>
      <c r="C41" s="15"/>
      <c r="D41" s="366">
        <v>-318209</v>
      </c>
    </row>
    <row r="42" spans="1:4" x14ac:dyDescent="0.2">
      <c r="A42" s="57">
        <v>36929</v>
      </c>
      <c r="D42" s="388">
        <f>+D41+D40</f>
        <v>-369873.14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workbookViewId="1">
      <selection activeCell="C10" sqref="C10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/>
      <c r="C5" s="11"/>
      <c r="D5" s="11"/>
      <c r="E5" s="11"/>
      <c r="F5" s="11">
        <f>+B5+D5-C5-E5</f>
        <v>0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/>
      <c r="C6" s="11"/>
      <c r="D6" s="11"/>
      <c r="E6" s="11"/>
      <c r="F6" s="11">
        <f t="shared" ref="F6:F35" si="0">+B6+D6-C6-E6</f>
        <v>0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/>
      <c r="C7" s="11"/>
      <c r="D7" s="11"/>
      <c r="E7" s="11"/>
      <c r="F7" s="11">
        <f t="shared" si="0"/>
        <v>0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1</v>
      </c>
      <c r="C8" s="11"/>
      <c r="D8" s="11"/>
      <c r="E8" s="11"/>
      <c r="F8" s="11">
        <f t="shared" si="0"/>
        <v>1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15</v>
      </c>
      <c r="C10" s="11"/>
      <c r="D10" s="11"/>
      <c r="E10" s="11"/>
      <c r="F10" s="11">
        <f t="shared" si="0"/>
        <v>15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/>
      <c r="C11" s="11"/>
      <c r="D11" s="11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/>
      <c r="C13" s="11"/>
      <c r="D13" s="11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16</v>
      </c>
      <c r="C36" s="44">
        <f>SUM(C5:C35)</f>
        <v>0</v>
      </c>
      <c r="D36" s="43">
        <f>SUM(D5:D35)</f>
        <v>0</v>
      </c>
      <c r="E36" s="44">
        <f>SUM(E5:E35)</f>
        <v>0</v>
      </c>
      <c r="F36" s="11">
        <f>SUM(F5:F35)</f>
        <v>16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16</v>
      </c>
      <c r="D37" s="24"/>
      <c r="E37" s="24">
        <f>+D36-E36</f>
        <v>0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36922</v>
      </c>
      <c r="C41" s="14"/>
      <c r="D41" s="50"/>
      <c r="E41" s="50"/>
      <c r="F41" s="51">
        <v>1884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36929</v>
      </c>
      <c r="C42" s="14"/>
      <c r="D42" s="50"/>
      <c r="E42" s="50"/>
      <c r="F42" s="51">
        <f>+F41+F36</f>
        <v>1900</v>
      </c>
      <c r="G42" s="32"/>
      <c r="H42" s="49"/>
      <c r="I42" s="14"/>
      <c r="J42" s="50"/>
      <c r="K42" s="50"/>
      <c r="L42" s="51"/>
    </row>
    <row r="43" spans="1:12" x14ac:dyDescent="0.2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workbookViewId="1">
      <selection activeCell="A14" sqref="A14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286091</v>
      </c>
      <c r="C4" s="11">
        <v>288372</v>
      </c>
      <c r="D4" s="25">
        <f>+C4-B4</f>
        <v>2281</v>
      </c>
    </row>
    <row r="5" spans="1:4" x14ac:dyDescent="0.2">
      <c r="A5" s="10">
        <v>2</v>
      </c>
      <c r="B5" s="11">
        <v>252470</v>
      </c>
      <c r="C5" s="11">
        <v>254859</v>
      </c>
      <c r="D5" s="25">
        <f t="shared" ref="D5:D34" si="0">+C5-B5</f>
        <v>2389</v>
      </c>
    </row>
    <row r="6" spans="1:4" x14ac:dyDescent="0.2">
      <c r="A6" s="10">
        <v>3</v>
      </c>
      <c r="B6" s="11">
        <v>293473</v>
      </c>
      <c r="C6" s="11">
        <v>277718</v>
      </c>
      <c r="D6" s="25">
        <f t="shared" si="0"/>
        <v>-15755</v>
      </c>
    </row>
    <row r="7" spans="1:4" x14ac:dyDescent="0.2">
      <c r="A7" s="10">
        <v>4</v>
      </c>
      <c r="B7" s="11">
        <v>289096</v>
      </c>
      <c r="C7" s="11">
        <v>286772</v>
      </c>
      <c r="D7" s="25">
        <f t="shared" si="0"/>
        <v>-2324</v>
      </c>
    </row>
    <row r="8" spans="1:4" x14ac:dyDescent="0.2">
      <c r="A8" s="10">
        <v>5</v>
      </c>
      <c r="B8" s="11">
        <v>282487</v>
      </c>
      <c r="C8" s="11">
        <v>285057</v>
      </c>
      <c r="D8" s="25">
        <f t="shared" si="0"/>
        <v>2570</v>
      </c>
    </row>
    <row r="9" spans="1:4" x14ac:dyDescent="0.2">
      <c r="A9" s="10">
        <v>6</v>
      </c>
      <c r="B9" s="11">
        <v>291521</v>
      </c>
      <c r="C9" s="11">
        <v>293736</v>
      </c>
      <c r="D9" s="25">
        <f t="shared" si="0"/>
        <v>2215</v>
      </c>
    </row>
    <row r="10" spans="1:4" x14ac:dyDescent="0.2">
      <c r="A10" s="10">
        <v>7</v>
      </c>
      <c r="B10" s="11">
        <v>293998</v>
      </c>
      <c r="C10" s="11">
        <v>294077</v>
      </c>
      <c r="D10" s="25">
        <f t="shared" si="0"/>
        <v>79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1989136</v>
      </c>
      <c r="C35" s="11">
        <f>SUM(C4:C34)</f>
        <v>1980591</v>
      </c>
      <c r="D35" s="11">
        <f>SUM(D4:D34)</f>
        <v>-8545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1">
        <v>36922</v>
      </c>
      <c r="D38" s="51">
        <v>59915</v>
      </c>
    </row>
    <row r="39" spans="1:30" x14ac:dyDescent="0.2">
      <c r="A39" s="12"/>
      <c r="D39" s="24"/>
    </row>
    <row r="40" spans="1:30" x14ac:dyDescent="0.2">
      <c r="A40" s="251">
        <v>36929</v>
      </c>
      <c r="D40" s="24">
        <f>+D38+D35</f>
        <v>51370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A39" sqref="A39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>
        <v>10487</v>
      </c>
      <c r="B1" s="55"/>
      <c r="F1" s="54"/>
    </row>
    <row r="3" spans="1:11" x14ac:dyDescent="0.2">
      <c r="A3" s="5" t="s">
        <v>12</v>
      </c>
      <c r="B3" s="6" t="s">
        <v>22</v>
      </c>
      <c r="C3" s="6" t="s">
        <v>21</v>
      </c>
      <c r="F3" s="5"/>
      <c r="G3" s="6"/>
      <c r="H3" s="6"/>
    </row>
    <row r="4" spans="1:11" x14ac:dyDescent="0.2">
      <c r="A4" s="10">
        <v>1</v>
      </c>
      <c r="B4" s="11">
        <v>799173</v>
      </c>
      <c r="C4" s="11">
        <v>796784</v>
      </c>
      <c r="D4" s="25">
        <f>+C4-B4</f>
        <v>-2389</v>
      </c>
      <c r="F4" s="10"/>
      <c r="G4" s="11"/>
      <c r="H4" s="11"/>
      <c r="I4" s="25"/>
    </row>
    <row r="5" spans="1:11" x14ac:dyDescent="0.2">
      <c r="A5" s="10">
        <v>2</v>
      </c>
      <c r="B5" s="11">
        <v>706086</v>
      </c>
      <c r="C5" s="11">
        <v>722843</v>
      </c>
      <c r="D5" s="25">
        <f t="shared" ref="D5:D34" si="0">+C5-B5</f>
        <v>16757</v>
      </c>
      <c r="F5" s="10"/>
      <c r="G5" s="11"/>
      <c r="H5" s="11"/>
      <c r="I5" s="25"/>
    </row>
    <row r="6" spans="1:11" x14ac:dyDescent="0.2">
      <c r="A6" s="10">
        <v>3</v>
      </c>
      <c r="B6" s="11">
        <v>787122</v>
      </c>
      <c r="C6" s="11">
        <v>791623</v>
      </c>
      <c r="D6" s="25">
        <f t="shared" si="0"/>
        <v>4501</v>
      </c>
      <c r="F6" s="10"/>
      <c r="G6" s="11"/>
      <c r="H6" s="11"/>
      <c r="I6" s="25"/>
    </row>
    <row r="7" spans="1:11" x14ac:dyDescent="0.2">
      <c r="A7" s="10">
        <v>4</v>
      </c>
      <c r="B7" s="11">
        <v>787252</v>
      </c>
      <c r="C7" s="11">
        <v>768985</v>
      </c>
      <c r="D7" s="25">
        <f t="shared" si="0"/>
        <v>-18267</v>
      </c>
      <c r="F7" s="10"/>
      <c r="G7" s="11"/>
      <c r="H7" s="11"/>
      <c r="I7" s="25"/>
      <c r="K7" s="25"/>
    </row>
    <row r="8" spans="1:11" x14ac:dyDescent="0.2">
      <c r="A8" s="10">
        <v>5</v>
      </c>
      <c r="B8" s="11">
        <v>795298</v>
      </c>
      <c r="C8" s="11">
        <v>799435</v>
      </c>
      <c r="D8" s="25">
        <f t="shared" si="0"/>
        <v>4137</v>
      </c>
      <c r="F8" s="10"/>
      <c r="G8" s="11"/>
      <c r="H8" s="11"/>
      <c r="I8" s="25"/>
    </row>
    <row r="9" spans="1:11" x14ac:dyDescent="0.2">
      <c r="A9" s="10">
        <v>6</v>
      </c>
      <c r="B9" s="11">
        <v>815022</v>
      </c>
      <c r="C9" s="11">
        <v>821247</v>
      </c>
      <c r="D9" s="25">
        <f t="shared" si="0"/>
        <v>6225</v>
      </c>
      <c r="F9" s="10"/>
      <c r="G9" s="11"/>
      <c r="H9" s="11"/>
      <c r="I9" s="25"/>
    </row>
    <row r="10" spans="1:11" x14ac:dyDescent="0.2">
      <c r="A10" s="10">
        <v>7</v>
      </c>
      <c r="B10" s="11">
        <v>791438</v>
      </c>
      <c r="C10" s="11">
        <v>798833</v>
      </c>
      <c r="D10" s="25">
        <f t="shared" si="0"/>
        <v>7395</v>
      </c>
      <c r="F10" s="10"/>
      <c r="G10" s="11"/>
      <c r="H10" s="11"/>
      <c r="I10" s="25"/>
    </row>
    <row r="11" spans="1:11" x14ac:dyDescent="0.2">
      <c r="A11" s="10">
        <v>8</v>
      </c>
      <c r="B11" s="11"/>
      <c r="C11" s="11"/>
      <c r="D11" s="25">
        <f t="shared" si="0"/>
        <v>0</v>
      </c>
      <c r="F11" s="10"/>
      <c r="G11" s="11"/>
      <c r="H11" s="11"/>
      <c r="I11" s="25"/>
    </row>
    <row r="12" spans="1:11" x14ac:dyDescent="0.2">
      <c r="A12" s="10">
        <v>9</v>
      </c>
      <c r="B12" s="11"/>
      <c r="C12" s="11"/>
      <c r="D12" s="25">
        <f t="shared" si="0"/>
        <v>0</v>
      </c>
      <c r="F12" s="10"/>
      <c r="G12" s="11"/>
      <c r="H12" s="11"/>
      <c r="I12" s="25"/>
    </row>
    <row r="13" spans="1:11" x14ac:dyDescent="0.2">
      <c r="A13" s="10">
        <v>10</v>
      </c>
      <c r="B13" s="11"/>
      <c r="C13" s="11"/>
      <c r="D13" s="25">
        <f t="shared" si="0"/>
        <v>0</v>
      </c>
      <c r="F13" s="10"/>
      <c r="G13" s="11"/>
      <c r="H13" s="11"/>
      <c r="I13" s="25"/>
    </row>
    <row r="14" spans="1:11" x14ac:dyDescent="0.2">
      <c r="A14" s="10">
        <v>11</v>
      </c>
      <c r="B14" s="11"/>
      <c r="C14" s="11"/>
      <c r="D14" s="25">
        <f t="shared" si="0"/>
        <v>0</v>
      </c>
      <c r="F14" s="10"/>
      <c r="G14" s="11"/>
      <c r="H14" s="11"/>
      <c r="I14" s="25"/>
    </row>
    <row r="15" spans="1:11" x14ac:dyDescent="0.2">
      <c r="A15" s="10">
        <v>12</v>
      </c>
      <c r="B15" s="11"/>
      <c r="C15" s="11"/>
      <c r="D15" s="25">
        <f t="shared" si="0"/>
        <v>0</v>
      </c>
      <c r="F15" s="10"/>
      <c r="G15" s="11"/>
      <c r="H15" s="11"/>
      <c r="I15" s="25"/>
    </row>
    <row r="16" spans="1:11" x14ac:dyDescent="0.2">
      <c r="A16" s="10">
        <v>13</v>
      </c>
      <c r="B16" s="11"/>
      <c r="C16" s="11"/>
      <c r="D16" s="25">
        <f t="shared" si="0"/>
        <v>0</v>
      </c>
      <c r="F16" s="10"/>
      <c r="G16" s="11"/>
      <c r="H16" s="11"/>
      <c r="I16" s="25"/>
      <c r="K16" s="25"/>
    </row>
    <row r="17" spans="1:11" x14ac:dyDescent="0.2">
      <c r="A17" s="10">
        <v>14</v>
      </c>
      <c r="B17" s="11"/>
      <c r="C17" s="11"/>
      <c r="D17" s="25">
        <f t="shared" si="0"/>
        <v>0</v>
      </c>
      <c r="F17" s="10"/>
      <c r="G17" s="11"/>
      <c r="H17" s="11"/>
      <c r="I17" s="25"/>
    </row>
    <row r="18" spans="1:11" x14ac:dyDescent="0.2">
      <c r="A18" s="10">
        <v>15</v>
      </c>
      <c r="B18" s="11"/>
      <c r="C18" s="11"/>
      <c r="D18" s="25">
        <f t="shared" si="0"/>
        <v>0</v>
      </c>
      <c r="F18" s="10"/>
      <c r="G18" s="11"/>
      <c r="H18" s="11"/>
      <c r="I18" s="25"/>
    </row>
    <row r="19" spans="1:11" x14ac:dyDescent="0.2">
      <c r="A19" s="10">
        <v>16</v>
      </c>
      <c r="B19" s="11"/>
      <c r="C19" s="11"/>
      <c r="D19" s="25">
        <f t="shared" si="0"/>
        <v>0</v>
      </c>
      <c r="F19" s="10"/>
      <c r="G19" s="11"/>
      <c r="H19" s="11"/>
      <c r="I19" s="25"/>
    </row>
    <row r="20" spans="1:11" x14ac:dyDescent="0.2">
      <c r="A20" s="10">
        <v>17</v>
      </c>
      <c r="B20" s="11"/>
      <c r="C20" s="11"/>
      <c r="D20" s="25">
        <f t="shared" si="0"/>
        <v>0</v>
      </c>
      <c r="F20" s="10"/>
      <c r="G20" s="11"/>
      <c r="H20" s="11"/>
      <c r="I20" s="25"/>
    </row>
    <row r="21" spans="1:11" x14ac:dyDescent="0.2">
      <c r="A21" s="10">
        <v>18</v>
      </c>
      <c r="B21" s="11"/>
      <c r="C21" s="11"/>
      <c r="D21" s="25">
        <f t="shared" si="0"/>
        <v>0</v>
      </c>
      <c r="F21" s="10"/>
      <c r="G21" s="11"/>
      <c r="H21" s="11"/>
      <c r="I21" s="25"/>
    </row>
    <row r="22" spans="1:11" x14ac:dyDescent="0.2">
      <c r="A22" s="10">
        <v>19</v>
      </c>
      <c r="B22" s="11"/>
      <c r="C22" s="11"/>
      <c r="D22" s="25">
        <f t="shared" si="0"/>
        <v>0</v>
      </c>
      <c r="F22" s="10"/>
      <c r="G22" s="11"/>
      <c r="H22" s="11"/>
      <c r="I22" s="25"/>
    </row>
    <row r="23" spans="1:11" x14ac:dyDescent="0.2">
      <c r="A23" s="10">
        <v>20</v>
      </c>
      <c r="B23" s="11"/>
      <c r="C23" s="11"/>
      <c r="D23" s="25">
        <f t="shared" si="0"/>
        <v>0</v>
      </c>
      <c r="F23" s="10"/>
      <c r="G23" s="11"/>
      <c r="H23" s="11"/>
      <c r="I23" s="25"/>
    </row>
    <row r="24" spans="1:11" x14ac:dyDescent="0.2">
      <c r="A24" s="10">
        <v>21</v>
      </c>
      <c r="B24" s="11"/>
      <c r="C24" s="11"/>
      <c r="D24" s="25">
        <f t="shared" si="0"/>
        <v>0</v>
      </c>
      <c r="F24" s="10"/>
      <c r="G24" s="11"/>
      <c r="H24" s="11"/>
      <c r="I24" s="25"/>
      <c r="K24" s="25"/>
    </row>
    <row r="25" spans="1:11" x14ac:dyDescent="0.2">
      <c r="A25" s="10">
        <v>22</v>
      </c>
      <c r="B25" s="11"/>
      <c r="C25" s="11"/>
      <c r="D25" s="25">
        <f t="shared" si="0"/>
        <v>0</v>
      </c>
      <c r="F25" s="10"/>
      <c r="G25" s="11"/>
      <c r="H25" s="11"/>
      <c r="I25" s="25"/>
    </row>
    <row r="26" spans="1:11" x14ac:dyDescent="0.2">
      <c r="A26" s="10">
        <v>23</v>
      </c>
      <c r="B26" s="11"/>
      <c r="C26" s="11"/>
      <c r="D26" s="25">
        <f t="shared" si="0"/>
        <v>0</v>
      </c>
      <c r="F26" s="10"/>
      <c r="G26" s="11"/>
      <c r="H26" s="11"/>
      <c r="I26" s="25"/>
    </row>
    <row r="27" spans="1:11" x14ac:dyDescent="0.2">
      <c r="A27" s="10">
        <v>24</v>
      </c>
      <c r="B27" s="11"/>
      <c r="C27" s="11"/>
      <c r="D27" s="25">
        <f t="shared" si="0"/>
        <v>0</v>
      </c>
      <c r="F27" s="10"/>
      <c r="G27" s="11"/>
      <c r="H27" s="11"/>
      <c r="I27" s="25"/>
      <c r="K27" s="25"/>
    </row>
    <row r="28" spans="1:11" x14ac:dyDescent="0.2">
      <c r="A28" s="10">
        <v>25</v>
      </c>
      <c r="B28" s="11"/>
      <c r="C28" s="11"/>
      <c r="D28" s="25">
        <f t="shared" si="0"/>
        <v>0</v>
      </c>
      <c r="F28" s="10"/>
      <c r="G28" s="11"/>
      <c r="H28" s="11"/>
      <c r="I28" s="25"/>
      <c r="K28" s="25"/>
    </row>
    <row r="29" spans="1:11" x14ac:dyDescent="0.2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5" x14ac:dyDescent="0.2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5" x14ac:dyDescent="0.2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5" x14ac:dyDescent="0.2">
      <c r="A35" s="10"/>
      <c r="B35" s="11">
        <f>SUM(B4:B34)</f>
        <v>5481391</v>
      </c>
      <c r="C35" s="11">
        <f>SUM(C4:C34)</f>
        <v>5499750</v>
      </c>
      <c r="D35" s="11">
        <f>SUM(D4:D34)</f>
        <v>18359</v>
      </c>
      <c r="F35" s="10"/>
      <c r="G35" s="11"/>
      <c r="H35" s="11"/>
      <c r="I35" s="11"/>
      <c r="K35" s="11"/>
    </row>
    <row r="36" spans="1:45" x14ac:dyDescent="0.2">
      <c r="A36" s="26"/>
      <c r="B36" s="24"/>
      <c r="C36" s="25"/>
      <c r="D36" s="2"/>
      <c r="F36" s="26"/>
      <c r="H36" s="25"/>
      <c r="I36" s="2"/>
    </row>
    <row r="37" spans="1:45" x14ac:dyDescent="0.2">
      <c r="D37" s="24"/>
      <c r="I37" s="24"/>
    </row>
    <row r="38" spans="1:45" x14ac:dyDescent="0.2">
      <c r="A38" s="57">
        <v>36922</v>
      </c>
      <c r="D38" s="338">
        <v>-2392</v>
      </c>
      <c r="I38" s="24"/>
    </row>
    <row r="39" spans="1:45" x14ac:dyDescent="0.2">
      <c r="A39" s="2"/>
      <c r="D39" s="24"/>
      <c r="I39" s="24"/>
    </row>
    <row r="40" spans="1:45" x14ac:dyDescent="0.2">
      <c r="A40" s="57">
        <v>36929</v>
      </c>
      <c r="D40" s="51">
        <f>+D38+D35</f>
        <v>15967</v>
      </c>
      <c r="I40" s="24"/>
    </row>
    <row r="42" spans="1:45" x14ac:dyDescent="0.2">
      <c r="AF42" s="328"/>
      <c r="AG42" s="328"/>
      <c r="AH42" s="328"/>
      <c r="AI42" s="328"/>
      <c r="AJ42" s="328"/>
      <c r="AK42" s="328"/>
      <c r="AL42" s="328"/>
      <c r="AM42" s="328"/>
      <c r="AN42" s="328"/>
      <c r="AO42" s="328"/>
      <c r="AP42" s="328"/>
      <c r="AQ42" s="328"/>
      <c r="AR42" s="328"/>
      <c r="AS42" s="328"/>
    </row>
    <row r="43" spans="1:45" ht="15.75" x14ac:dyDescent="0.25">
      <c r="A43" s="53"/>
      <c r="B43" s="11"/>
      <c r="C43" s="11"/>
      <c r="D43" s="138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9"/>
      <c r="AG43" s="328"/>
      <c r="AH43" s="328"/>
      <c r="AI43" s="330"/>
      <c r="AJ43" s="329"/>
      <c r="AK43" s="328"/>
      <c r="AL43" s="328"/>
      <c r="AM43" s="330"/>
      <c r="AN43" s="329"/>
      <c r="AO43" s="328"/>
      <c r="AP43" s="328"/>
      <c r="AQ43" s="328"/>
      <c r="AR43" s="328"/>
      <c r="AS43" s="328"/>
    </row>
    <row r="44" spans="1:45" x14ac:dyDescent="0.2">
      <c r="K44"/>
      <c r="AF44" s="328"/>
      <c r="AG44" s="328"/>
      <c r="AH44" s="328"/>
      <c r="AI44" s="328"/>
      <c r="AJ44" s="328"/>
      <c r="AK44" s="328"/>
      <c r="AL44" s="328"/>
      <c r="AM44" s="328"/>
      <c r="AN44" s="328"/>
      <c r="AO44" s="328"/>
      <c r="AP44" s="328"/>
      <c r="AQ44" s="328"/>
      <c r="AR44" s="328"/>
      <c r="AS44" s="328"/>
    </row>
    <row r="45" spans="1:45" x14ac:dyDescent="0.2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31"/>
      <c r="AG45" s="331"/>
      <c r="AH45" s="328"/>
      <c r="AI45" s="332"/>
      <c r="AJ45" s="331"/>
      <c r="AK45" s="331"/>
      <c r="AL45" s="328"/>
      <c r="AM45" s="332"/>
      <c r="AN45" s="331"/>
      <c r="AO45" s="331"/>
      <c r="AP45" s="328"/>
      <c r="AQ45" s="328"/>
      <c r="AR45" s="328"/>
      <c r="AS45" s="328"/>
    </row>
    <row r="46" spans="1:45" x14ac:dyDescent="0.2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33"/>
      <c r="AG46" s="333"/>
      <c r="AH46" s="334"/>
      <c r="AI46" s="335"/>
      <c r="AJ46" s="333"/>
      <c r="AK46" s="333"/>
      <c r="AL46" s="334"/>
      <c r="AM46" s="335"/>
      <c r="AN46" s="333"/>
      <c r="AO46" s="333"/>
      <c r="AP46" s="334"/>
      <c r="AQ46" s="328"/>
      <c r="AR46" s="328"/>
      <c r="AS46" s="328"/>
    </row>
    <row r="47" spans="1:45" x14ac:dyDescent="0.2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33"/>
      <c r="AG47" s="333"/>
      <c r="AH47" s="334"/>
      <c r="AI47" s="335"/>
      <c r="AJ47" s="333"/>
      <c r="AK47" s="333"/>
      <c r="AL47" s="334"/>
      <c r="AM47" s="335"/>
      <c r="AN47" s="333"/>
      <c r="AO47" s="333"/>
      <c r="AP47" s="334"/>
      <c r="AQ47" s="328"/>
      <c r="AR47" s="328"/>
      <c r="AS47" s="328"/>
    </row>
    <row r="48" spans="1:45" x14ac:dyDescent="0.2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33"/>
      <c r="AG48" s="333"/>
      <c r="AH48" s="334"/>
      <c r="AI48" s="335"/>
      <c r="AJ48" s="333"/>
      <c r="AK48" s="333"/>
      <c r="AL48" s="334"/>
      <c r="AM48" s="335"/>
      <c r="AN48" s="333"/>
      <c r="AO48" s="333"/>
      <c r="AP48" s="334"/>
      <c r="AQ48" s="328"/>
      <c r="AR48" s="328"/>
      <c r="AS48" s="328"/>
    </row>
    <row r="49" spans="1:45" x14ac:dyDescent="0.2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33"/>
      <c r="AG49" s="333"/>
      <c r="AH49" s="334"/>
      <c r="AI49" s="335"/>
      <c r="AJ49" s="333"/>
      <c r="AK49" s="333"/>
      <c r="AL49" s="334"/>
      <c r="AM49" s="335"/>
      <c r="AN49" s="333"/>
      <c r="AO49" s="333"/>
      <c r="AP49" s="334"/>
      <c r="AQ49" s="328"/>
      <c r="AR49" s="328"/>
      <c r="AS49" s="328"/>
    </row>
    <row r="50" spans="1:45" x14ac:dyDescent="0.2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33"/>
      <c r="AG50" s="333"/>
      <c r="AH50" s="334"/>
      <c r="AI50" s="335"/>
      <c r="AJ50" s="333"/>
      <c r="AK50" s="333"/>
      <c r="AL50" s="334"/>
      <c r="AM50" s="335"/>
      <c r="AN50" s="333"/>
      <c r="AO50" s="333"/>
      <c r="AP50" s="334"/>
      <c r="AQ50" s="328"/>
      <c r="AR50" s="328"/>
      <c r="AS50" s="328"/>
    </row>
    <row r="51" spans="1:45" x14ac:dyDescent="0.2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33"/>
      <c r="AG51" s="333"/>
      <c r="AH51" s="334"/>
      <c r="AI51" s="335"/>
      <c r="AJ51" s="333"/>
      <c r="AK51" s="333"/>
      <c r="AL51" s="334"/>
      <c r="AM51" s="335"/>
      <c r="AN51" s="333"/>
      <c r="AO51" s="333"/>
      <c r="AP51" s="334"/>
      <c r="AQ51" s="328"/>
      <c r="AR51" s="328"/>
      <c r="AS51" s="328"/>
    </row>
    <row r="52" spans="1:45" x14ac:dyDescent="0.2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33"/>
      <c r="AG52" s="333"/>
      <c r="AH52" s="334"/>
      <c r="AI52" s="335"/>
      <c r="AJ52" s="333"/>
      <c r="AK52" s="333"/>
      <c r="AL52" s="334"/>
      <c r="AM52" s="335"/>
      <c r="AN52" s="333"/>
      <c r="AO52" s="333"/>
      <c r="AP52" s="334"/>
      <c r="AQ52" s="328"/>
      <c r="AR52" s="328"/>
      <c r="AS52" s="328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33"/>
      <c r="AG53" s="333"/>
      <c r="AH53" s="334"/>
      <c r="AI53" s="335"/>
      <c r="AJ53" s="333"/>
      <c r="AK53" s="333"/>
      <c r="AL53" s="334"/>
      <c r="AM53" s="335"/>
      <c r="AN53" s="333"/>
      <c r="AO53" s="333"/>
      <c r="AP53" s="334"/>
      <c r="AQ53" s="328"/>
      <c r="AR53" s="328"/>
      <c r="AS53" s="328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33"/>
      <c r="AG54" s="333"/>
      <c r="AH54" s="334"/>
      <c r="AI54" s="335"/>
      <c r="AJ54" s="333"/>
      <c r="AK54" s="333"/>
      <c r="AL54" s="334"/>
      <c r="AM54" s="335"/>
      <c r="AN54" s="333"/>
      <c r="AO54" s="333"/>
      <c r="AP54" s="334"/>
      <c r="AQ54" s="328"/>
      <c r="AR54" s="328"/>
      <c r="AS54" s="328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33"/>
      <c r="AG55" s="333"/>
      <c r="AH55" s="334"/>
      <c r="AI55" s="335"/>
      <c r="AJ55" s="333"/>
      <c r="AK55" s="333"/>
      <c r="AL55" s="334"/>
      <c r="AM55" s="335"/>
      <c r="AN55" s="333"/>
      <c r="AO55" s="333"/>
      <c r="AP55" s="334"/>
      <c r="AQ55" s="328"/>
      <c r="AR55" s="328"/>
      <c r="AS55" s="328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33"/>
      <c r="AG56" s="333"/>
      <c r="AH56" s="334"/>
      <c r="AI56" s="335"/>
      <c r="AJ56" s="333"/>
      <c r="AK56" s="333"/>
      <c r="AL56" s="334"/>
      <c r="AM56" s="335"/>
      <c r="AN56" s="333"/>
      <c r="AO56" s="333"/>
      <c r="AP56" s="334"/>
      <c r="AQ56" s="328"/>
      <c r="AR56" s="328"/>
      <c r="AS56" s="328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33"/>
      <c r="AG57" s="333"/>
      <c r="AH57" s="334"/>
      <c r="AI57" s="335"/>
      <c r="AJ57" s="333"/>
      <c r="AK57" s="333"/>
      <c r="AL57" s="334"/>
      <c r="AM57" s="335"/>
      <c r="AN57" s="333"/>
      <c r="AO57" s="333"/>
      <c r="AP57" s="334"/>
      <c r="AQ57" s="328"/>
      <c r="AR57" s="328"/>
      <c r="AS57" s="328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33"/>
      <c r="AG58" s="333"/>
      <c r="AH58" s="334"/>
      <c r="AI58" s="335"/>
      <c r="AJ58" s="333"/>
      <c r="AK58" s="333"/>
      <c r="AL58" s="334"/>
      <c r="AM58" s="335"/>
      <c r="AN58" s="333"/>
      <c r="AO58" s="333"/>
      <c r="AP58" s="334"/>
      <c r="AQ58" s="328"/>
      <c r="AR58" s="328"/>
      <c r="AS58" s="328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33"/>
      <c r="AG59" s="333"/>
      <c r="AH59" s="334"/>
      <c r="AI59" s="335"/>
      <c r="AJ59" s="333"/>
      <c r="AK59" s="333"/>
      <c r="AL59" s="334"/>
      <c r="AM59" s="335"/>
      <c r="AN59" s="333"/>
      <c r="AO59" s="333"/>
      <c r="AP59" s="334"/>
      <c r="AQ59" s="328"/>
      <c r="AR59" s="328"/>
      <c r="AS59" s="328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33"/>
      <c r="AG60" s="333"/>
      <c r="AH60" s="334"/>
      <c r="AI60" s="335"/>
      <c r="AJ60" s="333"/>
      <c r="AK60" s="333"/>
      <c r="AL60" s="334"/>
      <c r="AM60" s="335"/>
      <c r="AN60" s="333"/>
      <c r="AO60" s="333"/>
      <c r="AP60" s="334"/>
      <c r="AQ60" s="328"/>
      <c r="AR60" s="328"/>
      <c r="AS60" s="328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33"/>
      <c r="AG61" s="333"/>
      <c r="AH61" s="334"/>
      <c r="AI61" s="335"/>
      <c r="AJ61" s="333"/>
      <c r="AK61" s="333"/>
      <c r="AL61" s="334"/>
      <c r="AM61" s="335"/>
      <c r="AN61" s="333"/>
      <c r="AO61" s="333"/>
      <c r="AP61" s="334"/>
      <c r="AQ61" s="328"/>
      <c r="AR61" s="328"/>
      <c r="AS61" s="328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33"/>
      <c r="AG62" s="333"/>
      <c r="AH62" s="334"/>
      <c r="AI62" s="335"/>
      <c r="AJ62" s="333"/>
      <c r="AK62" s="333"/>
      <c r="AL62" s="334"/>
      <c r="AM62" s="335"/>
      <c r="AN62" s="333"/>
      <c r="AO62" s="333"/>
      <c r="AP62" s="334"/>
      <c r="AQ62" s="328"/>
      <c r="AR62" s="328"/>
      <c r="AS62" s="328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33"/>
      <c r="AG63" s="333"/>
      <c r="AH63" s="334"/>
      <c r="AI63" s="335"/>
      <c r="AJ63" s="333"/>
      <c r="AK63" s="333"/>
      <c r="AL63" s="334"/>
      <c r="AM63" s="335"/>
      <c r="AN63" s="333"/>
      <c r="AO63" s="333"/>
      <c r="AP63" s="334"/>
      <c r="AQ63" s="328"/>
      <c r="AR63" s="328"/>
      <c r="AS63" s="328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33"/>
      <c r="AG64" s="333"/>
      <c r="AH64" s="334"/>
      <c r="AI64" s="335"/>
      <c r="AJ64" s="333"/>
      <c r="AK64" s="333"/>
      <c r="AL64" s="334"/>
      <c r="AM64" s="335"/>
      <c r="AN64" s="333"/>
      <c r="AO64" s="333"/>
      <c r="AP64" s="334"/>
      <c r="AQ64" s="328"/>
      <c r="AR64" s="328"/>
      <c r="AS64" s="328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33"/>
      <c r="AG65" s="333"/>
      <c r="AH65" s="334"/>
      <c r="AI65" s="335"/>
      <c r="AJ65" s="333"/>
      <c r="AK65" s="333"/>
      <c r="AL65" s="334"/>
      <c r="AM65" s="335"/>
      <c r="AN65" s="333"/>
      <c r="AO65" s="333"/>
      <c r="AP65" s="334"/>
      <c r="AQ65" s="328"/>
      <c r="AR65" s="328"/>
      <c r="AS65" s="328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33"/>
      <c r="AG66" s="333"/>
      <c r="AH66" s="334"/>
      <c r="AI66" s="335"/>
      <c r="AJ66" s="333"/>
      <c r="AK66" s="333"/>
      <c r="AL66" s="334"/>
      <c r="AM66" s="335"/>
      <c r="AN66" s="333"/>
      <c r="AO66" s="333"/>
      <c r="AP66" s="334"/>
      <c r="AQ66" s="328"/>
      <c r="AR66" s="328"/>
      <c r="AS66" s="328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33"/>
      <c r="AG67" s="333"/>
      <c r="AH67" s="334"/>
      <c r="AI67" s="335"/>
      <c r="AJ67" s="333"/>
      <c r="AK67" s="333"/>
      <c r="AL67" s="334"/>
      <c r="AM67" s="335"/>
      <c r="AN67" s="333"/>
      <c r="AO67" s="333"/>
      <c r="AP67" s="334"/>
      <c r="AQ67" s="328"/>
      <c r="AR67" s="328"/>
      <c r="AS67" s="328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33"/>
      <c r="AG68" s="333"/>
      <c r="AH68" s="334"/>
      <c r="AI68" s="335"/>
      <c r="AJ68" s="333"/>
      <c r="AK68" s="333"/>
      <c r="AL68" s="334"/>
      <c r="AM68" s="335"/>
      <c r="AN68" s="333"/>
      <c r="AO68" s="333"/>
      <c r="AP68" s="334"/>
      <c r="AQ68" s="328"/>
      <c r="AR68" s="328"/>
      <c r="AS68" s="328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33"/>
      <c r="AG69" s="333"/>
      <c r="AH69" s="334"/>
      <c r="AI69" s="335"/>
      <c r="AJ69" s="333"/>
      <c r="AK69" s="333"/>
      <c r="AL69" s="334"/>
      <c r="AM69" s="335"/>
      <c r="AN69" s="333"/>
      <c r="AO69" s="333"/>
      <c r="AP69" s="334"/>
      <c r="AQ69" s="328"/>
      <c r="AR69" s="328"/>
      <c r="AS69" s="328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33"/>
      <c r="AG70" s="333"/>
      <c r="AH70" s="334"/>
      <c r="AI70" s="335"/>
      <c r="AJ70" s="333"/>
      <c r="AK70" s="333"/>
      <c r="AL70" s="334"/>
      <c r="AM70" s="335"/>
      <c r="AN70" s="333"/>
      <c r="AO70" s="333"/>
      <c r="AP70" s="334"/>
      <c r="AQ70" s="328"/>
      <c r="AR70" s="328"/>
      <c r="AS70" s="328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33"/>
      <c r="AG71" s="333"/>
      <c r="AH71" s="334"/>
      <c r="AI71" s="335"/>
      <c r="AJ71" s="333"/>
      <c r="AK71" s="333"/>
      <c r="AL71" s="334"/>
      <c r="AM71" s="335"/>
      <c r="AN71" s="333"/>
      <c r="AO71" s="333"/>
      <c r="AP71" s="334"/>
      <c r="AQ71" s="328"/>
      <c r="AR71" s="328"/>
      <c r="AS71" s="328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33"/>
      <c r="AG72" s="333"/>
      <c r="AH72" s="334"/>
      <c r="AI72" s="335"/>
      <c r="AJ72" s="333"/>
      <c r="AK72" s="333"/>
      <c r="AL72" s="334"/>
      <c r="AM72" s="335"/>
      <c r="AN72" s="333"/>
      <c r="AO72" s="333"/>
      <c r="AP72" s="334"/>
      <c r="AQ72" s="328"/>
      <c r="AR72" s="328"/>
      <c r="AS72" s="328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33"/>
      <c r="AG73" s="333"/>
      <c r="AH73" s="334"/>
      <c r="AI73" s="335"/>
      <c r="AJ73" s="333"/>
      <c r="AK73" s="333"/>
      <c r="AL73" s="334"/>
      <c r="AM73" s="335"/>
      <c r="AN73" s="333"/>
      <c r="AO73" s="333"/>
      <c r="AP73" s="334"/>
      <c r="AQ73" s="328"/>
      <c r="AR73" s="328"/>
      <c r="AS73" s="328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33"/>
      <c r="AG74" s="333"/>
      <c r="AH74" s="334"/>
      <c r="AI74" s="335"/>
      <c r="AJ74" s="333"/>
      <c r="AK74" s="333"/>
      <c r="AL74" s="334"/>
      <c r="AM74" s="335"/>
      <c r="AN74" s="333"/>
      <c r="AO74" s="333"/>
      <c r="AP74" s="334"/>
      <c r="AQ74" s="328"/>
      <c r="AR74" s="328"/>
      <c r="AS74" s="328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33"/>
      <c r="AG75" s="333"/>
      <c r="AH75" s="334"/>
      <c r="AI75" s="335"/>
      <c r="AJ75" s="333"/>
      <c r="AK75" s="333"/>
      <c r="AL75" s="334"/>
      <c r="AM75" s="335"/>
      <c r="AN75" s="333"/>
      <c r="AO75" s="333"/>
      <c r="AP75" s="334"/>
      <c r="AQ75" s="328"/>
      <c r="AR75" s="328"/>
      <c r="AS75" s="328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33"/>
      <c r="AG76" s="333"/>
      <c r="AH76" s="334"/>
      <c r="AI76" s="335"/>
      <c r="AJ76" s="333"/>
      <c r="AK76" s="333"/>
      <c r="AL76" s="334"/>
      <c r="AM76" s="335"/>
      <c r="AN76" s="333"/>
      <c r="AO76" s="333"/>
      <c r="AP76" s="334"/>
      <c r="AQ76" s="328"/>
      <c r="AR76" s="328"/>
      <c r="AS76" s="328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33"/>
      <c r="AG77" s="333"/>
      <c r="AH77" s="333"/>
      <c r="AI77" s="335"/>
      <c r="AJ77" s="333"/>
      <c r="AK77" s="333"/>
      <c r="AL77" s="333"/>
      <c r="AM77" s="335"/>
      <c r="AN77" s="333"/>
      <c r="AO77" s="333"/>
      <c r="AP77" s="333"/>
      <c r="AQ77" s="328"/>
      <c r="AR77" s="328"/>
      <c r="AS77" s="328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28"/>
      <c r="AG78" s="334"/>
      <c r="AH78" s="336"/>
      <c r="AI78" s="337"/>
      <c r="AJ78" s="328"/>
      <c r="AK78" s="334"/>
      <c r="AL78" s="336"/>
      <c r="AM78" s="337"/>
      <c r="AN78" s="328"/>
      <c r="AO78" s="334"/>
      <c r="AP78" s="336"/>
      <c r="AQ78" s="328"/>
      <c r="AR78" s="328"/>
      <c r="AS78" s="328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28"/>
      <c r="AG79" s="328"/>
      <c r="AH79" s="338"/>
      <c r="AI79" s="328"/>
      <c r="AJ79" s="328"/>
      <c r="AK79" s="328"/>
      <c r="AL79" s="338"/>
      <c r="AM79" s="328"/>
      <c r="AN79" s="328"/>
      <c r="AO79" s="328"/>
      <c r="AP79" s="338"/>
      <c r="AQ79" s="328"/>
      <c r="AR79" s="328"/>
      <c r="AS79" s="328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28"/>
      <c r="AG80" s="328"/>
      <c r="AH80" s="338"/>
      <c r="AI80" s="339"/>
      <c r="AJ80" s="328"/>
      <c r="AK80" s="328"/>
      <c r="AL80" s="338"/>
      <c r="AM80" s="339"/>
      <c r="AN80" s="328"/>
      <c r="AO80" s="328"/>
      <c r="AP80" s="338"/>
      <c r="AQ80" s="328"/>
      <c r="AR80" s="328"/>
      <c r="AS80" s="328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28"/>
      <c r="AG81" s="328"/>
      <c r="AH81" s="338"/>
      <c r="AI81" s="336"/>
      <c r="AJ81" s="328"/>
      <c r="AK81" s="328"/>
      <c r="AL81" s="338"/>
      <c r="AM81" s="336"/>
      <c r="AN81" s="328"/>
      <c r="AO81" s="328"/>
      <c r="AP81" s="338"/>
      <c r="AQ81" s="328"/>
      <c r="AR81" s="328"/>
      <c r="AS81" s="328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28"/>
      <c r="AG82" s="328"/>
      <c r="AH82" s="338"/>
      <c r="AI82" s="339"/>
      <c r="AJ82" s="328"/>
      <c r="AK82" s="328"/>
      <c r="AL82" s="338"/>
      <c r="AM82" s="339"/>
      <c r="AN82" s="328"/>
      <c r="AO82" s="328"/>
      <c r="AP82" s="338"/>
      <c r="AQ82" s="328"/>
      <c r="AR82" s="328"/>
      <c r="AS82" s="328"/>
    </row>
    <row r="83" spans="4:45" x14ac:dyDescent="0.2">
      <c r="AE83" s="32"/>
      <c r="AF83" s="328"/>
      <c r="AG83" s="328"/>
      <c r="AH83" s="328"/>
      <c r="AI83" s="328"/>
      <c r="AJ83" s="328"/>
      <c r="AK83" s="328"/>
      <c r="AL83" s="328"/>
      <c r="AM83" s="328"/>
      <c r="AN83" s="328"/>
      <c r="AO83" s="328"/>
      <c r="AP83" s="328"/>
      <c r="AQ83" s="328"/>
      <c r="AR83" s="328"/>
      <c r="AS83" s="328"/>
    </row>
    <row r="84" spans="4:45" x14ac:dyDescent="0.2">
      <c r="AE84" s="32"/>
      <c r="AF84" s="328"/>
      <c r="AG84" s="328"/>
      <c r="AH84" s="328"/>
      <c r="AI84" s="328"/>
      <c r="AJ84" s="328"/>
      <c r="AK84" s="328"/>
      <c r="AL84" s="328"/>
      <c r="AM84" s="328"/>
      <c r="AN84" s="328"/>
      <c r="AO84" s="328"/>
      <c r="AP84" s="328"/>
      <c r="AQ84" s="328"/>
      <c r="AR84" s="328"/>
      <c r="AS84" s="328"/>
    </row>
    <row r="85" spans="4:45" x14ac:dyDescent="0.2">
      <c r="AF85" s="328"/>
      <c r="AG85" s="328"/>
      <c r="AH85" s="328"/>
      <c r="AI85" s="328"/>
      <c r="AJ85" s="328"/>
      <c r="AK85" s="328"/>
      <c r="AL85" s="328"/>
      <c r="AM85" s="328"/>
      <c r="AN85" s="328"/>
      <c r="AO85" s="328"/>
      <c r="AP85" s="328"/>
      <c r="AQ85" s="328"/>
      <c r="AR85" s="328"/>
      <c r="AS85" s="328"/>
    </row>
    <row r="86" spans="4:45" x14ac:dyDescent="0.2">
      <c r="AF86" s="328"/>
      <c r="AG86" s="328"/>
      <c r="AH86" s="328"/>
      <c r="AI86" s="328"/>
      <c r="AJ86" s="328"/>
      <c r="AK86" s="328"/>
      <c r="AL86" s="328"/>
      <c r="AM86" s="328"/>
      <c r="AN86" s="328"/>
      <c r="AO86" s="328"/>
      <c r="AP86" s="328"/>
      <c r="AQ86" s="328"/>
      <c r="AR86" s="328"/>
      <c r="AS86" s="328"/>
    </row>
    <row r="87" spans="4:45" x14ac:dyDescent="0.2">
      <c r="AF87" s="328"/>
      <c r="AG87" s="328"/>
      <c r="AH87" s="328"/>
      <c r="AI87" s="328"/>
      <c r="AJ87" s="328"/>
      <c r="AK87" s="328"/>
      <c r="AL87" s="328"/>
      <c r="AM87" s="328"/>
      <c r="AN87" s="328"/>
      <c r="AO87" s="328"/>
      <c r="AP87" s="328"/>
      <c r="AQ87" s="328"/>
      <c r="AR87" s="328"/>
      <c r="AS87" s="328"/>
    </row>
    <row r="88" spans="4:45" x14ac:dyDescent="0.2">
      <c r="AF88" s="328"/>
      <c r="AG88" s="328"/>
      <c r="AH88" s="328"/>
      <c r="AI88" s="328"/>
      <c r="AJ88" s="328"/>
      <c r="AK88" s="328"/>
      <c r="AL88" s="328"/>
      <c r="AM88" s="328"/>
      <c r="AN88" s="328"/>
      <c r="AO88" s="328"/>
      <c r="AP88" s="328"/>
      <c r="AQ88" s="328"/>
      <c r="AR88" s="328"/>
      <c r="AS88" s="328"/>
    </row>
    <row r="89" spans="4:45" x14ac:dyDescent="0.2">
      <c r="AF89" s="328"/>
      <c r="AG89" s="328"/>
      <c r="AH89" s="328"/>
      <c r="AI89" s="328"/>
      <c r="AJ89" s="328"/>
      <c r="AK89" s="328"/>
      <c r="AL89" s="328"/>
      <c r="AM89" s="328"/>
      <c r="AN89" s="328"/>
      <c r="AO89" s="328"/>
      <c r="AP89" s="328"/>
      <c r="AQ89" s="328"/>
      <c r="AR89" s="328"/>
      <c r="AS89" s="328"/>
    </row>
    <row r="90" spans="4:45" x14ac:dyDescent="0.2">
      <c r="AF90" s="328"/>
      <c r="AG90" s="328"/>
      <c r="AH90" s="328"/>
      <c r="AI90" s="328"/>
      <c r="AJ90" s="328"/>
      <c r="AK90" s="328"/>
      <c r="AL90" s="328"/>
      <c r="AM90" s="328"/>
      <c r="AN90" s="328"/>
      <c r="AO90" s="328"/>
      <c r="AP90" s="328"/>
      <c r="AQ90" s="328"/>
      <c r="AR90" s="328"/>
      <c r="AS90" s="328"/>
    </row>
    <row r="91" spans="4:45" x14ac:dyDescent="0.2">
      <c r="AF91" s="328"/>
      <c r="AG91" s="328"/>
      <c r="AH91" s="328"/>
      <c r="AI91" s="328"/>
      <c r="AJ91" s="328"/>
      <c r="AK91" s="328"/>
      <c r="AL91" s="328"/>
      <c r="AM91" s="328"/>
      <c r="AN91" s="328"/>
      <c r="AO91" s="328"/>
      <c r="AP91" s="328"/>
      <c r="AQ91" s="328"/>
      <c r="AR91" s="328"/>
      <c r="AS91" s="328"/>
    </row>
    <row r="92" spans="4:45" x14ac:dyDescent="0.2">
      <c r="AF92" s="328"/>
      <c r="AG92" s="328"/>
      <c r="AH92" s="328"/>
      <c r="AI92" s="328"/>
      <c r="AJ92" s="328"/>
      <c r="AK92" s="328"/>
      <c r="AL92" s="328"/>
      <c r="AM92" s="328"/>
      <c r="AN92" s="328"/>
      <c r="AO92" s="328"/>
      <c r="AP92" s="328"/>
      <c r="AQ92" s="328"/>
      <c r="AR92" s="328"/>
      <c r="AS92" s="328"/>
    </row>
    <row r="93" spans="4:45" x14ac:dyDescent="0.2">
      <c r="AF93" s="328"/>
      <c r="AG93" s="328"/>
      <c r="AH93" s="328"/>
      <c r="AI93" s="328"/>
      <c r="AJ93" s="328"/>
      <c r="AK93" s="328"/>
      <c r="AL93" s="328"/>
      <c r="AM93" s="328"/>
      <c r="AN93" s="328"/>
      <c r="AO93" s="328"/>
      <c r="AP93" s="328"/>
      <c r="AQ93" s="328"/>
      <c r="AR93" s="328"/>
      <c r="AS93" s="328"/>
    </row>
    <row r="94" spans="4:45" x14ac:dyDescent="0.2">
      <c r="AF94" s="328"/>
      <c r="AG94" s="328"/>
      <c r="AH94" s="328"/>
      <c r="AI94" s="328"/>
      <c r="AJ94" s="328"/>
      <c r="AK94" s="328"/>
      <c r="AL94" s="328"/>
      <c r="AM94" s="328"/>
      <c r="AN94" s="328"/>
      <c r="AO94" s="328"/>
      <c r="AP94" s="328"/>
      <c r="AQ94" s="328"/>
      <c r="AR94" s="328"/>
      <c r="AS94" s="328"/>
    </row>
    <row r="95" spans="4:45" x14ac:dyDescent="0.2">
      <c r="AF95" s="328"/>
      <c r="AG95" s="328"/>
      <c r="AH95" s="328"/>
      <c r="AI95" s="328"/>
      <c r="AJ95" s="328"/>
      <c r="AK95" s="328"/>
      <c r="AL95" s="328"/>
      <c r="AM95" s="328"/>
      <c r="AN95" s="328"/>
      <c r="AO95" s="328"/>
      <c r="AP95" s="328"/>
      <c r="AQ95" s="328"/>
      <c r="AR95" s="328"/>
      <c r="AS95" s="328"/>
    </row>
    <row r="96" spans="4:45" x14ac:dyDescent="0.2">
      <c r="AF96" s="328"/>
      <c r="AG96" s="328"/>
      <c r="AH96" s="328"/>
      <c r="AI96" s="328"/>
      <c r="AJ96" s="328"/>
      <c r="AK96" s="328"/>
      <c r="AL96" s="328"/>
      <c r="AM96" s="328"/>
      <c r="AN96" s="328"/>
      <c r="AO96" s="328"/>
      <c r="AP96" s="328"/>
      <c r="AQ96" s="328"/>
      <c r="AR96" s="328"/>
      <c r="AS96" s="328"/>
    </row>
    <row r="97" spans="32:45" x14ac:dyDescent="0.2">
      <c r="AF97" s="328"/>
      <c r="AG97" s="328"/>
      <c r="AH97" s="328"/>
      <c r="AI97" s="328"/>
      <c r="AJ97" s="328"/>
      <c r="AK97" s="328"/>
      <c r="AL97" s="328"/>
      <c r="AM97" s="328"/>
      <c r="AN97" s="328"/>
      <c r="AO97" s="328"/>
      <c r="AP97" s="328"/>
      <c r="AQ97" s="328"/>
      <c r="AR97" s="328"/>
      <c r="AS97" s="328"/>
    </row>
    <row r="98" spans="32:45" x14ac:dyDescent="0.2">
      <c r="AF98" s="328"/>
      <c r="AG98" s="328"/>
      <c r="AH98" s="328"/>
      <c r="AI98" s="328"/>
      <c r="AJ98" s="328"/>
      <c r="AK98" s="328"/>
      <c r="AL98" s="328"/>
      <c r="AM98" s="328"/>
      <c r="AN98" s="328"/>
      <c r="AO98" s="328"/>
      <c r="AP98" s="328"/>
      <c r="AQ98" s="328"/>
      <c r="AR98" s="328"/>
      <c r="AS98" s="328"/>
    </row>
    <row r="99" spans="32:45" x14ac:dyDescent="0.2">
      <c r="AF99" s="328"/>
      <c r="AG99" s="328"/>
      <c r="AH99" s="328"/>
      <c r="AI99" s="328"/>
      <c r="AJ99" s="328"/>
      <c r="AK99" s="328"/>
      <c r="AL99" s="328"/>
      <c r="AM99" s="328"/>
      <c r="AN99" s="328"/>
      <c r="AO99" s="328"/>
      <c r="AP99" s="328"/>
      <c r="AQ99" s="328"/>
      <c r="AR99" s="328"/>
      <c r="AS99" s="328"/>
    </row>
    <row r="100" spans="32:45" x14ac:dyDescent="0.2">
      <c r="AF100" s="328"/>
      <c r="AG100" s="328"/>
      <c r="AH100" s="328"/>
      <c r="AI100" s="328"/>
      <c r="AJ100" s="328"/>
      <c r="AK100" s="328"/>
      <c r="AL100" s="328"/>
      <c r="AM100" s="328"/>
      <c r="AN100" s="328"/>
      <c r="AO100" s="328"/>
      <c r="AP100" s="328"/>
      <c r="AQ100" s="328"/>
      <c r="AR100" s="328"/>
      <c r="AS100" s="328"/>
    </row>
    <row r="101" spans="32:45" x14ac:dyDescent="0.2">
      <c r="AF101" s="328"/>
      <c r="AG101" s="328"/>
      <c r="AH101" s="328"/>
      <c r="AI101" s="328"/>
      <c r="AJ101" s="328"/>
      <c r="AK101" s="328"/>
      <c r="AL101" s="328"/>
      <c r="AM101" s="328"/>
      <c r="AN101" s="328"/>
      <c r="AO101" s="328"/>
      <c r="AP101" s="328"/>
      <c r="AQ101" s="328"/>
      <c r="AR101" s="328"/>
      <c r="AS101" s="328"/>
    </row>
    <row r="102" spans="32:45" x14ac:dyDescent="0.2">
      <c r="AF102" s="328"/>
      <c r="AG102" s="328"/>
      <c r="AH102" s="328"/>
      <c r="AI102" s="328"/>
      <c r="AJ102" s="328"/>
      <c r="AK102" s="328"/>
      <c r="AL102" s="328"/>
      <c r="AM102" s="328"/>
      <c r="AN102" s="328"/>
      <c r="AO102" s="328"/>
      <c r="AP102" s="328"/>
      <c r="AQ102" s="328"/>
      <c r="AR102" s="328"/>
      <c r="AS102" s="328"/>
    </row>
    <row r="103" spans="32:45" x14ac:dyDescent="0.2">
      <c r="AF103" s="328"/>
      <c r="AG103" s="328"/>
      <c r="AH103" s="328"/>
      <c r="AI103" s="328"/>
      <c r="AJ103" s="328"/>
      <c r="AK103" s="328"/>
      <c r="AL103" s="328"/>
      <c r="AM103" s="328"/>
      <c r="AN103" s="328"/>
      <c r="AO103" s="328"/>
      <c r="AP103" s="328"/>
      <c r="AQ103" s="328"/>
      <c r="AR103" s="328"/>
      <c r="AS103" s="328"/>
    </row>
    <row r="104" spans="32:45" x14ac:dyDescent="0.2">
      <c r="AF104" s="328"/>
      <c r="AG104" s="328"/>
      <c r="AH104" s="328"/>
      <c r="AI104" s="328"/>
      <c r="AJ104" s="328"/>
      <c r="AK104" s="328"/>
      <c r="AL104" s="328"/>
      <c r="AM104" s="328"/>
      <c r="AN104" s="328"/>
      <c r="AO104" s="328"/>
      <c r="AP104" s="328"/>
      <c r="AQ104" s="328"/>
      <c r="AR104" s="328"/>
      <c r="AS104" s="328"/>
    </row>
    <row r="105" spans="32:45" x14ac:dyDescent="0.2">
      <c r="AF105" s="328"/>
      <c r="AG105" s="328"/>
      <c r="AH105" s="328"/>
      <c r="AI105" s="328"/>
      <c r="AJ105" s="328"/>
      <c r="AK105" s="328"/>
      <c r="AL105" s="328"/>
      <c r="AM105" s="328"/>
      <c r="AN105" s="328"/>
      <c r="AO105" s="328"/>
      <c r="AP105" s="328"/>
      <c r="AQ105" s="328"/>
      <c r="AR105" s="328"/>
      <c r="AS105" s="32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E10" sqref="E10"/>
    </sheetView>
    <sheetView topLeftCell="A30" workbookViewId="1">
      <selection activeCell="C37" sqref="C37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40390</v>
      </c>
      <c r="C4" s="11">
        <v>23187</v>
      </c>
      <c r="D4" s="11"/>
      <c r="E4" s="11">
        <v>16764</v>
      </c>
      <c r="F4" s="11"/>
      <c r="G4" s="11"/>
      <c r="H4" s="11">
        <f>+G4-F4+D4-E4+B4-C4</f>
        <v>439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24435</v>
      </c>
      <c r="C5" s="11">
        <v>3436</v>
      </c>
      <c r="D5" s="11"/>
      <c r="E5" s="11">
        <v>10000</v>
      </c>
      <c r="F5" s="11"/>
      <c r="G5" s="11"/>
      <c r="H5" s="11">
        <f t="shared" ref="H5:H34" si="0">+G5-F5+D5-E5+B5-C5</f>
        <v>10999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/>
      <c r="C6" s="11">
        <v>-10190</v>
      </c>
      <c r="D6" s="11"/>
      <c r="E6" s="11">
        <v>10000</v>
      </c>
      <c r="F6" s="11"/>
      <c r="G6" s="11"/>
      <c r="H6" s="11">
        <f t="shared" si="0"/>
        <v>190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/>
      <c r="C7" s="11">
        <v>-10190</v>
      </c>
      <c r="D7" s="11"/>
      <c r="E7" s="11">
        <v>10000</v>
      </c>
      <c r="F7" s="11"/>
      <c r="G7" s="11"/>
      <c r="H7" s="11">
        <f t="shared" si="0"/>
        <v>190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43</v>
      </c>
      <c r="C8" s="11">
        <v>-10190</v>
      </c>
      <c r="D8" s="11">
        <v>1</v>
      </c>
      <c r="E8" s="11">
        <v>10000</v>
      </c>
      <c r="F8" s="11"/>
      <c r="G8" s="11"/>
      <c r="H8" s="11">
        <f t="shared" si="0"/>
        <v>234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63503</v>
      </c>
      <c r="C9" s="11">
        <v>38533</v>
      </c>
      <c r="D9" s="11"/>
      <c r="E9" s="11">
        <v>24703</v>
      </c>
      <c r="F9" s="11"/>
      <c r="G9" s="11"/>
      <c r="H9" s="11">
        <f t="shared" si="0"/>
        <v>267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203</v>
      </c>
      <c r="C10" s="11">
        <v>4810</v>
      </c>
      <c r="D10" s="11"/>
      <c r="E10" s="11">
        <v>10000</v>
      </c>
      <c r="F10" s="11"/>
      <c r="G10" s="11"/>
      <c r="H10" s="11">
        <f t="shared" si="0"/>
        <v>-14607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/>
      <c r="C11" s="11"/>
      <c r="D11" s="11"/>
      <c r="E11" s="11"/>
      <c r="F11" s="11"/>
      <c r="G11" s="11"/>
      <c r="H11" s="11">
        <f t="shared" si="0"/>
        <v>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128574</v>
      </c>
      <c r="C35" s="44">
        <f t="shared" si="1"/>
        <v>39396</v>
      </c>
      <c r="D35" s="11">
        <f t="shared" si="1"/>
        <v>1</v>
      </c>
      <c r="E35" s="44">
        <f t="shared" si="1"/>
        <v>91467</v>
      </c>
      <c r="F35" s="11">
        <f t="shared" si="1"/>
        <v>0</v>
      </c>
      <c r="G35" s="11">
        <f t="shared" si="1"/>
        <v>0</v>
      </c>
      <c r="H35" s="11">
        <f t="shared" si="1"/>
        <v>-2288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5.94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-13590.720000000001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8">
        <v>36922</v>
      </c>
      <c r="F38" s="47"/>
      <c r="G38" s="48"/>
      <c r="H38" s="391">
        <v>125225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36929</v>
      </c>
      <c r="F39" s="47"/>
      <c r="G39" s="47"/>
      <c r="H39" s="137">
        <f>+H38+H37</f>
        <v>111634.28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26" workbookViewId="1">
      <selection activeCell="A37" sqref="A37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44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37</v>
      </c>
      <c r="D3" s="59" t="s">
        <v>45</v>
      </c>
      <c r="E3" s="4"/>
      <c r="F3" s="59" t="s">
        <v>46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39</v>
      </c>
      <c r="AB3" s="121"/>
      <c r="AC3" s="24"/>
      <c r="AD3" s="24"/>
      <c r="AE3" s="24"/>
      <c r="AF3" s="32"/>
      <c r="AG3" s="122" t="s">
        <v>40</v>
      </c>
      <c r="AH3" s="121"/>
      <c r="AM3" s="2" t="s">
        <v>41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47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273456</v>
      </c>
      <c r="E5" s="11">
        <v>273364</v>
      </c>
      <c r="F5" s="11"/>
      <c r="G5" s="11"/>
      <c r="H5" s="24">
        <f>+G5-F5+D5-E5+C5-B5</f>
        <v>92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37</v>
      </c>
      <c r="AB5" s="24"/>
      <c r="AC5" s="24"/>
      <c r="AD5" s="58" t="s">
        <v>38</v>
      </c>
      <c r="AE5" s="58"/>
      <c r="AF5" s="4"/>
      <c r="AG5" s="2" t="s">
        <v>37</v>
      </c>
      <c r="AJ5" s="4" t="s">
        <v>38</v>
      </c>
      <c r="AK5" s="4"/>
      <c r="AL5" s="4"/>
      <c r="AM5" s="2" t="s">
        <v>37</v>
      </c>
      <c r="AO5" s="4" t="s">
        <v>38</v>
      </c>
      <c r="AP5" s="4"/>
    </row>
    <row r="6" spans="1:47" x14ac:dyDescent="0.2">
      <c r="A6" s="10">
        <v>2</v>
      </c>
      <c r="B6" s="11"/>
      <c r="C6" s="11"/>
      <c r="D6" s="11">
        <v>296822</v>
      </c>
      <c r="E6" s="11">
        <v>294142</v>
      </c>
      <c r="F6" s="11"/>
      <c r="G6" s="11"/>
      <c r="H6" s="24">
        <f t="shared" ref="H6:H35" si="0">+G6-F6+D6-E6+C6-B6</f>
        <v>2680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42</v>
      </c>
      <c r="AA6" s="40" t="s">
        <v>13</v>
      </c>
      <c r="AB6" s="40" t="s">
        <v>14</v>
      </c>
      <c r="AC6" s="40" t="s">
        <v>43</v>
      </c>
      <c r="AD6" s="40" t="s">
        <v>13</v>
      </c>
      <c r="AE6" s="40" t="s">
        <v>14</v>
      </c>
      <c r="AF6" s="6" t="s">
        <v>43</v>
      </c>
      <c r="AG6" s="6" t="s">
        <v>13</v>
      </c>
      <c r="AH6" s="40" t="s">
        <v>14</v>
      </c>
      <c r="AI6" s="6" t="s">
        <v>43</v>
      </c>
      <c r="AJ6" s="6" t="s">
        <v>13</v>
      </c>
      <c r="AK6" s="6" t="s">
        <v>14</v>
      </c>
      <c r="AL6" s="6" t="s">
        <v>43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322506</v>
      </c>
      <c r="E7" s="129">
        <v>319491</v>
      </c>
      <c r="F7" s="11"/>
      <c r="G7" s="11"/>
      <c r="H7" s="24">
        <f t="shared" si="0"/>
        <v>3015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314696</v>
      </c>
      <c r="E8" s="129">
        <v>318133</v>
      </c>
      <c r="F8" s="11"/>
      <c r="G8" s="11"/>
      <c r="H8" s="24">
        <f t="shared" si="0"/>
        <v>-3437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335643</v>
      </c>
      <c r="E9" s="11">
        <v>338444</v>
      </c>
      <c r="F9" s="11"/>
      <c r="G9" s="11"/>
      <c r="H9" s="24">
        <f t="shared" si="0"/>
        <v>-2801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310056</v>
      </c>
      <c r="E10" s="11">
        <v>306203</v>
      </c>
      <c r="F10" s="11"/>
      <c r="G10" s="11"/>
      <c r="H10" s="24">
        <f t="shared" si="0"/>
        <v>3853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261844</v>
      </c>
      <c r="E11" s="11">
        <v>262590</v>
      </c>
      <c r="F11" s="11"/>
      <c r="G11" s="11"/>
      <c r="H11" s="24">
        <f t="shared" si="0"/>
        <v>-746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2115023</v>
      </c>
      <c r="E36" s="11">
        <f t="shared" si="15"/>
        <v>2112367</v>
      </c>
      <c r="F36" s="11">
        <f t="shared" si="15"/>
        <v>0</v>
      </c>
      <c r="G36" s="11">
        <f t="shared" si="15"/>
        <v>0</v>
      </c>
      <c r="H36" s="11">
        <f t="shared" si="15"/>
        <v>2656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36922</v>
      </c>
      <c r="B37" s="2" t="s">
        <v>48</v>
      </c>
      <c r="C37" s="392">
        <v>-7121</v>
      </c>
      <c r="D37" s="353"/>
      <c r="E37" s="393">
        <v>161203</v>
      </c>
      <c r="F37" s="24"/>
      <c r="G37" s="24"/>
      <c r="H37" s="24">
        <f>+E37+C37</f>
        <v>154082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36929</v>
      </c>
      <c r="B38" s="2" t="s">
        <v>48</v>
      </c>
      <c r="C38" s="131">
        <f>+C37+C36-B36</f>
        <v>-7121</v>
      </c>
      <c r="D38" s="262"/>
      <c r="E38" s="131">
        <f>+E37+D36-E36</f>
        <v>163859</v>
      </c>
      <c r="F38" s="262"/>
      <c r="G38" s="131"/>
      <c r="H38" s="131">
        <f>+H37+H36</f>
        <v>156738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2"/>
      <c r="E39" s="252"/>
      <c r="F39" s="256"/>
      <c r="G39" s="252"/>
      <c r="H39" s="263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62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83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8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9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9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9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9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9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9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C38" sqref="C38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49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47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109647</v>
      </c>
      <c r="C6" s="11">
        <v>107420</v>
      </c>
      <c r="D6" s="25">
        <f>+C6-B6</f>
        <v>-2227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92682</v>
      </c>
      <c r="C7" s="11">
        <v>92009</v>
      </c>
      <c r="D7" s="25">
        <f>+C7-B7</f>
        <v>-673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119934</v>
      </c>
      <c r="C8" s="11">
        <v>117811</v>
      </c>
      <c r="D8" s="25">
        <f t="shared" ref="D8:D36" si="0">+C8-B8</f>
        <v>-2123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118073</v>
      </c>
      <c r="C9" s="11">
        <v>120448</v>
      </c>
      <c r="D9" s="25">
        <f t="shared" si="0"/>
        <v>2375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125154</v>
      </c>
      <c r="C10" s="11">
        <v>123014</v>
      </c>
      <c r="D10" s="25">
        <f t="shared" si="0"/>
        <v>-2140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148315</v>
      </c>
      <c r="C11" s="11">
        <v>149289</v>
      </c>
      <c r="D11" s="25">
        <f t="shared" si="0"/>
        <v>974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121730</v>
      </c>
      <c r="C12" s="11">
        <v>120413</v>
      </c>
      <c r="D12" s="25">
        <f t="shared" si="0"/>
        <v>-1317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835535</v>
      </c>
      <c r="C37" s="11">
        <f>SUM(C6:C36)</f>
        <v>830404</v>
      </c>
      <c r="D37" s="11">
        <f>SUM(D6:D36)</f>
        <v>-5131</v>
      </c>
      <c r="E37" s="10"/>
      <c r="F37" s="11"/>
      <c r="G37" s="11"/>
      <c r="H37" s="129"/>
      <c r="I37" s="273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2"/>
      <c r="I38" s="274"/>
      <c r="J38" s="252"/>
      <c r="K38" s="275"/>
      <c r="L38" s="252"/>
      <c r="M38" s="26"/>
      <c r="O38" s="14"/>
    </row>
    <row r="39" spans="1:16" x14ac:dyDescent="0.2">
      <c r="A39" s="57">
        <v>36922</v>
      </c>
      <c r="C39" s="15"/>
      <c r="D39" s="51">
        <v>-32211</v>
      </c>
      <c r="E39" s="57"/>
      <c r="G39" s="15"/>
      <c r="H39" s="51"/>
      <c r="I39" s="276"/>
      <c r="J39" s="252"/>
      <c r="K39" s="277"/>
      <c r="L39" s="51"/>
      <c r="M39" s="57"/>
      <c r="O39" s="15"/>
      <c r="P39" s="24"/>
    </row>
    <row r="40" spans="1:16" x14ac:dyDescent="0.2">
      <c r="A40" s="57">
        <v>36929</v>
      </c>
      <c r="C40" s="48"/>
      <c r="D40" s="25">
        <f>+D39+D37</f>
        <v>-37342</v>
      </c>
      <c r="E40" s="57"/>
      <c r="G40" s="48"/>
      <c r="H40" s="131"/>
      <c r="I40" s="276"/>
      <c r="J40" s="252"/>
      <c r="K40" s="278"/>
      <c r="L40" s="131"/>
      <c r="M40" s="57"/>
      <c r="O40" s="48"/>
      <c r="P40" s="130"/>
    </row>
    <row r="41" spans="1:16" x14ac:dyDescent="0.2">
      <c r="C41" s="47"/>
      <c r="H41" s="252"/>
      <c r="I41" s="252"/>
      <c r="J41" s="252"/>
      <c r="K41" s="252"/>
      <c r="L41" s="252"/>
    </row>
    <row r="42" spans="1:16" x14ac:dyDescent="0.2">
      <c r="A42" s="57"/>
      <c r="C42" s="50"/>
      <c r="D42" s="25"/>
      <c r="H42" s="252"/>
      <c r="I42" s="252"/>
      <c r="J42" s="252"/>
      <c r="K42" s="252"/>
      <c r="L42" s="252"/>
    </row>
    <row r="43" spans="1:16" x14ac:dyDescent="0.2">
      <c r="A43" s="57"/>
      <c r="C43" s="50"/>
      <c r="H43" s="252"/>
      <c r="I43" s="252"/>
      <c r="J43" s="252"/>
      <c r="K43" s="252"/>
      <c r="L43" s="252"/>
    </row>
    <row r="44" spans="1:16" x14ac:dyDescent="0.2">
      <c r="H44" s="252"/>
      <c r="I44" s="252"/>
      <c r="J44" s="252"/>
      <c r="K44" s="252"/>
      <c r="L44" s="2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workbookViewId="0">
      <selection activeCell="D43" sqref="D43"/>
    </sheetView>
    <sheetView topLeftCell="A26" workbookViewId="1">
      <selection activeCell="C40" sqref="C40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4" width="13.42578125" style="34" customWidth="1"/>
    <col min="5" max="5" width="14" style="113" customWidth="1"/>
    <col min="6" max="6" width="11.7109375" style="113" customWidth="1"/>
    <col min="7" max="7" width="11.85546875" style="34" customWidth="1"/>
    <col min="8" max="8" width="10.28515625" style="34" customWidth="1"/>
    <col min="9" max="9" width="13.28515625" style="34" bestFit="1" customWidth="1"/>
    <col min="10" max="12" width="9.140625" style="34"/>
    <col min="13" max="13" width="10.140625" style="34" bestFit="1" customWidth="1"/>
    <col min="14" max="41" width="9.140625" style="34"/>
    <col min="42" max="42" width="11.7109375" style="34" bestFit="1" customWidth="1"/>
    <col min="43" max="45" width="9.140625" style="34"/>
    <col min="46" max="46" width="9.85546875" style="34" bestFit="1" customWidth="1"/>
    <col min="47" max="16384" width="9.140625" style="34"/>
  </cols>
  <sheetData>
    <row r="1" spans="1:46" x14ac:dyDescent="0.2">
      <c r="E1" s="34"/>
      <c r="G1" s="113"/>
    </row>
    <row r="2" spans="1:46" x14ac:dyDescent="0.2">
      <c r="A2" s="38" t="s">
        <v>52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">
      <c r="A5" s="12"/>
      <c r="B5" s="58"/>
      <c r="C5" s="58"/>
      <c r="D5" s="4" t="s">
        <v>53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53</v>
      </c>
      <c r="AD5" s="12"/>
      <c r="AE5" s="12"/>
      <c r="AF5" s="58"/>
      <c r="AG5" s="58" t="s">
        <v>53</v>
      </c>
      <c r="AH5" s="12"/>
      <c r="AI5" s="12"/>
      <c r="AJ5" s="58"/>
      <c r="AK5" s="58" t="s">
        <v>53</v>
      </c>
      <c r="AL5" s="12"/>
      <c r="AM5" s="12"/>
      <c r="AN5" s="58"/>
      <c r="AO5" s="58" t="s">
        <v>53</v>
      </c>
      <c r="AP5" s="12"/>
      <c r="AQ5" s="12"/>
      <c r="AR5" s="58"/>
      <c r="AS5" s="58" t="s">
        <v>53</v>
      </c>
      <c r="AT5" s="12"/>
    </row>
    <row r="6" spans="1:46" x14ac:dyDescent="0.2">
      <c r="B6" s="40" t="s">
        <v>21</v>
      </c>
      <c r="C6" s="40" t="s">
        <v>22</v>
      </c>
      <c r="D6" s="6" t="s">
        <v>16</v>
      </c>
      <c r="E6" s="39"/>
      <c r="F6" s="139"/>
      <c r="G6" s="286"/>
      <c r="H6" s="285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">
      <c r="B7" s="11"/>
      <c r="C7" s="11"/>
      <c r="D7" s="11"/>
      <c r="E7" s="143"/>
      <c r="F7" s="139"/>
      <c r="G7" s="279"/>
      <c r="H7" s="284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">
      <c r="A8" s="139">
        <v>1</v>
      </c>
      <c r="B8" s="11">
        <v>156774</v>
      </c>
      <c r="C8" s="11">
        <v>160600</v>
      </c>
      <c r="D8" s="11">
        <f t="shared" ref="D8:D38" si="0">+C8-B8</f>
        <v>3826</v>
      </c>
      <c r="E8" s="143"/>
      <c r="F8" s="139"/>
      <c r="G8" s="279"/>
      <c r="H8" s="284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">
      <c r="A9" s="139">
        <v>2</v>
      </c>
      <c r="B9" s="11">
        <v>154916</v>
      </c>
      <c r="C9" s="11">
        <v>156720</v>
      </c>
      <c r="D9" s="11">
        <f t="shared" si="0"/>
        <v>1804</v>
      </c>
      <c r="E9" s="143"/>
      <c r="F9" s="139"/>
      <c r="G9" s="279"/>
      <c r="H9" s="284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">
      <c r="A10" s="139">
        <v>3</v>
      </c>
      <c r="B10" s="11">
        <v>159631</v>
      </c>
      <c r="C10" s="11">
        <v>160280</v>
      </c>
      <c r="D10" s="11">
        <f t="shared" si="0"/>
        <v>649</v>
      </c>
      <c r="E10" s="143"/>
      <c r="F10" s="139"/>
      <c r="G10" s="279"/>
      <c r="H10" s="284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">
      <c r="A11" s="139">
        <v>4</v>
      </c>
      <c r="B11" s="11">
        <v>161368</v>
      </c>
      <c r="C11" s="11">
        <v>158753</v>
      </c>
      <c r="D11" s="11">
        <f t="shared" si="0"/>
        <v>-2615</v>
      </c>
      <c r="E11" s="143"/>
      <c r="F11" s="139"/>
      <c r="G11" s="287"/>
      <c r="H11" s="284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">
      <c r="A12" s="139">
        <v>5</v>
      </c>
      <c r="B12" s="11">
        <v>160123</v>
      </c>
      <c r="C12" s="11">
        <v>161062</v>
      </c>
      <c r="D12" s="11">
        <f t="shared" si="0"/>
        <v>939</v>
      </c>
      <c r="E12" s="143"/>
      <c r="F12" s="139"/>
      <c r="G12" s="284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">
      <c r="A13" s="139">
        <v>6</v>
      </c>
      <c r="B13" s="11">
        <v>159236</v>
      </c>
      <c r="C13" s="11">
        <v>160095</v>
      </c>
      <c r="D13" s="11">
        <f t="shared" si="0"/>
        <v>859</v>
      </c>
      <c r="E13" s="143"/>
      <c r="F13" s="139"/>
      <c r="G13" s="284"/>
      <c r="H13" s="284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">
      <c r="A14" s="139">
        <v>7</v>
      </c>
      <c r="B14" s="11">
        <v>159481</v>
      </c>
      <c r="C14" s="11">
        <v>161127</v>
      </c>
      <c r="D14" s="11">
        <f t="shared" si="0"/>
        <v>1646</v>
      </c>
      <c r="E14" s="143"/>
      <c r="F14" s="139"/>
      <c r="G14" s="284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">
      <c r="A15" s="139">
        <v>8</v>
      </c>
      <c r="B15" s="11"/>
      <c r="C15" s="11"/>
      <c r="D15" s="11">
        <f t="shared" si="0"/>
        <v>0</v>
      </c>
      <c r="E15" s="143"/>
      <c r="F15" s="139"/>
      <c r="G15" s="284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">
      <c r="A16" s="139">
        <v>9</v>
      </c>
      <c r="B16" s="11"/>
      <c r="C16" s="11"/>
      <c r="D16" s="11">
        <f t="shared" si="0"/>
        <v>0</v>
      </c>
      <c r="E16" s="143"/>
      <c r="F16" s="139"/>
      <c r="G16" s="284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">
      <c r="A17" s="139">
        <v>10</v>
      </c>
      <c r="B17" s="11"/>
      <c r="C17" s="11"/>
      <c r="D17" s="11">
        <f t="shared" si="0"/>
        <v>0</v>
      </c>
      <c r="E17" s="143"/>
      <c r="F17" s="139"/>
      <c r="G17" s="284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">
      <c r="A18" s="139">
        <v>11</v>
      </c>
      <c r="B18" s="11"/>
      <c r="C18" s="11"/>
      <c r="D18" s="11">
        <f t="shared" si="0"/>
        <v>0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">
      <c r="A19" s="139">
        <v>12</v>
      </c>
      <c r="B19" s="11"/>
      <c r="C19" s="11"/>
      <c r="D19" s="11">
        <f t="shared" si="0"/>
        <v>0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">
      <c r="A20" s="139">
        <v>13</v>
      </c>
      <c r="B20" s="11"/>
      <c r="C20" s="11"/>
      <c r="D20" s="11">
        <f t="shared" si="0"/>
        <v>0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">
      <c r="A21" s="139">
        <v>14</v>
      </c>
      <c r="B21" s="11"/>
      <c r="C21" s="11"/>
      <c r="D21" s="11">
        <f t="shared" si="0"/>
        <v>0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">
      <c r="A22" s="139">
        <v>15</v>
      </c>
      <c r="B22" s="11"/>
      <c r="C22" s="11"/>
      <c r="D22" s="11">
        <f t="shared" si="0"/>
        <v>0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">
      <c r="A23" s="145">
        <v>16</v>
      </c>
      <c r="B23" s="11"/>
      <c r="C23" s="11"/>
      <c r="D23" s="11">
        <f t="shared" si="0"/>
        <v>0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">
      <c r="A24" s="146">
        <v>17</v>
      </c>
      <c r="B24" s="11"/>
      <c r="C24" s="11"/>
      <c r="D24" s="11">
        <f t="shared" si="0"/>
        <v>0</v>
      </c>
      <c r="E24" s="282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">
      <c r="A25" s="147" t="s">
        <v>54</v>
      </c>
      <c r="B25" s="11"/>
      <c r="C25" s="11"/>
      <c r="D25" s="11">
        <f t="shared" si="0"/>
        <v>0</v>
      </c>
      <c r="E25" s="343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54</v>
      </c>
      <c r="AF25" s="11">
        <v>90438</v>
      </c>
      <c r="AG25" s="11">
        <v>89668</v>
      </c>
      <c r="AH25" s="11">
        <f t="shared" si="2"/>
        <v>-770</v>
      </c>
      <c r="AI25" s="147" t="s">
        <v>54</v>
      </c>
      <c r="AJ25" s="11">
        <v>119514</v>
      </c>
      <c r="AK25" s="11">
        <v>120375</v>
      </c>
      <c r="AL25" s="11">
        <f t="shared" si="3"/>
        <v>861</v>
      </c>
      <c r="AM25" s="147" t="s">
        <v>54</v>
      </c>
      <c r="AN25" s="11">
        <v>175778</v>
      </c>
      <c r="AO25" s="11">
        <v>172040</v>
      </c>
      <c r="AP25" s="11">
        <f t="shared" si="4"/>
        <v>-3738</v>
      </c>
      <c r="AQ25" s="147" t="s">
        <v>54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">
      <c r="A26" s="145">
        <v>19</v>
      </c>
      <c r="B26" s="11"/>
      <c r="C26" s="11"/>
      <c r="D26" s="11">
        <f t="shared" si="0"/>
        <v>0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">
      <c r="A39" s="149"/>
      <c r="B39" s="150">
        <f>SUM(B8:B38)</f>
        <v>1111529</v>
      </c>
      <c r="C39" s="150">
        <f>SUM(C8:C38)</f>
        <v>1118637</v>
      </c>
      <c r="D39" s="152">
        <f>SUM(D8:D38)</f>
        <v>7108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">
      <c r="A40" s="144"/>
      <c r="B40" s="142"/>
      <c r="C40" s="142"/>
      <c r="D40" s="151">
        <f>+summary!P10</f>
        <v>5.82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">
      <c r="A41" s="144"/>
      <c r="B41" s="151"/>
      <c r="C41" s="153"/>
      <c r="D41" s="253">
        <f>+D40*D39</f>
        <v>41368.560000000005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">
      <c r="A42" s="113"/>
      <c r="B42" s="156">
        <v>36922</v>
      </c>
      <c r="C42" s="153"/>
      <c r="D42" s="394">
        <v>264906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">
      <c r="A43" s="113"/>
      <c r="B43" s="156">
        <v>36929</v>
      </c>
      <c r="C43" s="142"/>
      <c r="D43" s="253">
        <f>+D42+D41</f>
        <v>306274.56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55</v>
      </c>
      <c r="AC45" s="142"/>
      <c r="AD45" s="152">
        <f>+AD42+AD39</f>
        <v>89870</v>
      </c>
      <c r="AE45" s="144"/>
      <c r="AF45" s="153" t="s">
        <v>56</v>
      </c>
      <c r="AG45" s="142"/>
      <c r="AH45" s="152">
        <f>+AH42+AH39</f>
        <v>144671</v>
      </c>
      <c r="AI45" s="144"/>
      <c r="AJ45" s="153" t="s">
        <v>57</v>
      </c>
      <c r="AK45" s="142"/>
      <c r="AL45" s="159">
        <f>+AL42+AL39</f>
        <v>218762</v>
      </c>
      <c r="AM45" s="144"/>
      <c r="AN45" s="153" t="s">
        <v>58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">
      <c r="A46" s="145"/>
      <c r="B46" s="157"/>
      <c r="C46" s="154"/>
      <c r="D46" s="361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5" thickBot="1" x14ac:dyDescent="0.25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5" thickTop="1" x14ac:dyDescent="0.2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">
      <c r="A79" s="161" t="s">
        <v>25</v>
      </c>
      <c r="B79" s="157"/>
      <c r="C79" s="154"/>
      <c r="D79" s="142"/>
      <c r="E79" s="144"/>
      <c r="F79" s="144"/>
    </row>
    <row r="80" spans="1:21" x14ac:dyDescent="0.2">
      <c r="A80" s="161" t="s">
        <v>59</v>
      </c>
      <c r="B80" s="157"/>
      <c r="C80" s="154"/>
      <c r="D80" s="142"/>
      <c r="E80" s="144"/>
      <c r="F80" s="144"/>
    </row>
    <row r="81" spans="1:9" x14ac:dyDescent="0.2">
      <c r="A81" s="161" t="s">
        <v>60</v>
      </c>
      <c r="B81" s="157"/>
      <c r="C81" s="154"/>
      <c r="D81" s="142"/>
      <c r="E81" s="144"/>
    </row>
    <row r="84" spans="1:9" x14ac:dyDescent="0.2">
      <c r="A84" s="146"/>
      <c r="B84" s="166" t="s">
        <v>15</v>
      </c>
      <c r="C84" s="166" t="s">
        <v>61</v>
      </c>
      <c r="D84" s="146"/>
      <c r="F84" s="146"/>
      <c r="G84" s="166" t="s">
        <v>15</v>
      </c>
      <c r="H84" s="166" t="s">
        <v>61</v>
      </c>
      <c r="I84" s="146"/>
    </row>
    <row r="85" spans="1:9" x14ac:dyDescent="0.2">
      <c r="A85" s="146"/>
      <c r="B85" s="116" t="s">
        <v>53</v>
      </c>
      <c r="C85" s="116" t="s">
        <v>17</v>
      </c>
      <c r="D85" s="167" t="s">
        <v>29</v>
      </c>
      <c r="F85" s="146"/>
      <c r="G85" s="116" t="s">
        <v>53</v>
      </c>
      <c r="H85" s="116" t="s">
        <v>17</v>
      </c>
      <c r="I85" s="167" t="s">
        <v>29</v>
      </c>
    </row>
    <row r="86" spans="1:9" x14ac:dyDescent="0.2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">
      <c r="A100" s="168" t="s">
        <v>62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">
      <c r="A101" s="146" t="s">
        <v>63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">
      <c r="A102" s="146" t="s">
        <v>64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">
      <c r="A103" s="115" t="s">
        <v>65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">
      <c r="A105" s="168" t="s">
        <v>66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5" thickBot="1" x14ac:dyDescent="0.25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5" thickTop="1" x14ac:dyDescent="0.2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">
      <c r="F114" s="112"/>
      <c r="G114" s="346">
        <f>SUM(G86:G113)</f>
        <v>518833</v>
      </c>
      <c r="I114" s="189">
        <f>SUM(I86:I113)</f>
        <v>1056306.4799999997</v>
      </c>
    </row>
    <row r="115" spans="1:9" x14ac:dyDescent="0.2">
      <c r="F115" s="112"/>
    </row>
    <row r="116" spans="1:9" x14ac:dyDescent="0.2">
      <c r="F116" s="112"/>
    </row>
    <row r="117" spans="1:9" x14ac:dyDescent="0.2">
      <c r="F117" s="112"/>
    </row>
    <row r="118" spans="1:9" x14ac:dyDescent="0.2">
      <c r="A118" s="161" t="s">
        <v>25</v>
      </c>
      <c r="B118" s="157"/>
      <c r="C118" s="154"/>
      <c r="D118" s="142"/>
      <c r="E118" s="144"/>
      <c r="F118" s="112"/>
    </row>
    <row r="119" spans="1:9" x14ac:dyDescent="0.2">
      <c r="A119" s="161" t="s">
        <v>59</v>
      </c>
      <c r="B119" s="157"/>
      <c r="C119" s="154"/>
      <c r="D119" s="142"/>
      <c r="E119" s="144"/>
      <c r="F119" s="112"/>
    </row>
    <row r="120" spans="1:9" x14ac:dyDescent="0.2">
      <c r="A120" s="161" t="s">
        <v>60</v>
      </c>
      <c r="B120" s="157"/>
      <c r="C120" s="154"/>
      <c r="D120" s="142"/>
      <c r="E120" s="144"/>
      <c r="F120" s="112"/>
    </row>
    <row r="121" spans="1:9" x14ac:dyDescent="0.2">
      <c r="F121" s="112"/>
    </row>
    <row r="122" spans="1:9" x14ac:dyDescent="0.2">
      <c r="F122" s="112"/>
    </row>
    <row r="123" spans="1:9" x14ac:dyDescent="0.2">
      <c r="F123" s="112"/>
    </row>
    <row r="124" spans="1:9" x14ac:dyDescent="0.2">
      <c r="A124" s="145"/>
      <c r="B124" s="154" t="s">
        <v>15</v>
      </c>
      <c r="C124" s="154" t="s">
        <v>61</v>
      </c>
      <c r="D124" s="145"/>
      <c r="E124" s="144"/>
      <c r="F124" s="112"/>
    </row>
    <row r="125" spans="1:9" x14ac:dyDescent="0.2">
      <c r="A125" s="145"/>
      <c r="B125" s="181" t="s">
        <v>53</v>
      </c>
      <c r="C125" s="181" t="s">
        <v>17</v>
      </c>
      <c r="D125" s="182" t="s">
        <v>29</v>
      </c>
      <c r="E125" s="144"/>
      <c r="F125" s="112"/>
    </row>
    <row r="126" spans="1:9" x14ac:dyDescent="0.2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5" thickBot="1" x14ac:dyDescent="0.25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5" thickTop="1" x14ac:dyDescent="0.2">
      <c r="A134" s="145"/>
      <c r="B134" s="157"/>
      <c r="C134" s="154"/>
      <c r="D134" s="142"/>
      <c r="E134" s="144"/>
    </row>
    <row r="135" spans="1:7" x14ac:dyDescent="0.2">
      <c r="A135" s="145"/>
      <c r="B135" s="157">
        <v>110000</v>
      </c>
      <c r="C135" s="154"/>
      <c r="D135" s="142"/>
      <c r="E135" s="144"/>
    </row>
    <row r="136" spans="1:7" x14ac:dyDescent="0.2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">
      <c r="A137" s="145"/>
      <c r="B137" s="157"/>
      <c r="C137" s="154"/>
      <c r="D137" s="183"/>
      <c r="E137" s="144"/>
    </row>
    <row r="138" spans="1:7" x14ac:dyDescent="0.2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">
      <c r="B166" s="119">
        <f>SUM(B138:B165)</f>
        <v>311369</v>
      </c>
      <c r="C166" s="140">
        <f>SUM(C138:C165)</f>
        <v>388480.12000000011</v>
      </c>
      <c r="D166" s="34" t="s">
        <v>67</v>
      </c>
    </row>
    <row r="167" spans="1:5" x14ac:dyDescent="0.2">
      <c r="B167" s="187">
        <v>-300000</v>
      </c>
      <c r="C167" s="181">
        <v>-450000</v>
      </c>
      <c r="D167" s="34" t="s">
        <v>68</v>
      </c>
    </row>
    <row r="168" spans="1:5" x14ac:dyDescent="0.2">
      <c r="B168" s="119">
        <f>+B167+B166</f>
        <v>11369</v>
      </c>
      <c r="C168" s="140">
        <f>+C167+C166</f>
        <v>-61519.879999999888</v>
      </c>
      <c r="D168" s="34" t="s">
        <v>69</v>
      </c>
    </row>
    <row r="169" spans="1:5" x14ac:dyDescent="0.2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">
      <c r="B174" s="119">
        <f>SUM(B168:B173)</f>
        <v>165547</v>
      </c>
      <c r="C174" s="140">
        <f>SUM(C168:C173)</f>
        <v>211345.15000000011</v>
      </c>
    </row>
    <row r="175" spans="1:5" x14ac:dyDescent="0.2">
      <c r="A175" s="139" t="s">
        <v>70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">
      <c r="A178" s="139" t="s">
        <v>71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72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">
      <c r="E306" s="34"/>
      <c r="F306" s="34"/>
    </row>
    <row r="307" spans="5:6" x14ac:dyDescent="0.2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22</vt:i4>
      </vt:variant>
    </vt:vector>
  </HeadingPairs>
  <TitlesOfParts>
    <vt:vector size="49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GPM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EOG!Print_Area</vt:lpstr>
      <vt:lpstr>GPM!Print_Area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2001-02-06T00:44:35Z</cp:lastPrinted>
  <dcterms:created xsi:type="dcterms:W3CDTF">2000-03-28T16:52:23Z</dcterms:created>
  <dcterms:modified xsi:type="dcterms:W3CDTF">2023-09-16T17:42:27Z</dcterms:modified>
</cp:coreProperties>
</file>