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1BCBE6-BF05-44CE-BFA8-B0F499318F7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ontracts" sheetId="2" r:id="rId1"/>
    <sheet name="Sort" sheetId="5" r:id="rId2"/>
    <sheet name="NPV @ Rate&amp;Term" sheetId="3" r:id="rId3"/>
    <sheet name="NPV " sheetId="4" r:id="rId4"/>
  </sheets>
  <definedNames>
    <definedName name="_xlnm.Print_Area" localSheetId="3">'NPV '!$A$1:$AS$35</definedName>
    <definedName name="_xlnm.Print_Area" localSheetId="2">'NPV @ Rate&amp;Term'!$A$1:$AS$35</definedName>
    <definedName name="_xlnm.Print_Titles" localSheetId="3">'NPV '!$A:$A</definedName>
    <definedName name="_xlnm.Print_Titles" localSheetId="2">'NPV @ Rate&amp;Term'!$A:$A</definedName>
  </definedNames>
  <calcPr calcId="0" fullCalcOnLoad="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O1" i="4"/>
  <c r="P1" i="4"/>
  <c r="Q1" i="4"/>
  <c r="R1" i="4"/>
  <c r="S1" i="4"/>
  <c r="O2" i="4"/>
  <c r="P2" i="4"/>
  <c r="Q2" i="4"/>
  <c r="R2" i="4"/>
  <c r="S2" i="4"/>
  <c r="O3" i="4"/>
  <c r="P3" i="4"/>
  <c r="Q3" i="4"/>
  <c r="R3" i="4"/>
  <c r="S3" i="4"/>
  <c r="O4" i="4"/>
  <c r="P4" i="4"/>
  <c r="Q4" i="4"/>
  <c r="R4" i="4"/>
  <c r="S4" i="4"/>
  <c r="T4" i="4"/>
  <c r="U4" i="4"/>
  <c r="V4" i="4"/>
  <c r="W4" i="4"/>
  <c r="X4" i="4"/>
  <c r="Y4" i="4"/>
  <c r="Z4" i="4"/>
  <c r="AA4" i="4"/>
  <c r="O5" i="4"/>
  <c r="O6" i="4"/>
  <c r="P6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B10" i="4"/>
  <c r="C10" i="4"/>
  <c r="D10" i="4"/>
  <c r="E10" i="4"/>
  <c r="H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B11" i="4"/>
  <c r="C11" i="4"/>
  <c r="D11" i="4"/>
  <c r="E11" i="4"/>
  <c r="H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B12" i="4"/>
  <c r="C12" i="4"/>
  <c r="D12" i="4"/>
  <c r="E12" i="4"/>
  <c r="G12" i="4"/>
  <c r="H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B13" i="4"/>
  <c r="C13" i="4"/>
  <c r="D13" i="4"/>
  <c r="E13" i="4"/>
  <c r="G13" i="4"/>
  <c r="H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B14" i="4"/>
  <c r="C14" i="4"/>
  <c r="D14" i="4"/>
  <c r="E14" i="4"/>
  <c r="G14" i="4"/>
  <c r="H14" i="4"/>
  <c r="O14" i="4"/>
  <c r="P14" i="4"/>
  <c r="Q14" i="4"/>
  <c r="R14" i="4"/>
  <c r="S14" i="4"/>
  <c r="B15" i="4"/>
  <c r="C15" i="4"/>
  <c r="D15" i="4"/>
  <c r="E15" i="4"/>
  <c r="G15" i="4"/>
  <c r="H15" i="4"/>
  <c r="O15" i="4"/>
  <c r="P15" i="4"/>
  <c r="Q15" i="4"/>
  <c r="R15" i="4"/>
  <c r="S15" i="4"/>
  <c r="B16" i="4"/>
  <c r="C16" i="4"/>
  <c r="D16" i="4"/>
  <c r="E16" i="4"/>
  <c r="G16" i="4"/>
  <c r="H16" i="4"/>
  <c r="O16" i="4"/>
  <c r="P16" i="4"/>
  <c r="B17" i="4"/>
  <c r="C17" i="4"/>
  <c r="D17" i="4"/>
  <c r="E17" i="4"/>
  <c r="G17" i="4"/>
  <c r="H17" i="4"/>
  <c r="O17" i="4"/>
  <c r="B18" i="4"/>
  <c r="C18" i="4"/>
  <c r="D18" i="4"/>
  <c r="E18" i="4"/>
  <c r="H18" i="4"/>
  <c r="O18" i="4"/>
  <c r="P18" i="4"/>
  <c r="B19" i="4"/>
  <c r="C19" i="4"/>
  <c r="D19" i="4"/>
  <c r="E19" i="4"/>
  <c r="G19" i="4"/>
  <c r="H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B20" i="4"/>
  <c r="C20" i="4"/>
  <c r="D20" i="4"/>
  <c r="E20" i="4"/>
  <c r="H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B21" i="4"/>
  <c r="C21" i="4"/>
  <c r="D21" i="4"/>
  <c r="E21" i="4"/>
  <c r="G21" i="4"/>
  <c r="H21" i="4"/>
  <c r="O21" i="4"/>
  <c r="P21" i="4"/>
  <c r="B22" i="4"/>
  <c r="C22" i="4"/>
  <c r="D22" i="4"/>
  <c r="E22" i="4"/>
  <c r="G22" i="4"/>
  <c r="H22" i="4"/>
  <c r="O22" i="4"/>
  <c r="P22" i="4"/>
  <c r="B23" i="4"/>
  <c r="C23" i="4"/>
  <c r="D23" i="4"/>
  <c r="E23" i="4"/>
  <c r="G23" i="4"/>
  <c r="H23" i="4"/>
  <c r="O23" i="4"/>
  <c r="P23" i="4"/>
  <c r="B24" i="4"/>
  <c r="C24" i="4"/>
  <c r="D24" i="4"/>
  <c r="E24" i="4"/>
  <c r="G24" i="4"/>
  <c r="H24" i="4"/>
  <c r="O24" i="4"/>
  <c r="P24" i="4"/>
  <c r="B25" i="4"/>
  <c r="C25" i="4"/>
  <c r="D25" i="4"/>
  <c r="E25" i="4"/>
  <c r="G25" i="4"/>
  <c r="H25" i="4"/>
  <c r="O25" i="4"/>
  <c r="P25" i="4"/>
  <c r="B26" i="4"/>
  <c r="C26" i="4"/>
  <c r="D26" i="4"/>
  <c r="E26" i="4"/>
  <c r="G26" i="4"/>
  <c r="H26" i="4"/>
  <c r="O26" i="4"/>
  <c r="P26" i="4"/>
  <c r="B27" i="4"/>
  <c r="C27" i="4"/>
  <c r="D27" i="4"/>
  <c r="E27" i="4"/>
  <c r="G27" i="4"/>
  <c r="H27" i="4"/>
  <c r="O27" i="4"/>
  <c r="P27" i="4"/>
  <c r="Q27" i="4"/>
  <c r="R27" i="4"/>
  <c r="S27" i="4"/>
  <c r="B28" i="4"/>
  <c r="C28" i="4"/>
  <c r="D28" i="4"/>
  <c r="E28" i="4"/>
  <c r="G28" i="4"/>
  <c r="H28" i="4"/>
  <c r="O28" i="4"/>
  <c r="P28" i="4"/>
  <c r="Q28" i="4"/>
  <c r="R28" i="4"/>
  <c r="S28" i="4"/>
  <c r="B29" i="4"/>
  <c r="C29" i="4"/>
  <c r="D29" i="4"/>
  <c r="E29" i="4"/>
  <c r="G29" i="4"/>
  <c r="H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B30" i="4"/>
  <c r="C30" i="4"/>
  <c r="D30" i="4"/>
  <c r="E30" i="4"/>
  <c r="G30" i="4"/>
  <c r="H30" i="4"/>
  <c r="O30" i="4"/>
  <c r="B31" i="4"/>
  <c r="C31" i="4"/>
  <c r="D31" i="4"/>
  <c r="E31" i="4"/>
  <c r="G31" i="4"/>
  <c r="H31" i="4"/>
  <c r="O31" i="4"/>
  <c r="B32" i="4"/>
  <c r="C32" i="4"/>
  <c r="D32" i="4"/>
  <c r="E32" i="4"/>
  <c r="G32" i="4"/>
  <c r="H32" i="4"/>
  <c r="O32" i="4"/>
  <c r="P32" i="4"/>
  <c r="Q32" i="4"/>
  <c r="R32" i="4"/>
  <c r="S32" i="4"/>
  <c r="B33" i="4"/>
  <c r="C33" i="4"/>
  <c r="D33" i="4"/>
  <c r="E33" i="4"/>
  <c r="G33" i="4"/>
  <c r="H33" i="4"/>
  <c r="O33" i="4"/>
  <c r="P33" i="4"/>
  <c r="Q33" i="4"/>
  <c r="R33" i="4"/>
  <c r="S33" i="4"/>
  <c r="B35" i="4"/>
  <c r="E35" i="4"/>
  <c r="H35" i="4"/>
  <c r="I35" i="4"/>
  <c r="O1" i="3"/>
  <c r="P1" i="3"/>
  <c r="Q1" i="3"/>
  <c r="R1" i="3"/>
  <c r="S1" i="3"/>
  <c r="O2" i="3"/>
  <c r="P2" i="3"/>
  <c r="Q2" i="3"/>
  <c r="R2" i="3"/>
  <c r="S2" i="3"/>
  <c r="O3" i="3"/>
  <c r="P3" i="3"/>
  <c r="Q3" i="3"/>
  <c r="R3" i="3"/>
  <c r="S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O5" i="3"/>
  <c r="O6" i="3"/>
  <c r="P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C8" i="3"/>
  <c r="D8" i="3"/>
  <c r="C9" i="3"/>
  <c r="D9" i="3"/>
  <c r="B10" i="3"/>
  <c r="C10" i="3"/>
  <c r="D10" i="3"/>
  <c r="E10" i="3"/>
  <c r="H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B11" i="3"/>
  <c r="C11" i="3"/>
  <c r="D11" i="3"/>
  <c r="E11" i="3"/>
  <c r="H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B12" i="3"/>
  <c r="C12" i="3"/>
  <c r="D12" i="3"/>
  <c r="E12" i="3"/>
  <c r="G12" i="3"/>
  <c r="H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G13" i="3"/>
  <c r="H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G14" i="3"/>
  <c r="H14" i="3"/>
  <c r="O14" i="3"/>
  <c r="P14" i="3"/>
  <c r="Q14" i="3"/>
  <c r="R14" i="3"/>
  <c r="S14" i="3"/>
  <c r="B15" i="3"/>
  <c r="C15" i="3"/>
  <c r="D15" i="3"/>
  <c r="E15" i="3"/>
  <c r="G15" i="3"/>
  <c r="H15" i="3"/>
  <c r="O15" i="3"/>
  <c r="P15" i="3"/>
  <c r="Q15" i="3"/>
  <c r="R15" i="3"/>
  <c r="S15" i="3"/>
  <c r="B16" i="3"/>
  <c r="C16" i="3"/>
  <c r="D16" i="3"/>
  <c r="E16" i="3"/>
  <c r="G16" i="3"/>
  <c r="H16" i="3"/>
  <c r="O16" i="3"/>
  <c r="P16" i="3"/>
  <c r="B17" i="3"/>
  <c r="C17" i="3"/>
  <c r="D17" i="3"/>
  <c r="E17" i="3"/>
  <c r="G17" i="3"/>
  <c r="H17" i="3"/>
  <c r="O17" i="3"/>
  <c r="B18" i="3"/>
  <c r="C18" i="3"/>
  <c r="D18" i="3"/>
  <c r="E18" i="3"/>
  <c r="H18" i="3"/>
  <c r="O18" i="3"/>
  <c r="P18" i="3"/>
  <c r="B19" i="3"/>
  <c r="C19" i="3"/>
  <c r="D19" i="3"/>
  <c r="E19" i="3"/>
  <c r="G19" i="3"/>
  <c r="H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H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B21" i="3"/>
  <c r="C21" i="3"/>
  <c r="D21" i="3"/>
  <c r="E21" i="3"/>
  <c r="G21" i="3"/>
  <c r="H21" i="3"/>
  <c r="O21" i="3"/>
  <c r="P21" i="3"/>
  <c r="B22" i="3"/>
  <c r="C22" i="3"/>
  <c r="D22" i="3"/>
  <c r="E22" i="3"/>
  <c r="G22" i="3"/>
  <c r="H22" i="3"/>
  <c r="O22" i="3"/>
  <c r="P22" i="3"/>
  <c r="B23" i="3"/>
  <c r="C23" i="3"/>
  <c r="D23" i="3"/>
  <c r="E23" i="3"/>
  <c r="G23" i="3"/>
  <c r="H23" i="3"/>
  <c r="O23" i="3"/>
  <c r="P23" i="3"/>
  <c r="B24" i="3"/>
  <c r="C24" i="3"/>
  <c r="D24" i="3"/>
  <c r="E24" i="3"/>
  <c r="G24" i="3"/>
  <c r="H24" i="3"/>
  <c r="O24" i="3"/>
  <c r="P24" i="3"/>
  <c r="B25" i="3"/>
  <c r="C25" i="3"/>
  <c r="D25" i="3"/>
  <c r="E25" i="3"/>
  <c r="G25" i="3"/>
  <c r="H25" i="3"/>
  <c r="O25" i="3"/>
  <c r="P25" i="3"/>
  <c r="B26" i="3"/>
  <c r="C26" i="3"/>
  <c r="D26" i="3"/>
  <c r="E26" i="3"/>
  <c r="G26" i="3"/>
  <c r="H26" i="3"/>
  <c r="O26" i="3"/>
  <c r="P26" i="3"/>
  <c r="B27" i="3"/>
  <c r="C27" i="3"/>
  <c r="D27" i="3"/>
  <c r="E27" i="3"/>
  <c r="G27" i="3"/>
  <c r="H27" i="3"/>
  <c r="O27" i="3"/>
  <c r="P27" i="3"/>
  <c r="Q27" i="3"/>
  <c r="R27" i="3"/>
  <c r="S27" i="3"/>
  <c r="B28" i="3"/>
  <c r="C28" i="3"/>
  <c r="D28" i="3"/>
  <c r="E28" i="3"/>
  <c r="G28" i="3"/>
  <c r="H28" i="3"/>
  <c r="O28" i="3"/>
  <c r="P28" i="3"/>
  <c r="Q28" i="3"/>
  <c r="R28" i="3"/>
  <c r="S28" i="3"/>
  <c r="B29" i="3"/>
  <c r="C29" i="3"/>
  <c r="D29" i="3"/>
  <c r="E29" i="3"/>
  <c r="G29" i="3"/>
  <c r="H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G30" i="3"/>
  <c r="H30" i="3"/>
  <c r="O30" i="3"/>
  <c r="B31" i="3"/>
  <c r="C31" i="3"/>
  <c r="D31" i="3"/>
  <c r="E31" i="3"/>
  <c r="G31" i="3"/>
  <c r="H31" i="3"/>
  <c r="O31" i="3"/>
  <c r="B32" i="3"/>
  <c r="C32" i="3"/>
  <c r="D32" i="3"/>
  <c r="E32" i="3"/>
  <c r="G32" i="3"/>
  <c r="H32" i="3"/>
  <c r="O32" i="3"/>
  <c r="P32" i="3"/>
  <c r="Q32" i="3"/>
  <c r="R32" i="3"/>
  <c r="S32" i="3"/>
  <c r="B33" i="3"/>
  <c r="C33" i="3"/>
  <c r="D33" i="3"/>
  <c r="E33" i="3"/>
  <c r="G33" i="3"/>
  <c r="H33" i="3"/>
  <c r="O33" i="3"/>
  <c r="P33" i="3"/>
  <c r="Q33" i="3"/>
  <c r="R33" i="3"/>
  <c r="S33" i="3"/>
  <c r="B35" i="3"/>
  <c r="E35" i="3"/>
  <c r="H35" i="3"/>
  <c r="I35" i="3"/>
</calcChain>
</file>

<file path=xl/sharedStrings.xml><?xml version="1.0" encoding="utf-8"?>
<sst xmlns="http://schemas.openxmlformats.org/spreadsheetml/2006/main" count="245" uniqueCount="46">
  <si>
    <t>Discount Rate</t>
  </si>
  <si>
    <t>Shipper</t>
  </si>
  <si>
    <t>Gross Value</t>
  </si>
  <si>
    <t>Term (Yrs)</t>
  </si>
  <si>
    <t>Volume</t>
  </si>
  <si>
    <t>PPL</t>
  </si>
  <si>
    <t>30Yrs, 1 Month</t>
  </si>
  <si>
    <t>Western</t>
  </si>
  <si>
    <t>Dyergy</t>
  </si>
  <si>
    <t>Total</t>
  </si>
  <si>
    <t>Terms (Yrs)</t>
  </si>
  <si>
    <t>Term (months)</t>
  </si>
  <si>
    <t>Receipt</t>
  </si>
  <si>
    <t>Delivery</t>
  </si>
  <si>
    <t>EOT</t>
  </si>
  <si>
    <t>Citizens/Griffith</t>
  </si>
  <si>
    <t>SoCal Needles</t>
  </si>
  <si>
    <t>Aquila</t>
  </si>
  <si>
    <t>AEP</t>
  </si>
  <si>
    <t>PG&amp;E Topock</t>
  </si>
  <si>
    <t>Oneok</t>
  </si>
  <si>
    <t>Calpine</t>
  </si>
  <si>
    <t>US Gypsum</t>
  </si>
  <si>
    <t>Conoco</t>
  </si>
  <si>
    <t>Conoco Canada</t>
  </si>
  <si>
    <t>Conoco Lobo</t>
  </si>
  <si>
    <t>Conoco Raptor</t>
  </si>
  <si>
    <t>BP Energy</t>
  </si>
  <si>
    <t>Frito Lay</t>
  </si>
  <si>
    <t>Newark Group</t>
  </si>
  <si>
    <t>Term (Months)</t>
  </si>
  <si>
    <t>Annual Contracts</t>
  </si>
  <si>
    <t>1Yr, 10 Months</t>
  </si>
  <si>
    <t>12 Yrs, 3Months</t>
  </si>
  <si>
    <t>Term (Days)</t>
  </si>
  <si>
    <t>Rate -1Yr</t>
  </si>
  <si>
    <t>Rate -2Yr</t>
  </si>
  <si>
    <t>Rate -3Yr</t>
  </si>
  <si>
    <t>Rate -4Yr</t>
  </si>
  <si>
    <t>Rate -5Yr</t>
  </si>
  <si>
    <t>NPV @ 9.02%</t>
  </si>
  <si>
    <t>BP Energy #1</t>
  </si>
  <si>
    <t>BP Energy #2</t>
  </si>
  <si>
    <t>Hurdle Rate</t>
  </si>
  <si>
    <t>Actual Rate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</si>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</sst>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6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0" fontId="1" fillId="0" borderId="0" xfId="3" applyNumberFormat="1"/>
    <xf numFmtId="168" fontId="1" fillId="0" borderId="0" xfId="2" applyNumberFormat="1"/>
    <xf numFmtId="165" fontId="1" fillId="0" borderId="0" xfId="1" applyNumberFormat="1"/>
    <xf numFmtId="44" fontId="1" fillId="0" borderId="0" xfId="2"/>
    <xf numFmtId="0" fontId="0" fillId="0" borderId="1" xfId="0" applyBorder="1"/>
    <xf numFmtId="168" fontId="1" fillId="0" borderId="2" xfId="2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1" fontId="0" fillId="0" borderId="0" xfId="0" applyNumberFormat="1"/>
    <xf numFmtId="176" fontId="1" fillId="0" borderId="0" xfId="2" applyNumberFormat="1"/>
    <xf numFmtId="165" fontId="1" fillId="0" borderId="0" xfId="2" applyNumberFormat="1"/>
    <xf numFmtId="0" fontId="2" fillId="0" borderId="0" xfId="0" applyFont="1"/>
    <xf numFmtId="165" fontId="1" fillId="0" borderId="3" xfId="1" applyNumberFormat="1" applyBorder="1"/>
    <xf numFmtId="10" fontId="1" fillId="0" borderId="4" xfId="3" applyNumberFormat="1" applyBorder="1"/>
    <xf numFmtId="176" fontId="3" fillId="0" borderId="0" xfId="2" applyNumberFormat="1" applyFont="1"/>
    <xf numFmtId="176" fontId="1" fillId="0" borderId="5" xfId="2" applyNumberFormat="1" applyFont="1" applyBorder="1" applyAlignment="1">
      <alignment horizontal="center"/>
    </xf>
    <xf numFmtId="176" fontId="0" fillId="0" borderId="0" xfId="2" applyNumberFormat="1" applyFont="1"/>
    <xf numFmtId="9" fontId="1" fillId="0" borderId="4" xfId="3" applyBorder="1" applyAlignment="1">
      <alignment horizontal="center"/>
    </xf>
    <xf numFmtId="10" fontId="1" fillId="0" borderId="6" xfId="3" applyNumberFormat="1" applyBorder="1"/>
    <xf numFmtId="10" fontId="1" fillId="0" borderId="7" xfId="3" applyNumberFormat="1" applyBorder="1" applyAlignment="1">
      <alignment horizontal="center"/>
    </xf>
    <xf numFmtId="10" fontId="1" fillId="0" borderId="8" xfId="3" applyNumberFormat="1" applyBorder="1" applyAlignment="1">
      <alignment horizontal="center"/>
    </xf>
    <xf numFmtId="168" fontId="0" fillId="0" borderId="0" xfId="2" applyNumberFormat="1" applyFont="1"/>
    <xf numFmtId="0" fontId="0" fillId="0" borderId="3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5" sqref="B5:F29"/>
    </sheetView>
  </sheetViews>
  <sheetFormatPr defaultRowHeight="12.75" x14ac:dyDescent="0.2"/>
  <cols>
    <col min="1" max="1" width="15.140625" customWidth="1"/>
    <col min="2" max="2" width="8.85546875" style="4" bestFit="1" customWidth="1"/>
    <col min="3" max="6" width="8.85546875" style="4" customWidth="1"/>
    <col min="7" max="7" width="14.7109375" bestFit="1" customWidth="1"/>
    <col min="8" max="8" width="13" bestFit="1" customWidth="1"/>
    <col min="9" max="9" width="7.28515625" bestFit="1" customWidth="1"/>
    <col min="10" max="10" width="13.5703125" bestFit="1" customWidth="1"/>
    <col min="11" max="11" width="10.28515625" style="3" bestFit="1" customWidth="1"/>
    <col min="12" max="12" width="14.85546875" style="2" bestFit="1" customWidth="1"/>
    <col min="13" max="13" width="7.5703125" bestFit="1" customWidth="1"/>
  </cols>
  <sheetData>
    <row r="1" spans="1:11" ht="15.75" x14ac:dyDescent="0.25">
      <c r="A1" s="14"/>
    </row>
    <row r="2" spans="1:11" ht="15.75" x14ac:dyDescent="0.25">
      <c r="A2" s="14"/>
    </row>
    <row r="3" spans="1:11" ht="15.75" x14ac:dyDescent="0.25">
      <c r="A3" s="14"/>
    </row>
    <row r="4" spans="1:11" ht="13.5" thickBot="1" x14ac:dyDescent="0.25"/>
    <row r="5" spans="1:11" ht="13.5" thickBot="1" x14ac:dyDescent="0.25">
      <c r="A5" s="5" t="s">
        <v>1</v>
      </c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  <c r="G5" s="7" t="s">
        <v>10</v>
      </c>
      <c r="H5" s="7" t="s">
        <v>11</v>
      </c>
      <c r="I5" s="7" t="s">
        <v>12</v>
      </c>
      <c r="J5" s="7" t="s">
        <v>13</v>
      </c>
      <c r="K5" s="15" t="s">
        <v>4</v>
      </c>
    </row>
    <row r="6" spans="1:11" x14ac:dyDescent="0.2">
      <c r="A6" t="s">
        <v>5</v>
      </c>
      <c r="B6" s="4">
        <v>0.35</v>
      </c>
      <c r="G6" t="s">
        <v>6</v>
      </c>
      <c r="H6">
        <v>361</v>
      </c>
      <c r="I6" t="s">
        <v>14</v>
      </c>
      <c r="J6" t="s">
        <v>15</v>
      </c>
      <c r="K6" s="3">
        <v>8000</v>
      </c>
    </row>
    <row r="7" spans="1:11" x14ac:dyDescent="0.2">
      <c r="A7" t="s">
        <v>5</v>
      </c>
      <c r="B7" s="4">
        <v>0.4</v>
      </c>
      <c r="G7" t="s">
        <v>6</v>
      </c>
      <c r="H7">
        <v>361</v>
      </c>
      <c r="I7" t="s">
        <v>14</v>
      </c>
      <c r="J7" t="s">
        <v>16</v>
      </c>
      <c r="K7" s="3">
        <v>12000</v>
      </c>
    </row>
    <row r="8" spans="1:11" x14ac:dyDescent="0.2">
      <c r="A8" t="s">
        <v>7</v>
      </c>
      <c r="B8" s="4">
        <v>0.38</v>
      </c>
      <c r="G8">
        <v>15</v>
      </c>
      <c r="H8">
        <f>+G8*12</f>
        <v>180</v>
      </c>
      <c r="I8" t="s">
        <v>14</v>
      </c>
      <c r="J8" t="s">
        <v>16</v>
      </c>
      <c r="K8" s="3">
        <v>5000</v>
      </c>
    </row>
    <row r="9" spans="1:11" x14ac:dyDescent="0.2">
      <c r="A9" t="s">
        <v>7</v>
      </c>
      <c r="B9" s="4">
        <v>0.39</v>
      </c>
      <c r="G9">
        <v>15</v>
      </c>
      <c r="H9">
        <f>+G9*12</f>
        <v>180</v>
      </c>
      <c r="I9" t="s">
        <v>14</v>
      </c>
      <c r="J9" t="s">
        <v>16</v>
      </c>
      <c r="K9" s="3">
        <v>5000</v>
      </c>
    </row>
    <row r="10" spans="1:11" x14ac:dyDescent="0.2">
      <c r="A10" t="s">
        <v>8</v>
      </c>
      <c r="B10" s="4">
        <v>0.55000000000000004</v>
      </c>
      <c r="G10">
        <v>5</v>
      </c>
      <c r="H10">
        <f>+G10*12</f>
        <v>60</v>
      </c>
      <c r="I10" t="s">
        <v>14</v>
      </c>
      <c r="J10" t="s">
        <v>16</v>
      </c>
      <c r="K10" s="3">
        <v>30000</v>
      </c>
    </row>
    <row r="11" spans="1:11" x14ac:dyDescent="0.2">
      <c r="A11" t="s">
        <v>17</v>
      </c>
      <c r="B11" s="4">
        <v>0.63</v>
      </c>
      <c r="G11">
        <v>5</v>
      </c>
      <c r="H11">
        <f t="shared" ref="H11:H29" si="0">+G11*12</f>
        <v>60</v>
      </c>
      <c r="I11" t="s">
        <v>14</v>
      </c>
      <c r="J11" t="s">
        <v>16</v>
      </c>
      <c r="K11" s="3">
        <v>50000</v>
      </c>
    </row>
    <row r="12" spans="1:11" x14ac:dyDescent="0.2">
      <c r="A12" t="s">
        <v>18</v>
      </c>
      <c r="B12" s="4">
        <v>0.63</v>
      </c>
      <c r="G12">
        <v>2</v>
      </c>
      <c r="H12">
        <f t="shared" si="0"/>
        <v>24</v>
      </c>
      <c r="I12" t="s">
        <v>14</v>
      </c>
      <c r="J12" t="s">
        <v>16</v>
      </c>
      <c r="K12" s="3">
        <v>20000</v>
      </c>
    </row>
    <row r="13" spans="1:11" x14ac:dyDescent="0.2">
      <c r="A13" t="s">
        <v>18</v>
      </c>
      <c r="B13" s="4">
        <v>0.63</v>
      </c>
      <c r="G13">
        <v>1</v>
      </c>
      <c r="H13">
        <f t="shared" si="0"/>
        <v>12</v>
      </c>
      <c r="I13" t="s">
        <v>14</v>
      </c>
      <c r="J13" t="s">
        <v>19</v>
      </c>
      <c r="K13" s="3">
        <v>10000</v>
      </c>
    </row>
    <row r="14" spans="1:11" x14ac:dyDescent="0.2">
      <c r="A14" t="s">
        <v>20</v>
      </c>
      <c r="B14" s="4">
        <v>1.75</v>
      </c>
      <c r="C14" s="4">
        <v>0.75</v>
      </c>
      <c r="G14" s="10" t="s">
        <v>32</v>
      </c>
      <c r="H14">
        <v>22</v>
      </c>
      <c r="I14" t="s">
        <v>14</v>
      </c>
      <c r="J14" t="s">
        <v>16</v>
      </c>
      <c r="K14" s="3">
        <v>50000</v>
      </c>
    </row>
    <row r="15" spans="1:11" x14ac:dyDescent="0.2">
      <c r="A15" t="s">
        <v>21</v>
      </c>
      <c r="B15" s="4">
        <v>0.38</v>
      </c>
      <c r="G15">
        <v>15</v>
      </c>
      <c r="H15">
        <f t="shared" si="0"/>
        <v>180</v>
      </c>
      <c r="I15" t="s">
        <v>14</v>
      </c>
      <c r="J15" t="s">
        <v>19</v>
      </c>
      <c r="K15" s="3">
        <v>40000</v>
      </c>
    </row>
    <row r="16" spans="1:11" x14ac:dyDescent="0.2">
      <c r="A16" t="s">
        <v>22</v>
      </c>
      <c r="B16" s="4">
        <v>0.42</v>
      </c>
      <c r="G16" t="s">
        <v>33</v>
      </c>
      <c r="H16">
        <v>147</v>
      </c>
      <c r="I16" t="s">
        <v>14</v>
      </c>
      <c r="J16" t="s">
        <v>16</v>
      </c>
      <c r="K16" s="3">
        <v>4500</v>
      </c>
    </row>
    <row r="17" spans="1:11" x14ac:dyDescent="0.2">
      <c r="A17" t="s">
        <v>23</v>
      </c>
      <c r="B17" s="4">
        <v>0.84</v>
      </c>
      <c r="G17">
        <v>2</v>
      </c>
      <c r="H17">
        <f t="shared" si="0"/>
        <v>24</v>
      </c>
      <c r="I17" t="s">
        <v>14</v>
      </c>
      <c r="J17" t="s">
        <v>16</v>
      </c>
      <c r="K17" s="3">
        <v>50000</v>
      </c>
    </row>
    <row r="18" spans="1:11" x14ac:dyDescent="0.2">
      <c r="A18" t="s">
        <v>24</v>
      </c>
      <c r="B18" s="4">
        <v>0.84</v>
      </c>
      <c r="G18">
        <v>2</v>
      </c>
      <c r="H18">
        <f t="shared" si="0"/>
        <v>24</v>
      </c>
      <c r="I18" t="s">
        <v>14</v>
      </c>
      <c r="J18" t="s">
        <v>16</v>
      </c>
      <c r="K18" s="3">
        <v>50000</v>
      </c>
    </row>
    <row r="19" spans="1:11" x14ac:dyDescent="0.2">
      <c r="A19" t="s">
        <v>25</v>
      </c>
      <c r="B19" s="4">
        <v>0.84</v>
      </c>
      <c r="G19">
        <v>2</v>
      </c>
      <c r="H19">
        <f t="shared" si="0"/>
        <v>24</v>
      </c>
      <c r="I19" t="s">
        <v>14</v>
      </c>
      <c r="J19" t="s">
        <v>16</v>
      </c>
      <c r="K19" s="3">
        <v>50000</v>
      </c>
    </row>
    <row r="20" spans="1:11" x14ac:dyDescent="0.2">
      <c r="A20" t="s">
        <v>25</v>
      </c>
      <c r="B20" s="4">
        <v>0.81</v>
      </c>
      <c r="G20">
        <v>2</v>
      </c>
      <c r="H20">
        <f t="shared" si="0"/>
        <v>24</v>
      </c>
      <c r="I20" t="s">
        <v>14</v>
      </c>
      <c r="J20" t="s">
        <v>16</v>
      </c>
      <c r="K20" s="3">
        <v>50000</v>
      </c>
    </row>
    <row r="21" spans="1:11" x14ac:dyDescent="0.2">
      <c r="A21" t="s">
        <v>26</v>
      </c>
      <c r="B21" s="4">
        <v>0.81</v>
      </c>
      <c r="G21">
        <v>2</v>
      </c>
      <c r="H21">
        <f t="shared" si="0"/>
        <v>24</v>
      </c>
      <c r="I21" t="s">
        <v>14</v>
      </c>
      <c r="J21" t="s">
        <v>16</v>
      </c>
      <c r="K21" s="3">
        <v>50000</v>
      </c>
    </row>
    <row r="22" spans="1:11" x14ac:dyDescent="0.2">
      <c r="A22" t="s">
        <v>26</v>
      </c>
      <c r="B22" s="4">
        <v>0.84</v>
      </c>
      <c r="G22">
        <v>2</v>
      </c>
      <c r="H22">
        <f t="shared" si="0"/>
        <v>24</v>
      </c>
      <c r="I22" t="s">
        <v>14</v>
      </c>
      <c r="J22" t="s">
        <v>16</v>
      </c>
      <c r="K22" s="3">
        <v>50000</v>
      </c>
    </row>
    <row r="23" spans="1:11" x14ac:dyDescent="0.2">
      <c r="A23" t="s">
        <v>27</v>
      </c>
      <c r="B23" s="4">
        <v>1.1200000000000001</v>
      </c>
      <c r="C23" s="4">
        <v>0.76</v>
      </c>
      <c r="D23" s="4">
        <v>0.43</v>
      </c>
      <c r="E23" s="4">
        <v>0.38</v>
      </c>
      <c r="F23" s="4">
        <v>0.38</v>
      </c>
      <c r="G23">
        <v>5</v>
      </c>
      <c r="H23">
        <f t="shared" si="0"/>
        <v>60</v>
      </c>
      <c r="I23" t="s">
        <v>14</v>
      </c>
      <c r="J23" t="s">
        <v>16</v>
      </c>
      <c r="K23" s="3">
        <v>15000</v>
      </c>
    </row>
    <row r="24" spans="1:11" x14ac:dyDescent="0.2">
      <c r="A24" t="s">
        <v>27</v>
      </c>
      <c r="B24" s="4">
        <v>1.7230000000000001</v>
      </c>
      <c r="C24" s="4">
        <v>0.36399999999999999</v>
      </c>
      <c r="D24" s="4">
        <v>0.20449999999999999</v>
      </c>
      <c r="E24" s="4">
        <v>0.2009</v>
      </c>
      <c r="F24" s="4">
        <v>0.20119999999999999</v>
      </c>
      <c r="G24">
        <v>5</v>
      </c>
      <c r="H24">
        <f t="shared" si="0"/>
        <v>60</v>
      </c>
      <c r="I24" t="s">
        <v>14</v>
      </c>
      <c r="J24" t="s">
        <v>16</v>
      </c>
      <c r="K24" s="3">
        <v>15000</v>
      </c>
    </row>
    <row r="25" spans="1:11" x14ac:dyDescent="0.2">
      <c r="A25" t="s">
        <v>28</v>
      </c>
      <c r="B25" s="4">
        <v>0.38</v>
      </c>
      <c r="G25">
        <v>15</v>
      </c>
      <c r="H25">
        <f t="shared" si="0"/>
        <v>180</v>
      </c>
      <c r="I25" t="s">
        <v>14</v>
      </c>
      <c r="J25" t="s">
        <v>16</v>
      </c>
      <c r="K25" s="3">
        <v>2700</v>
      </c>
    </row>
    <row r="26" spans="1:11" x14ac:dyDescent="0.2">
      <c r="A26" t="s">
        <v>28</v>
      </c>
      <c r="B26" s="4">
        <v>2.2000000000000002</v>
      </c>
      <c r="G26">
        <v>1</v>
      </c>
      <c r="H26">
        <f t="shared" si="0"/>
        <v>12</v>
      </c>
      <c r="I26" t="s">
        <v>14</v>
      </c>
      <c r="J26" t="s">
        <v>16</v>
      </c>
      <c r="K26" s="3">
        <v>3300</v>
      </c>
    </row>
    <row r="27" spans="1:11" x14ac:dyDescent="0.2">
      <c r="A27" t="s">
        <v>28</v>
      </c>
      <c r="B27" s="4">
        <v>2.2000000000000002</v>
      </c>
      <c r="G27">
        <v>1</v>
      </c>
      <c r="H27">
        <f t="shared" si="0"/>
        <v>12</v>
      </c>
      <c r="I27" t="s">
        <v>14</v>
      </c>
      <c r="J27" t="s">
        <v>16</v>
      </c>
      <c r="K27" s="3">
        <v>2000</v>
      </c>
    </row>
    <row r="28" spans="1:11" x14ac:dyDescent="0.2">
      <c r="A28" t="s">
        <v>29</v>
      </c>
      <c r="B28" s="4">
        <v>0.65</v>
      </c>
      <c r="G28">
        <v>5</v>
      </c>
      <c r="H28">
        <f t="shared" si="0"/>
        <v>60</v>
      </c>
      <c r="I28" t="s">
        <v>14</v>
      </c>
      <c r="J28" t="s">
        <v>16</v>
      </c>
      <c r="K28" s="3">
        <v>800</v>
      </c>
    </row>
    <row r="29" spans="1:11" x14ac:dyDescent="0.2">
      <c r="A29" t="s">
        <v>29</v>
      </c>
      <c r="B29" s="4">
        <v>0.15</v>
      </c>
      <c r="G29">
        <v>5</v>
      </c>
      <c r="H29">
        <f t="shared" si="0"/>
        <v>60</v>
      </c>
      <c r="I29" t="s">
        <v>14</v>
      </c>
      <c r="J29" t="s">
        <v>19</v>
      </c>
      <c r="K29" s="3">
        <v>1500</v>
      </c>
    </row>
  </sheetData>
  <pageMargins left="0.75" right="0.75" top="0.5" bottom="0.49" header="0.5" footer="0.5"/>
  <pageSetup orientation="landscape" horizontalDpi="300" verticalDpi="300" r:id="rId1"/>
  <headerFooter alignWithMargins="0">
    <oddHeader>&amp;CTranswestern Pipeline Company
Red Rock Expansion
Contracts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M7" sqref="M7"/>
    </sheetView>
  </sheetViews>
  <sheetFormatPr defaultRowHeight="12.75" x14ac:dyDescent="0.2"/>
  <cols>
    <col min="1" max="1" width="14.140625" bestFit="1" customWidth="1"/>
    <col min="2" max="2" width="13.140625" bestFit="1" customWidth="1"/>
    <col min="3" max="3" width="13.5703125" bestFit="1" customWidth="1"/>
  </cols>
  <sheetData>
    <row r="1" spans="1:9" ht="13.5" thickBot="1" x14ac:dyDescent="0.25">
      <c r="A1" s="5" t="s">
        <v>1</v>
      </c>
      <c r="B1" s="25" t="s">
        <v>40</v>
      </c>
      <c r="C1" s="7" t="s">
        <v>13</v>
      </c>
      <c r="D1" s="15" t="s">
        <v>4</v>
      </c>
      <c r="E1" s="7" t="s">
        <v>35</v>
      </c>
      <c r="F1" s="7" t="s">
        <v>36</v>
      </c>
      <c r="G1" s="7" t="s">
        <v>37</v>
      </c>
      <c r="H1" s="7" t="s">
        <v>38</v>
      </c>
      <c r="I1" s="7" t="s">
        <v>39</v>
      </c>
    </row>
    <row r="2" spans="1:9" x14ac:dyDescent="0.2">
      <c r="A2" t="s">
        <v>5</v>
      </c>
      <c r="B2" s="24">
        <v>1499.2018846512108</v>
      </c>
      <c r="C2" t="s">
        <v>16</v>
      </c>
      <c r="D2" s="3">
        <v>12000</v>
      </c>
      <c r="E2" s="4">
        <v>0.4</v>
      </c>
      <c r="F2" s="4"/>
      <c r="G2" s="4"/>
      <c r="H2" s="4"/>
      <c r="I2" s="4"/>
    </row>
    <row r="3" spans="1:9" x14ac:dyDescent="0.2">
      <c r="A3" t="s">
        <v>7</v>
      </c>
      <c r="B3" s="24">
        <v>1146.9267789994253</v>
      </c>
      <c r="C3" t="s">
        <v>16</v>
      </c>
      <c r="D3" s="3">
        <v>5000</v>
      </c>
      <c r="E3" s="4">
        <v>0.39</v>
      </c>
      <c r="F3" s="4"/>
      <c r="G3" s="4"/>
      <c r="H3" s="4"/>
      <c r="I3" s="4"/>
    </row>
    <row r="4" spans="1:9" x14ac:dyDescent="0.2">
      <c r="A4" t="s">
        <v>7</v>
      </c>
      <c r="B4" s="24">
        <v>1117.5184000507224</v>
      </c>
      <c r="C4" t="s">
        <v>16</v>
      </c>
      <c r="D4" s="3">
        <v>5000</v>
      </c>
      <c r="E4" s="4">
        <v>0.38</v>
      </c>
      <c r="F4" s="4"/>
      <c r="G4" s="4"/>
      <c r="H4" s="4"/>
      <c r="I4" s="4"/>
    </row>
    <row r="5" spans="1:9" x14ac:dyDescent="0.2">
      <c r="A5" t="s">
        <v>28</v>
      </c>
      <c r="B5" s="24">
        <v>1117.5184000507224</v>
      </c>
      <c r="C5" t="s">
        <v>16</v>
      </c>
      <c r="D5" s="3">
        <v>2700</v>
      </c>
      <c r="E5" s="4">
        <v>0.38</v>
      </c>
      <c r="F5" s="4"/>
      <c r="G5" s="4"/>
      <c r="H5" s="4"/>
      <c r="I5" s="4"/>
    </row>
    <row r="6" spans="1:9" x14ac:dyDescent="0.2">
      <c r="A6" t="s">
        <v>22</v>
      </c>
      <c r="B6" s="24">
        <v>1109.9881876972952</v>
      </c>
      <c r="C6" t="s">
        <v>16</v>
      </c>
      <c r="D6" s="3">
        <v>4500</v>
      </c>
      <c r="E6" s="4">
        <v>0.42</v>
      </c>
      <c r="F6" s="4"/>
      <c r="G6" s="4"/>
      <c r="H6" s="4"/>
      <c r="I6" s="4"/>
    </row>
    <row r="7" spans="1:9" x14ac:dyDescent="0.2">
      <c r="A7" t="s">
        <v>29</v>
      </c>
      <c r="B7" s="24">
        <v>922.88796874459911</v>
      </c>
      <c r="C7" t="s">
        <v>16</v>
      </c>
      <c r="D7" s="3">
        <v>800</v>
      </c>
      <c r="E7" s="4">
        <v>0.65</v>
      </c>
      <c r="F7" s="4"/>
      <c r="G7" s="4"/>
      <c r="H7" s="4"/>
      <c r="I7" s="4"/>
    </row>
    <row r="8" spans="1:9" x14ac:dyDescent="0.2">
      <c r="A8" t="s">
        <v>17</v>
      </c>
      <c r="B8" s="24">
        <v>894.49141586014969</v>
      </c>
      <c r="C8" t="s">
        <v>16</v>
      </c>
      <c r="D8" s="3">
        <v>50000</v>
      </c>
      <c r="E8" s="4">
        <v>0.63</v>
      </c>
      <c r="F8" s="4"/>
      <c r="G8" s="4"/>
      <c r="H8" s="4"/>
      <c r="I8" s="4"/>
    </row>
    <row r="9" spans="1:9" x14ac:dyDescent="0.2">
      <c r="A9" t="s">
        <v>27</v>
      </c>
      <c r="B9" s="24">
        <v>846.15441626940299</v>
      </c>
      <c r="C9" t="s">
        <v>16</v>
      </c>
      <c r="D9" s="3">
        <v>15000</v>
      </c>
      <c r="E9" s="4">
        <v>1.7230000000000001</v>
      </c>
      <c r="F9" s="4">
        <v>0.36399999999999999</v>
      </c>
      <c r="G9" s="4">
        <v>0.20449999999999999</v>
      </c>
      <c r="H9" s="4">
        <v>0.2009</v>
      </c>
      <c r="I9" s="4">
        <v>0.20119999999999999</v>
      </c>
    </row>
    <row r="10" spans="1:9" x14ac:dyDescent="0.2">
      <c r="A10" t="s">
        <v>27</v>
      </c>
      <c r="B10" s="24">
        <v>820.49734451507175</v>
      </c>
      <c r="C10" t="s">
        <v>16</v>
      </c>
      <c r="D10" s="3">
        <v>15000</v>
      </c>
      <c r="E10" s="4">
        <v>1.1200000000000001</v>
      </c>
      <c r="F10" s="4">
        <v>0.76</v>
      </c>
      <c r="G10" s="4">
        <v>0.43</v>
      </c>
      <c r="H10" s="4">
        <v>0.38</v>
      </c>
      <c r="I10" s="4">
        <v>0.38</v>
      </c>
    </row>
    <row r="11" spans="1:9" x14ac:dyDescent="0.2">
      <c r="A11" t="s">
        <v>8</v>
      </c>
      <c r="B11" s="24">
        <v>780.90520432235314</v>
      </c>
      <c r="C11" t="s">
        <v>16</v>
      </c>
      <c r="D11" s="3">
        <v>30000</v>
      </c>
      <c r="E11" s="4">
        <v>0.55000000000000004</v>
      </c>
      <c r="F11" s="4"/>
      <c r="G11" s="4"/>
      <c r="H11" s="4"/>
      <c r="I11" s="4"/>
    </row>
    <row r="12" spans="1:9" x14ac:dyDescent="0.2">
      <c r="A12" t="s">
        <v>28</v>
      </c>
      <c r="B12" s="24">
        <v>736.56209869748682</v>
      </c>
      <c r="C12" t="s">
        <v>16</v>
      </c>
      <c r="D12" s="3">
        <v>3300</v>
      </c>
      <c r="E12" s="4">
        <v>2.2000000000000002</v>
      </c>
      <c r="F12" s="4"/>
      <c r="G12" s="4"/>
      <c r="H12" s="4"/>
      <c r="I12" s="4"/>
    </row>
    <row r="13" spans="1:9" x14ac:dyDescent="0.2">
      <c r="A13" t="s">
        <v>28</v>
      </c>
      <c r="B13" s="24">
        <v>736.56209869748682</v>
      </c>
      <c r="C13" t="s">
        <v>16</v>
      </c>
      <c r="D13" s="3">
        <v>2000</v>
      </c>
      <c r="E13" s="4">
        <v>2.2000000000000002</v>
      </c>
      <c r="F13" s="4"/>
      <c r="G13" s="4"/>
      <c r="H13" s="4"/>
      <c r="I13" s="4"/>
    </row>
    <row r="14" spans="1:9" x14ac:dyDescent="0.2">
      <c r="A14" t="s">
        <v>20</v>
      </c>
      <c r="B14" s="24">
        <v>722.41229639111316</v>
      </c>
      <c r="C14" t="s">
        <v>16</v>
      </c>
      <c r="D14" s="3">
        <v>50000</v>
      </c>
      <c r="E14" s="4">
        <v>1.75</v>
      </c>
      <c r="F14" s="4">
        <v>0.75</v>
      </c>
      <c r="G14" s="4"/>
      <c r="H14" s="4"/>
      <c r="I14" s="4"/>
    </row>
    <row r="15" spans="1:9" x14ac:dyDescent="0.2">
      <c r="A15" t="s">
        <v>23</v>
      </c>
      <c r="B15" s="24">
        <v>539.90396454448273</v>
      </c>
      <c r="C15" t="s">
        <v>16</v>
      </c>
      <c r="D15" s="3">
        <v>50000</v>
      </c>
      <c r="E15" s="4">
        <v>0.84</v>
      </c>
      <c r="F15" s="4"/>
      <c r="G15" s="4"/>
      <c r="H15" s="4"/>
      <c r="I15" s="4"/>
    </row>
    <row r="16" spans="1:9" x14ac:dyDescent="0.2">
      <c r="A16" t="s">
        <v>24</v>
      </c>
      <c r="B16" s="24">
        <v>539.90396454448273</v>
      </c>
      <c r="C16" t="s">
        <v>16</v>
      </c>
      <c r="D16" s="3">
        <v>50000</v>
      </c>
      <c r="E16" s="4">
        <v>0.84</v>
      </c>
      <c r="F16" s="4"/>
      <c r="G16" s="4"/>
      <c r="H16" s="4"/>
      <c r="I16" s="4"/>
    </row>
    <row r="17" spans="1:9" x14ac:dyDescent="0.2">
      <c r="A17" t="s">
        <v>25</v>
      </c>
      <c r="B17" s="24">
        <v>539.90396454448273</v>
      </c>
      <c r="C17" t="s">
        <v>16</v>
      </c>
      <c r="D17" s="3">
        <v>50000</v>
      </c>
      <c r="E17" s="4">
        <v>0.84</v>
      </c>
      <c r="F17" s="4"/>
      <c r="G17" s="4"/>
      <c r="H17" s="4"/>
      <c r="I17" s="4"/>
    </row>
    <row r="18" spans="1:9" x14ac:dyDescent="0.2">
      <c r="A18" t="s">
        <v>26</v>
      </c>
      <c r="B18" s="24">
        <v>539.90396454448273</v>
      </c>
      <c r="C18" t="s">
        <v>16</v>
      </c>
      <c r="D18" s="3">
        <v>50000</v>
      </c>
      <c r="E18" s="4">
        <v>0.84</v>
      </c>
      <c r="F18" s="4"/>
      <c r="G18" s="4"/>
      <c r="H18" s="4"/>
      <c r="I18" s="4"/>
    </row>
    <row r="19" spans="1:9" x14ac:dyDescent="0.2">
      <c r="A19" t="s">
        <v>25</v>
      </c>
      <c r="B19" s="24">
        <v>520.62168009646564</v>
      </c>
      <c r="C19" t="s">
        <v>16</v>
      </c>
      <c r="D19" s="3">
        <v>50000</v>
      </c>
      <c r="E19" s="4">
        <v>0.81</v>
      </c>
      <c r="F19" s="4"/>
      <c r="G19" s="4"/>
      <c r="H19" s="4"/>
      <c r="I19" s="4"/>
    </row>
    <row r="20" spans="1:9" x14ac:dyDescent="0.2">
      <c r="A20" t="s">
        <v>26</v>
      </c>
      <c r="B20" s="24">
        <v>520.62168009646564</v>
      </c>
      <c r="C20" t="s">
        <v>16</v>
      </c>
      <c r="D20" s="3">
        <v>50000</v>
      </c>
      <c r="E20" s="4">
        <v>0.81</v>
      </c>
      <c r="F20" s="4"/>
      <c r="G20" s="4"/>
      <c r="H20" s="4"/>
      <c r="I20" s="4"/>
    </row>
    <row r="21" spans="1:9" x14ac:dyDescent="0.2">
      <c r="A21" t="s">
        <v>18</v>
      </c>
      <c r="B21" s="24">
        <v>404.92797340836205</v>
      </c>
      <c r="C21" t="s">
        <v>16</v>
      </c>
      <c r="D21" s="3">
        <v>20000</v>
      </c>
      <c r="E21" s="4">
        <v>0.63</v>
      </c>
      <c r="F21" s="4"/>
      <c r="G21" s="4"/>
      <c r="H21" s="4"/>
      <c r="I21" s="4"/>
    </row>
    <row r="22" spans="1:9" x14ac:dyDescent="0.2">
      <c r="A22" t="s">
        <v>21</v>
      </c>
      <c r="B22" s="24">
        <v>1117.5184000507224</v>
      </c>
      <c r="C22" t="s">
        <v>19</v>
      </c>
      <c r="D22" s="3">
        <v>40000</v>
      </c>
      <c r="E22" s="4">
        <v>0.38</v>
      </c>
      <c r="F22" s="4"/>
      <c r="G22" s="4"/>
      <c r="H22" s="4"/>
      <c r="I22" s="4"/>
    </row>
    <row r="23" spans="1:9" x14ac:dyDescent="0.2">
      <c r="A23" t="s">
        <v>29</v>
      </c>
      <c r="B23" s="24">
        <v>212.97414663336903</v>
      </c>
      <c r="C23" t="s">
        <v>19</v>
      </c>
      <c r="D23" s="3">
        <v>1500</v>
      </c>
      <c r="E23" s="4">
        <v>0.15</v>
      </c>
      <c r="F23" s="4"/>
      <c r="G23" s="4"/>
      <c r="H23" s="4"/>
      <c r="I23" s="4"/>
    </row>
    <row r="24" spans="1:9" x14ac:dyDescent="0.2">
      <c r="A24" t="s">
        <v>18</v>
      </c>
      <c r="B24" s="24">
        <v>210.92460099064391</v>
      </c>
      <c r="C24" t="s">
        <v>19</v>
      </c>
      <c r="D24" s="3">
        <v>10000</v>
      </c>
      <c r="E24" s="4">
        <v>0.63</v>
      </c>
      <c r="F24" s="4"/>
      <c r="G24" s="4"/>
      <c r="H24" s="4"/>
      <c r="I24" s="4"/>
    </row>
    <row r="25" spans="1:9" x14ac:dyDescent="0.2">
      <c r="A25" t="s">
        <v>5</v>
      </c>
      <c r="B25" s="24">
        <v>1311.8016490698092</v>
      </c>
      <c r="C25" t="s">
        <v>15</v>
      </c>
      <c r="D25" s="3">
        <v>8000</v>
      </c>
      <c r="E25" s="4">
        <v>0.35</v>
      </c>
      <c r="F25" s="4"/>
      <c r="G25" s="4"/>
      <c r="H25" s="4"/>
      <c r="I25" s="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topLeftCell="A7" workbookViewId="0">
      <selection activeCell="A9" sqref="A9:B33"/>
    </sheetView>
  </sheetViews>
  <sheetFormatPr defaultRowHeight="12.75" x14ac:dyDescent="0.2"/>
  <cols>
    <col min="1" max="1" width="19.85546875" customWidth="1"/>
    <col min="2" max="2" width="13.28515625" style="2" bestFit="1" customWidth="1"/>
    <col min="3" max="4" width="13.28515625" style="2" customWidth="1"/>
    <col min="5" max="5" width="13.28515625" style="2" bestFit="1" customWidth="1"/>
    <col min="6" max="6" width="14.7109375" bestFit="1" customWidth="1"/>
    <col min="7" max="7" width="13" bestFit="1" customWidth="1"/>
    <col min="8" max="8" width="11.140625" bestFit="1" customWidth="1"/>
    <col min="9" max="9" width="8.7109375" bestFit="1" customWidth="1"/>
    <col min="10" max="14" width="8.85546875" bestFit="1" customWidth="1"/>
    <col min="15" max="19" width="12.28515625" bestFit="1" customWidth="1"/>
    <col min="20" max="44" width="11.28515625" bestFit="1" customWidth="1"/>
    <col min="45" max="45" width="9.7109375" bestFit="1" customWidth="1"/>
  </cols>
  <sheetData>
    <row r="1" spans="1:45" x14ac:dyDescent="0.2">
      <c r="A1" t="s">
        <v>41</v>
      </c>
      <c r="O1">
        <f>"1/1/03"-"6/01/2002"</f>
        <v>214</v>
      </c>
      <c r="P1">
        <f>"1/1/04"-"6/01/2003"</f>
        <v>214</v>
      </c>
      <c r="Q1">
        <f>"1/1/05"-"6/01/2004"</f>
        <v>214</v>
      </c>
      <c r="R1">
        <f>"1/1/06"-"6/01/2005"</f>
        <v>214</v>
      </c>
      <c r="S1">
        <f>"1/1/07"-"6/01/2006"</f>
        <v>214</v>
      </c>
    </row>
    <row r="2" spans="1:45" x14ac:dyDescent="0.2">
      <c r="A2" t="s">
        <v>41</v>
      </c>
      <c r="O2">
        <f>"6/01/03"-"1/01/03"</f>
        <v>151</v>
      </c>
      <c r="P2">
        <f>"6/01/04"-"1/01/04"</f>
        <v>152</v>
      </c>
      <c r="Q2">
        <f>"6/01/05"-"1/01/05"</f>
        <v>151</v>
      </c>
      <c r="R2">
        <f>"6/01/06"-"1/01/06"</f>
        <v>151</v>
      </c>
      <c r="S2">
        <f>"6/01/07"-"1/01/07"</f>
        <v>151</v>
      </c>
    </row>
    <row r="3" spans="1:45" x14ac:dyDescent="0.2">
      <c r="A3" t="s">
        <v>42</v>
      </c>
      <c r="O3">
        <f>"6/1/03"-"6/1/02"</f>
        <v>365</v>
      </c>
      <c r="P3">
        <f>"12/31/04"-"12/31/03"</f>
        <v>366</v>
      </c>
      <c r="Q3">
        <f>"12/31/05"-"12/31/04"</f>
        <v>365</v>
      </c>
      <c r="R3">
        <f>"12/31/06"-"12/31/05"</f>
        <v>365</v>
      </c>
      <c r="S3">
        <f>"12/31/07"-"12/31/06"</f>
        <v>365</v>
      </c>
    </row>
    <row r="4" spans="1:45" x14ac:dyDescent="0.2">
      <c r="A4" t="s">
        <v>22</v>
      </c>
      <c r="O4">
        <f>"6/1/03"-"6/1/02"</f>
        <v>365</v>
      </c>
      <c r="P4">
        <f>"6/1/04"-"6/1/03"</f>
        <v>366</v>
      </c>
      <c r="Q4">
        <f>"6/1/05"-"6/1/04"</f>
        <v>365</v>
      </c>
      <c r="R4">
        <f>"6/1/06"-"6/1/05"</f>
        <v>365</v>
      </c>
      <c r="S4">
        <f>"6/1/07"-"6/1/06"</f>
        <v>365</v>
      </c>
      <c r="T4">
        <f>"6/1/08"-"6/1/07"</f>
        <v>366</v>
      </c>
      <c r="U4">
        <f>"6/1/09"-"6/1/08"</f>
        <v>365</v>
      </c>
      <c r="V4">
        <f>"6/1/2010"-"6/1/09"</f>
        <v>365</v>
      </c>
      <c r="W4">
        <f>"6/1/2011"-"6/1/2010"</f>
        <v>365</v>
      </c>
      <c r="X4">
        <f>"6/1/2012"-"6/1/2011"</f>
        <v>366</v>
      </c>
      <c r="Y4">
        <f>"6/1/2013"-"6/1/2012"</f>
        <v>365</v>
      </c>
      <c r="Z4">
        <f>"6/1/2014"-"6/1/2013"</f>
        <v>365</v>
      </c>
      <c r="AA4">
        <f>"9/1/2014"-"6/1/2014"</f>
        <v>92</v>
      </c>
    </row>
    <row r="5" spans="1:45" x14ac:dyDescent="0.2">
      <c r="A5" t="s">
        <v>20</v>
      </c>
      <c r="O5">
        <f>"4/1/03"-"6/1/02"</f>
        <v>304</v>
      </c>
    </row>
    <row r="6" spans="1:45" x14ac:dyDescent="0.2">
      <c r="A6" t="s">
        <v>20</v>
      </c>
      <c r="O6">
        <f>"6/1/03"-"4/1/03"</f>
        <v>61</v>
      </c>
      <c r="P6">
        <f>"4/1/2004"-"6/1/03"</f>
        <v>305</v>
      </c>
    </row>
    <row r="7" spans="1:45" ht="13.5" thickBot="1" x14ac:dyDescent="0.25">
      <c r="A7" t="s">
        <v>31</v>
      </c>
      <c r="E7" s="1"/>
      <c r="O7">
        <f>"6/1/03"-"6/1/02"</f>
        <v>365</v>
      </c>
      <c r="P7">
        <f>"6/1/04"-"6/1/03"</f>
        <v>366</v>
      </c>
      <c r="Q7">
        <f>"6/1/05"-"6/1/04"</f>
        <v>365</v>
      </c>
      <c r="R7">
        <f>"6/1/06"-"6/1/05"</f>
        <v>365</v>
      </c>
      <c r="S7">
        <f>"6/1/07"-"6/1/06"</f>
        <v>365</v>
      </c>
      <c r="T7">
        <f>"6/1/08"-"6/1/07"</f>
        <v>366</v>
      </c>
      <c r="U7">
        <f>"6/1/09"-"6/1/08"</f>
        <v>365</v>
      </c>
      <c r="V7">
        <f>"6/1/2010"-"6/1/09"</f>
        <v>365</v>
      </c>
      <c r="W7">
        <f>"6/1/2011"-"6/1/2010"</f>
        <v>365</v>
      </c>
      <c r="X7">
        <f>"6/1/2012"-"6/1/2011"</f>
        <v>366</v>
      </c>
      <c r="Y7">
        <f>"6/1/2013"-"6/1/2012"</f>
        <v>365</v>
      </c>
      <c r="Z7">
        <f>"6/1/2014"-"6/1/2013"</f>
        <v>365</v>
      </c>
      <c r="AA7">
        <f>"6/1/2015"-"6/1/2014"</f>
        <v>365</v>
      </c>
      <c r="AB7">
        <f>"6/1/2016"-"6/1/2015"</f>
        <v>366</v>
      </c>
      <c r="AC7">
        <f>"6/1/2017"-"6/1/2016"</f>
        <v>365</v>
      </c>
      <c r="AD7">
        <f>"6/1/2018"-"6/1/2017"</f>
        <v>365</v>
      </c>
      <c r="AE7">
        <f>"6/1/2019"-"6/1/2018"</f>
        <v>365</v>
      </c>
      <c r="AF7">
        <f>"6/1/2020"-"6/1/2019"</f>
        <v>366</v>
      </c>
      <c r="AG7">
        <f>"6/1/2021"-"6/1/2020"</f>
        <v>365</v>
      </c>
      <c r="AH7">
        <f>"6/1/2022"-"6/1/2021"</f>
        <v>365</v>
      </c>
      <c r="AI7">
        <f>"6/1/2023"-"6/1/2022"</f>
        <v>365</v>
      </c>
      <c r="AJ7">
        <f>"6/1/2024"-"6/1/2023"</f>
        <v>366</v>
      </c>
      <c r="AK7">
        <f>"6/1/2025"-"6/1/2024"</f>
        <v>365</v>
      </c>
      <c r="AL7">
        <f>"6/1/2026"-"6/1/2025"</f>
        <v>365</v>
      </c>
      <c r="AM7">
        <f>"6/1/2027"-"6/1/2026"</f>
        <v>365</v>
      </c>
      <c r="AN7">
        <f>"6/1/2028"-"6/1/2027"</f>
        <v>366</v>
      </c>
      <c r="AO7">
        <f>"6/1/2029"-"6/1/2028"</f>
        <v>365</v>
      </c>
      <c r="AP7">
        <f>"6/1/2030"-"6/1/2029"</f>
        <v>365</v>
      </c>
      <c r="AQ7">
        <f>"6/1/2031"-"6/1/2030"</f>
        <v>365</v>
      </c>
      <c r="AR7">
        <f>"6/1/2032"-"6/1/2031"</f>
        <v>366</v>
      </c>
      <c r="AS7">
        <f>"7/1/2031"-"6/1/2031"</f>
        <v>30</v>
      </c>
    </row>
    <row r="8" spans="1:45" ht="13.5" thickBot="1" x14ac:dyDescent="0.25">
      <c r="A8" t="s">
        <v>0</v>
      </c>
      <c r="B8" s="1">
        <v>9.0200000000000002E-2</v>
      </c>
      <c r="C8" s="21">
        <f>+'NPV '!C8</f>
        <v>0.15</v>
      </c>
      <c r="D8" s="16">
        <f>+'NPV '!D8</f>
        <v>0.15</v>
      </c>
      <c r="E8" s="1"/>
    </row>
    <row r="9" spans="1:45" ht="13.5" thickBot="1" x14ac:dyDescent="0.25">
      <c r="A9" s="5" t="s">
        <v>1</v>
      </c>
      <c r="B9" s="6" t="s">
        <v>40</v>
      </c>
      <c r="C9" s="22" t="str">
        <f>+'NPV '!C9</f>
        <v>Hurdle Rate</v>
      </c>
      <c r="D9" s="23" t="str">
        <f>+'NPV '!D9</f>
        <v>Actual Rate</v>
      </c>
      <c r="E9" s="6" t="s">
        <v>2</v>
      </c>
      <c r="F9" s="7" t="s">
        <v>3</v>
      </c>
      <c r="G9" s="7" t="s">
        <v>30</v>
      </c>
      <c r="H9" s="7" t="s">
        <v>34</v>
      </c>
      <c r="I9" s="7" t="s">
        <v>4</v>
      </c>
      <c r="J9" s="7" t="s">
        <v>35</v>
      </c>
      <c r="K9" s="7" t="s">
        <v>36</v>
      </c>
      <c r="L9" s="7" t="s">
        <v>37</v>
      </c>
      <c r="M9" s="7" t="s">
        <v>38</v>
      </c>
      <c r="N9" s="7" t="s">
        <v>39</v>
      </c>
      <c r="O9" s="8">
        <v>37408</v>
      </c>
      <c r="P9" s="8">
        <v>37773</v>
      </c>
      <c r="Q9" s="8">
        <v>38139</v>
      </c>
      <c r="R9" s="8">
        <v>38504</v>
      </c>
      <c r="S9" s="8">
        <v>38869</v>
      </c>
      <c r="T9" s="8">
        <v>39234</v>
      </c>
      <c r="U9" s="8">
        <v>39600</v>
      </c>
      <c r="V9" s="8">
        <v>39965</v>
      </c>
      <c r="W9" s="8">
        <v>40330</v>
      </c>
      <c r="X9" s="8">
        <v>40695</v>
      </c>
      <c r="Y9" s="8">
        <v>41061</v>
      </c>
      <c r="Z9" s="8">
        <v>41426</v>
      </c>
      <c r="AA9" s="8">
        <v>41791</v>
      </c>
      <c r="AB9" s="8">
        <v>42156</v>
      </c>
      <c r="AC9" s="8">
        <v>42522</v>
      </c>
      <c r="AD9" s="8">
        <v>42887</v>
      </c>
      <c r="AE9" s="8">
        <v>43252</v>
      </c>
      <c r="AF9" s="8">
        <v>43617</v>
      </c>
      <c r="AG9" s="8">
        <v>43983</v>
      </c>
      <c r="AH9" s="8">
        <v>44348</v>
      </c>
      <c r="AI9" s="8">
        <v>44713</v>
      </c>
      <c r="AJ9" s="8">
        <v>45078</v>
      </c>
      <c r="AK9" s="8">
        <v>45444</v>
      </c>
      <c r="AL9" s="8">
        <v>45809</v>
      </c>
      <c r="AM9" s="8">
        <v>46174</v>
      </c>
      <c r="AN9" s="8">
        <v>46539</v>
      </c>
      <c r="AO9" s="8">
        <v>46905</v>
      </c>
      <c r="AP9" s="8">
        <v>47270</v>
      </c>
      <c r="AQ9" s="8">
        <v>47635</v>
      </c>
      <c r="AR9" s="8">
        <v>48000</v>
      </c>
      <c r="AS9" s="9">
        <v>11505</v>
      </c>
    </row>
    <row r="10" spans="1:45" x14ac:dyDescent="0.2">
      <c r="A10" t="s">
        <v>5</v>
      </c>
      <c r="B10" s="2">
        <f>NPV(B$8,O10:AS10)</f>
        <v>1311.8016490698092</v>
      </c>
      <c r="C10" s="12">
        <f>+'NPV '!C10</f>
        <v>6.7303500761034654E-2</v>
      </c>
      <c r="D10" s="12">
        <f>+'NPV '!D10</f>
        <v>7.64063272749992E-2</v>
      </c>
      <c r="E10" s="2">
        <f t="shared" ref="E10:E33" si="0">SUM(O10:AS10)</f>
        <v>3845.7999999999993</v>
      </c>
      <c r="F10" t="s">
        <v>6</v>
      </c>
      <c r="G10">
        <v>361</v>
      </c>
      <c r="H10">
        <f>SUM($O$7:$AS$7)</f>
        <v>10988</v>
      </c>
      <c r="I10" s="3">
        <v>1</v>
      </c>
      <c r="J10" s="4">
        <v>0.35</v>
      </c>
      <c r="K10" s="4"/>
      <c r="L10" s="4"/>
      <c r="M10" s="4"/>
      <c r="N10" s="4"/>
      <c r="O10" s="2">
        <f t="shared" ref="O10:X11" si="1">+$J10*$I10*O$7</f>
        <v>127.74999999999999</v>
      </c>
      <c r="P10" s="2">
        <f t="shared" si="1"/>
        <v>128.1</v>
      </c>
      <c r="Q10" s="2">
        <f t="shared" si="1"/>
        <v>127.74999999999999</v>
      </c>
      <c r="R10" s="2">
        <f t="shared" si="1"/>
        <v>127.74999999999999</v>
      </c>
      <c r="S10" s="2">
        <f t="shared" si="1"/>
        <v>127.74999999999999</v>
      </c>
      <c r="T10" s="2">
        <f t="shared" si="1"/>
        <v>128.1</v>
      </c>
      <c r="U10" s="2">
        <f t="shared" si="1"/>
        <v>127.74999999999999</v>
      </c>
      <c r="V10" s="2">
        <f t="shared" si="1"/>
        <v>127.74999999999999</v>
      </c>
      <c r="W10" s="2">
        <f t="shared" si="1"/>
        <v>127.74999999999999</v>
      </c>
      <c r="X10" s="2">
        <f t="shared" si="1"/>
        <v>128.1</v>
      </c>
      <c r="Y10" s="2">
        <f t="shared" ref="Y10:AH11" si="2">+$J10*$I10*Y$7</f>
        <v>127.74999999999999</v>
      </c>
      <c r="Z10" s="2">
        <f t="shared" si="2"/>
        <v>127.74999999999999</v>
      </c>
      <c r="AA10" s="2">
        <f t="shared" si="2"/>
        <v>127.74999999999999</v>
      </c>
      <c r="AB10" s="2">
        <f t="shared" si="2"/>
        <v>128.1</v>
      </c>
      <c r="AC10" s="2">
        <f t="shared" si="2"/>
        <v>127.74999999999999</v>
      </c>
      <c r="AD10" s="2">
        <f t="shared" si="2"/>
        <v>127.74999999999999</v>
      </c>
      <c r="AE10" s="2">
        <f t="shared" si="2"/>
        <v>127.74999999999999</v>
      </c>
      <c r="AF10" s="2">
        <f t="shared" si="2"/>
        <v>128.1</v>
      </c>
      <c r="AG10" s="2">
        <f t="shared" si="2"/>
        <v>127.74999999999999</v>
      </c>
      <c r="AH10" s="2">
        <f t="shared" si="2"/>
        <v>127.74999999999999</v>
      </c>
      <c r="AI10" s="2">
        <f t="shared" ref="AI10:AS11" si="3">+$J10*$I10*AI$7</f>
        <v>127.74999999999999</v>
      </c>
      <c r="AJ10" s="2">
        <f t="shared" si="3"/>
        <v>128.1</v>
      </c>
      <c r="AK10" s="2">
        <f t="shared" si="3"/>
        <v>127.74999999999999</v>
      </c>
      <c r="AL10" s="2">
        <f t="shared" si="3"/>
        <v>127.74999999999999</v>
      </c>
      <c r="AM10" s="2">
        <f t="shared" si="3"/>
        <v>127.74999999999999</v>
      </c>
      <c r="AN10" s="2">
        <f t="shared" si="3"/>
        <v>128.1</v>
      </c>
      <c r="AO10" s="2">
        <f t="shared" si="3"/>
        <v>127.74999999999999</v>
      </c>
      <c r="AP10" s="2">
        <f t="shared" si="3"/>
        <v>127.74999999999999</v>
      </c>
      <c r="AQ10" s="2">
        <f t="shared" si="3"/>
        <v>127.74999999999999</v>
      </c>
      <c r="AR10" s="2">
        <f t="shared" si="3"/>
        <v>128.1</v>
      </c>
      <c r="AS10" s="2">
        <f t="shared" si="3"/>
        <v>10.5</v>
      </c>
    </row>
    <row r="11" spans="1:45" x14ac:dyDescent="0.2">
      <c r="A11" t="s">
        <v>5</v>
      </c>
      <c r="B11" s="2">
        <f t="shared" ref="B11:B33" si="4">NPV($B$8,O11:AS11)</f>
        <v>1499.2018846512108</v>
      </c>
      <c r="C11" s="12">
        <f>+'NPV '!C11</f>
        <v>6.7303500761034654E-2</v>
      </c>
      <c r="D11" s="12">
        <f>+'NPV '!D11</f>
        <v>8.7321516885713379E-2</v>
      </c>
      <c r="E11" s="2">
        <f t="shared" si="0"/>
        <v>4395.2000000000007</v>
      </c>
      <c r="F11" t="s">
        <v>6</v>
      </c>
      <c r="G11">
        <v>361</v>
      </c>
      <c r="H11">
        <f>SUM($O$7:$AS$7)</f>
        <v>10988</v>
      </c>
      <c r="I11" s="3">
        <v>1</v>
      </c>
      <c r="J11" s="4">
        <v>0.4</v>
      </c>
      <c r="K11" s="4"/>
      <c r="L11" s="4"/>
      <c r="M11" s="4"/>
      <c r="N11" s="4"/>
      <c r="O11" s="2">
        <f t="shared" si="1"/>
        <v>146</v>
      </c>
      <c r="P11" s="2">
        <f t="shared" si="1"/>
        <v>146.4</v>
      </c>
      <c r="Q11" s="2">
        <f t="shared" si="1"/>
        <v>146</v>
      </c>
      <c r="R11" s="2">
        <f t="shared" si="1"/>
        <v>146</v>
      </c>
      <c r="S11" s="2">
        <f t="shared" si="1"/>
        <v>146</v>
      </c>
      <c r="T11" s="2">
        <f t="shared" si="1"/>
        <v>146.4</v>
      </c>
      <c r="U11" s="2">
        <f t="shared" si="1"/>
        <v>146</v>
      </c>
      <c r="V11" s="2">
        <f t="shared" si="1"/>
        <v>146</v>
      </c>
      <c r="W11" s="2">
        <f t="shared" si="1"/>
        <v>146</v>
      </c>
      <c r="X11" s="2">
        <f t="shared" si="1"/>
        <v>146.4</v>
      </c>
      <c r="Y11" s="2">
        <f t="shared" si="2"/>
        <v>146</v>
      </c>
      <c r="Z11" s="2">
        <f t="shared" si="2"/>
        <v>146</v>
      </c>
      <c r="AA11" s="2">
        <f t="shared" si="2"/>
        <v>146</v>
      </c>
      <c r="AB11" s="2">
        <f t="shared" si="2"/>
        <v>146.4</v>
      </c>
      <c r="AC11" s="2">
        <f t="shared" si="2"/>
        <v>146</v>
      </c>
      <c r="AD11" s="2">
        <f t="shared" si="2"/>
        <v>146</v>
      </c>
      <c r="AE11" s="2">
        <f t="shared" si="2"/>
        <v>146</v>
      </c>
      <c r="AF11" s="2">
        <f t="shared" si="2"/>
        <v>146.4</v>
      </c>
      <c r="AG11" s="2">
        <f t="shared" si="2"/>
        <v>146</v>
      </c>
      <c r="AH11" s="2">
        <f t="shared" si="2"/>
        <v>146</v>
      </c>
      <c r="AI11" s="2">
        <f t="shared" si="3"/>
        <v>146</v>
      </c>
      <c r="AJ11" s="2">
        <f t="shared" si="3"/>
        <v>146.4</v>
      </c>
      <c r="AK11" s="2">
        <f t="shared" si="3"/>
        <v>146</v>
      </c>
      <c r="AL11" s="2">
        <f t="shared" si="3"/>
        <v>146</v>
      </c>
      <c r="AM11" s="2">
        <f t="shared" si="3"/>
        <v>146</v>
      </c>
      <c r="AN11" s="2">
        <f t="shared" si="3"/>
        <v>146.4</v>
      </c>
      <c r="AO11" s="2">
        <f t="shared" si="3"/>
        <v>146</v>
      </c>
      <c r="AP11" s="2">
        <f t="shared" si="3"/>
        <v>146</v>
      </c>
      <c r="AQ11" s="2">
        <f t="shared" si="3"/>
        <v>146</v>
      </c>
      <c r="AR11" s="2">
        <f t="shared" si="3"/>
        <v>146.4</v>
      </c>
      <c r="AS11" s="2">
        <f t="shared" si="3"/>
        <v>12</v>
      </c>
    </row>
    <row r="12" spans="1:45" x14ac:dyDescent="0.2">
      <c r="A12" t="s">
        <v>7</v>
      </c>
      <c r="B12" s="2">
        <f t="shared" si="4"/>
        <v>1117.5184000507224</v>
      </c>
      <c r="C12" s="12">
        <f>+'NPV '!C12</f>
        <v>0.13460700152203631</v>
      </c>
      <c r="D12" s="12">
        <f>+'NPV '!D12</f>
        <v>0.14813460245273094</v>
      </c>
      <c r="E12" s="2">
        <f t="shared" si="0"/>
        <v>2082.02</v>
      </c>
      <c r="F12">
        <v>15</v>
      </c>
      <c r="G12">
        <f t="shared" ref="G12:G17" si="5">+F12*12</f>
        <v>180</v>
      </c>
      <c r="H12">
        <f>SUM($O$7:$AC$7)</f>
        <v>5479</v>
      </c>
      <c r="I12" s="3">
        <v>1</v>
      </c>
      <c r="J12" s="4">
        <v>0.38</v>
      </c>
      <c r="K12" s="4"/>
      <c r="L12" s="4"/>
      <c r="M12" s="4"/>
      <c r="N12" s="4"/>
      <c r="O12" s="2">
        <f t="shared" ref="O12:AC13" si="6">+$J12*$I12*O$7</f>
        <v>138.69999999999999</v>
      </c>
      <c r="P12" s="2">
        <f t="shared" si="6"/>
        <v>139.08000000000001</v>
      </c>
      <c r="Q12" s="2">
        <f t="shared" si="6"/>
        <v>138.69999999999999</v>
      </c>
      <c r="R12" s="2">
        <f t="shared" si="6"/>
        <v>138.69999999999999</v>
      </c>
      <c r="S12" s="2">
        <f t="shared" si="6"/>
        <v>138.69999999999999</v>
      </c>
      <c r="T12" s="2">
        <f t="shared" si="6"/>
        <v>139.08000000000001</v>
      </c>
      <c r="U12" s="2">
        <f t="shared" si="6"/>
        <v>138.69999999999999</v>
      </c>
      <c r="V12" s="2">
        <f t="shared" si="6"/>
        <v>138.69999999999999</v>
      </c>
      <c r="W12" s="2">
        <f t="shared" si="6"/>
        <v>138.69999999999999</v>
      </c>
      <c r="X12" s="2">
        <f t="shared" si="6"/>
        <v>139.08000000000001</v>
      </c>
      <c r="Y12" s="2">
        <f t="shared" si="6"/>
        <v>138.69999999999999</v>
      </c>
      <c r="Z12" s="2">
        <f t="shared" si="6"/>
        <v>138.69999999999999</v>
      </c>
      <c r="AA12" s="2">
        <f t="shared" si="6"/>
        <v>138.69999999999999</v>
      </c>
      <c r="AB12" s="2">
        <f t="shared" si="6"/>
        <v>139.08000000000001</v>
      </c>
      <c r="AC12" s="2">
        <f t="shared" si="6"/>
        <v>138.69999999999999</v>
      </c>
    </row>
    <row r="13" spans="1:45" x14ac:dyDescent="0.2">
      <c r="A13" t="s">
        <v>7</v>
      </c>
      <c r="B13" s="2">
        <f t="shared" si="4"/>
        <v>1146.9267789994253</v>
      </c>
      <c r="C13" s="12">
        <f>+'NPV '!C13</f>
        <v>0.13460700152203631</v>
      </c>
      <c r="D13" s="12">
        <f>+'NPV '!D13</f>
        <v>0.15203288146464491</v>
      </c>
      <c r="E13" s="2">
        <f t="shared" si="0"/>
        <v>2136.81</v>
      </c>
      <c r="F13">
        <v>15</v>
      </c>
      <c r="G13">
        <f t="shared" si="5"/>
        <v>180</v>
      </c>
      <c r="H13">
        <f>SUM($O$7:$AC$7)</f>
        <v>5479</v>
      </c>
      <c r="I13" s="3">
        <v>1</v>
      </c>
      <c r="J13" s="4">
        <v>0.39</v>
      </c>
      <c r="K13" s="4"/>
      <c r="L13" s="4"/>
      <c r="M13" s="4"/>
      <c r="N13" s="4"/>
      <c r="O13" s="2">
        <f t="shared" si="6"/>
        <v>142.35</v>
      </c>
      <c r="P13" s="2">
        <f t="shared" si="6"/>
        <v>142.74</v>
      </c>
      <c r="Q13" s="2">
        <f t="shared" si="6"/>
        <v>142.35</v>
      </c>
      <c r="R13" s="2">
        <f t="shared" si="6"/>
        <v>142.35</v>
      </c>
      <c r="S13" s="2">
        <f t="shared" si="6"/>
        <v>142.35</v>
      </c>
      <c r="T13" s="2">
        <f t="shared" si="6"/>
        <v>142.74</v>
      </c>
      <c r="U13" s="2">
        <f t="shared" si="6"/>
        <v>142.35</v>
      </c>
      <c r="V13" s="2">
        <f t="shared" si="6"/>
        <v>142.35</v>
      </c>
      <c r="W13" s="2">
        <f t="shared" si="6"/>
        <v>142.35</v>
      </c>
      <c r="X13" s="2">
        <f t="shared" si="6"/>
        <v>142.74</v>
      </c>
      <c r="Y13" s="2">
        <f t="shared" si="6"/>
        <v>142.35</v>
      </c>
      <c r="Z13" s="2">
        <f t="shared" si="6"/>
        <v>142.35</v>
      </c>
      <c r="AA13" s="2">
        <f t="shared" si="6"/>
        <v>142.35</v>
      </c>
      <c r="AB13" s="2">
        <f t="shared" si="6"/>
        <v>142.74</v>
      </c>
      <c r="AC13" s="2">
        <f t="shared" si="6"/>
        <v>142.35</v>
      </c>
    </row>
    <row r="14" spans="1:45" x14ac:dyDescent="0.2">
      <c r="A14" t="s">
        <v>8</v>
      </c>
      <c r="B14" s="2">
        <f t="shared" si="4"/>
        <v>780.90520432235314</v>
      </c>
      <c r="C14" s="12">
        <f>+'NPV '!C14</f>
        <v>0.40382100456610892</v>
      </c>
      <c r="D14" s="12">
        <f>+'NPV '!D14</f>
        <v>0.36876287784381284</v>
      </c>
      <c r="E14" s="2">
        <f t="shared" si="0"/>
        <v>1004.3000000000001</v>
      </c>
      <c r="F14">
        <v>5</v>
      </c>
      <c r="G14">
        <f t="shared" si="5"/>
        <v>60</v>
      </c>
      <c r="H14">
        <f>SUM($O$7:$S$7)</f>
        <v>1826</v>
      </c>
      <c r="I14" s="3">
        <v>1</v>
      </c>
      <c r="J14" s="4">
        <v>0.55000000000000004</v>
      </c>
      <c r="K14" s="4"/>
      <c r="L14" s="4"/>
      <c r="M14" s="4"/>
      <c r="N14" s="4"/>
      <c r="O14" s="2">
        <f t="shared" ref="O14:S15" si="7">+$J14*$I14*O$7</f>
        <v>200.75000000000003</v>
      </c>
      <c r="P14" s="2">
        <f t="shared" si="7"/>
        <v>201.3</v>
      </c>
      <c r="Q14" s="2">
        <f t="shared" si="7"/>
        <v>200.75000000000003</v>
      </c>
      <c r="R14" s="2">
        <f t="shared" si="7"/>
        <v>200.75000000000003</v>
      </c>
      <c r="S14" s="2">
        <f t="shared" si="7"/>
        <v>200.75000000000003</v>
      </c>
    </row>
    <row r="15" spans="1:45" x14ac:dyDescent="0.2">
      <c r="A15" t="s">
        <v>17</v>
      </c>
      <c r="B15" s="2">
        <f t="shared" si="4"/>
        <v>894.49141586014969</v>
      </c>
      <c r="C15" s="12">
        <f>+'NPV '!C15</f>
        <v>0.40382100456610892</v>
      </c>
      <c r="D15" s="12">
        <f>+'NPV '!D15</f>
        <v>0.42240111462109475</v>
      </c>
      <c r="E15" s="2">
        <f t="shared" si="0"/>
        <v>1150.3800000000001</v>
      </c>
      <c r="F15">
        <v>5</v>
      </c>
      <c r="G15">
        <f t="shared" si="5"/>
        <v>60</v>
      </c>
      <c r="H15">
        <f>SUM($O$7:$S$7)</f>
        <v>1826</v>
      </c>
      <c r="I15" s="3">
        <v>1</v>
      </c>
      <c r="J15" s="4">
        <v>0.63</v>
      </c>
      <c r="K15" s="4"/>
      <c r="L15" s="4"/>
      <c r="M15" s="4"/>
      <c r="N15" s="4"/>
      <c r="O15" s="2">
        <f t="shared" si="7"/>
        <v>229.95</v>
      </c>
      <c r="P15" s="2">
        <f t="shared" si="7"/>
        <v>230.58</v>
      </c>
      <c r="Q15" s="2">
        <f t="shared" si="7"/>
        <v>229.95</v>
      </c>
      <c r="R15" s="2">
        <f t="shared" si="7"/>
        <v>229.95</v>
      </c>
      <c r="S15" s="2">
        <f t="shared" si="7"/>
        <v>229.95</v>
      </c>
    </row>
    <row r="16" spans="1:45" x14ac:dyDescent="0.2">
      <c r="A16" t="s">
        <v>18</v>
      </c>
      <c r="B16" s="2">
        <f t="shared" si="4"/>
        <v>404.92797340836205</v>
      </c>
      <c r="C16" s="12">
        <f>+'NPV '!C16</f>
        <v>1.0095525114152726</v>
      </c>
      <c r="D16" s="12">
        <f>+'NPV '!D16</f>
        <v>0.51204942345338367</v>
      </c>
      <c r="E16" s="2">
        <f t="shared" si="0"/>
        <v>460.53</v>
      </c>
      <c r="F16">
        <v>2</v>
      </c>
      <c r="G16">
        <f t="shared" si="5"/>
        <v>24</v>
      </c>
      <c r="H16" s="10">
        <f>+SUM($O$7:$P$7)</f>
        <v>731</v>
      </c>
      <c r="I16" s="3">
        <v>1</v>
      </c>
      <c r="J16" s="4">
        <v>0.63</v>
      </c>
      <c r="K16" s="4"/>
      <c r="L16" s="4"/>
      <c r="M16" s="4"/>
      <c r="N16" s="4"/>
      <c r="O16" s="2">
        <f>+$J16*$I16*O$7</f>
        <v>229.95</v>
      </c>
      <c r="P16" s="2">
        <f>+$J16*$I16*P$7</f>
        <v>230.58</v>
      </c>
    </row>
    <row r="17" spans="1:29" x14ac:dyDescent="0.2">
      <c r="A17" t="s">
        <v>18</v>
      </c>
      <c r="B17" s="2">
        <f t="shared" si="4"/>
        <v>210.92460099064391</v>
      </c>
      <c r="C17" s="12">
        <f>+'NPV '!C17</f>
        <v>2.0191050228305443</v>
      </c>
      <c r="D17" s="12">
        <f>+'NPV '!D17</f>
        <v>0.5478260869565218</v>
      </c>
      <c r="E17" s="2">
        <f t="shared" si="0"/>
        <v>229.95</v>
      </c>
      <c r="F17">
        <v>1</v>
      </c>
      <c r="G17">
        <f t="shared" si="5"/>
        <v>12</v>
      </c>
      <c r="H17">
        <f>SUM($O$7)</f>
        <v>365</v>
      </c>
      <c r="I17" s="3">
        <v>1</v>
      </c>
      <c r="J17" s="4">
        <v>0.63</v>
      </c>
      <c r="K17" s="4"/>
      <c r="L17" s="4"/>
      <c r="M17" s="4"/>
      <c r="N17" s="4"/>
      <c r="O17" s="2">
        <f>+$J17*$I17*O$7</f>
        <v>229.95</v>
      </c>
    </row>
    <row r="18" spans="1:29" x14ac:dyDescent="0.2">
      <c r="A18" t="s">
        <v>20</v>
      </c>
      <c r="B18" s="2">
        <f t="shared" si="4"/>
        <v>722.41229639111316</v>
      </c>
      <c r="C18" s="12">
        <f>+'NPV '!C18</f>
        <v>1.0095525114152726</v>
      </c>
      <c r="D18" s="12">
        <f>+'NPV '!D18</f>
        <v>1.0079987585700987</v>
      </c>
      <c r="E18" s="2">
        <f t="shared" si="0"/>
        <v>806.5</v>
      </c>
      <c r="F18" s="10" t="s">
        <v>32</v>
      </c>
      <c r="G18">
        <v>22</v>
      </c>
      <c r="H18">
        <f>SUM(O5:P5)</f>
        <v>304</v>
      </c>
      <c r="I18" s="3">
        <v>1</v>
      </c>
      <c r="J18" s="4">
        <v>1.75</v>
      </c>
      <c r="K18" s="4">
        <v>0.75</v>
      </c>
      <c r="L18" s="4"/>
      <c r="M18" s="4"/>
      <c r="N18" s="4"/>
      <c r="O18" s="2">
        <f>(+$J18*$I18*O$5)+(K18*I18*O6)</f>
        <v>577.75</v>
      </c>
      <c r="P18" s="2">
        <f>+$K18*$I18*P$6</f>
        <v>228.75</v>
      </c>
    </row>
    <row r="19" spans="1:29" x14ac:dyDescent="0.2">
      <c r="A19" t="s">
        <v>21</v>
      </c>
      <c r="B19" s="2">
        <f t="shared" si="4"/>
        <v>1117.5184000507224</v>
      </c>
      <c r="C19" s="12">
        <f>+'NPV '!C19</f>
        <v>0.13460700152203631</v>
      </c>
      <c r="D19" s="12">
        <f>+'NPV '!D19</f>
        <v>0.14813460245273094</v>
      </c>
      <c r="E19" s="2">
        <f t="shared" si="0"/>
        <v>2082.02</v>
      </c>
      <c r="F19">
        <v>15</v>
      </c>
      <c r="G19">
        <f>+F19*12</f>
        <v>180</v>
      </c>
      <c r="H19">
        <f>SUM($O$7:$AC$7)</f>
        <v>5479</v>
      </c>
      <c r="I19" s="3">
        <v>1</v>
      </c>
      <c r="J19" s="4">
        <v>0.38</v>
      </c>
      <c r="K19" s="4"/>
      <c r="L19" s="4"/>
      <c r="M19" s="4"/>
      <c r="N19" s="4"/>
      <c r="O19" s="2">
        <f t="shared" ref="O19:AC19" si="8">+$J19*$I19*O$7</f>
        <v>138.69999999999999</v>
      </c>
      <c r="P19" s="2">
        <f t="shared" si="8"/>
        <v>139.08000000000001</v>
      </c>
      <c r="Q19" s="2">
        <f t="shared" si="8"/>
        <v>138.69999999999999</v>
      </c>
      <c r="R19" s="2">
        <f t="shared" si="8"/>
        <v>138.69999999999999</v>
      </c>
      <c r="S19" s="2">
        <f t="shared" si="8"/>
        <v>138.69999999999999</v>
      </c>
      <c r="T19" s="2">
        <f t="shared" si="8"/>
        <v>139.08000000000001</v>
      </c>
      <c r="U19" s="2">
        <f t="shared" si="8"/>
        <v>138.69999999999999</v>
      </c>
      <c r="V19" s="2">
        <f t="shared" si="8"/>
        <v>138.69999999999999</v>
      </c>
      <c r="W19" s="2">
        <f t="shared" si="8"/>
        <v>138.69999999999999</v>
      </c>
      <c r="X19" s="2">
        <f t="shared" si="8"/>
        <v>139.08000000000001</v>
      </c>
      <c r="Y19" s="2">
        <f t="shared" si="8"/>
        <v>138.69999999999999</v>
      </c>
      <c r="Z19" s="2">
        <f t="shared" si="8"/>
        <v>138.69999999999999</v>
      </c>
      <c r="AA19" s="2">
        <f t="shared" si="8"/>
        <v>138.69999999999999</v>
      </c>
      <c r="AB19" s="2">
        <f t="shared" si="8"/>
        <v>139.08000000000001</v>
      </c>
      <c r="AC19" s="2">
        <f t="shared" si="8"/>
        <v>138.69999999999999</v>
      </c>
    </row>
    <row r="20" spans="1:29" x14ac:dyDescent="0.2">
      <c r="A20" t="s">
        <v>22</v>
      </c>
      <c r="B20" s="2">
        <f t="shared" si="4"/>
        <v>1109.9881876972952</v>
      </c>
      <c r="C20" s="12">
        <f>+'NPV '!C20</f>
        <v>0.16825875190254538</v>
      </c>
      <c r="D20" s="12">
        <f>+'NPV '!D20</f>
        <v>0.18723216720952368</v>
      </c>
      <c r="E20" s="2">
        <f t="shared" si="0"/>
        <v>1879.4999999999998</v>
      </c>
      <c r="F20" t="s">
        <v>33</v>
      </c>
      <c r="G20">
        <v>147</v>
      </c>
      <c r="H20">
        <f>SUM(O4:AA4)</f>
        <v>4475</v>
      </c>
      <c r="I20" s="3">
        <v>1</v>
      </c>
      <c r="J20" s="4">
        <v>0.42</v>
      </c>
      <c r="K20" s="4"/>
      <c r="L20" s="4"/>
      <c r="M20" s="4"/>
      <c r="N20" s="4"/>
      <c r="O20" s="2">
        <f t="shared" ref="O20:AA20" si="9">+$J20*$I20*O$4</f>
        <v>153.29999999999998</v>
      </c>
      <c r="P20" s="2">
        <f t="shared" si="9"/>
        <v>153.72</v>
      </c>
      <c r="Q20" s="2">
        <f t="shared" si="9"/>
        <v>153.29999999999998</v>
      </c>
      <c r="R20" s="2">
        <f t="shared" si="9"/>
        <v>153.29999999999998</v>
      </c>
      <c r="S20" s="2">
        <f t="shared" si="9"/>
        <v>153.29999999999998</v>
      </c>
      <c r="T20" s="2">
        <f t="shared" si="9"/>
        <v>153.72</v>
      </c>
      <c r="U20" s="2">
        <f t="shared" si="9"/>
        <v>153.29999999999998</v>
      </c>
      <c r="V20" s="2">
        <f t="shared" si="9"/>
        <v>153.29999999999998</v>
      </c>
      <c r="W20" s="2">
        <f t="shared" si="9"/>
        <v>153.29999999999998</v>
      </c>
      <c r="X20" s="2">
        <f t="shared" si="9"/>
        <v>153.72</v>
      </c>
      <c r="Y20" s="2">
        <f t="shared" si="9"/>
        <v>153.29999999999998</v>
      </c>
      <c r="Z20" s="2">
        <f t="shared" si="9"/>
        <v>153.29999999999998</v>
      </c>
      <c r="AA20" s="2">
        <f t="shared" si="9"/>
        <v>38.64</v>
      </c>
    </row>
    <row r="21" spans="1:29" x14ac:dyDescent="0.2">
      <c r="A21" t="s">
        <v>23</v>
      </c>
      <c r="B21" s="2">
        <f t="shared" si="4"/>
        <v>539.90396454448273</v>
      </c>
      <c r="C21" s="12">
        <f>+'NPV '!C21</f>
        <v>1.0095525114152726</v>
      </c>
      <c r="D21" s="12">
        <f>+'NPV '!D21</f>
        <v>0.68273256460451159</v>
      </c>
      <c r="E21" s="2">
        <f t="shared" si="0"/>
        <v>614.04</v>
      </c>
      <c r="F21">
        <v>2</v>
      </c>
      <c r="G21">
        <f t="shared" ref="G21:G33" si="10">+F21*12</f>
        <v>24</v>
      </c>
      <c r="H21" s="10">
        <f t="shared" ref="H21:H26" si="11">+SUM($O$7:$P$7)</f>
        <v>731</v>
      </c>
      <c r="I21" s="3">
        <v>1</v>
      </c>
      <c r="J21" s="4">
        <v>0.84</v>
      </c>
      <c r="K21" s="4"/>
      <c r="L21" s="4"/>
      <c r="M21" s="4"/>
      <c r="N21" s="4"/>
      <c r="O21" s="2">
        <f t="shared" ref="O21:P26" si="12">+$J21*$I21*O$7</f>
        <v>306.59999999999997</v>
      </c>
      <c r="P21" s="2">
        <f t="shared" si="12"/>
        <v>307.44</v>
      </c>
    </row>
    <row r="22" spans="1:29" x14ac:dyDescent="0.2">
      <c r="A22" t="s">
        <v>24</v>
      </c>
      <c r="B22" s="2">
        <f t="shared" si="4"/>
        <v>539.90396454448273</v>
      </c>
      <c r="C22" s="12">
        <f>+'NPV '!C22</f>
        <v>1.0095525114152726</v>
      </c>
      <c r="D22" s="12">
        <f>+'NPV '!D22</f>
        <v>0.68273256460451159</v>
      </c>
      <c r="E22" s="2">
        <f t="shared" si="0"/>
        <v>614.04</v>
      </c>
      <c r="F22">
        <v>2</v>
      </c>
      <c r="G22">
        <f t="shared" si="10"/>
        <v>24</v>
      </c>
      <c r="H22" s="10">
        <f t="shared" si="11"/>
        <v>731</v>
      </c>
      <c r="I22" s="3">
        <v>1</v>
      </c>
      <c r="J22" s="4">
        <v>0.84</v>
      </c>
      <c r="K22" s="4"/>
      <c r="L22" s="4"/>
      <c r="M22" s="4"/>
      <c r="N22" s="4"/>
      <c r="O22" s="2">
        <f t="shared" si="12"/>
        <v>306.59999999999997</v>
      </c>
      <c r="P22" s="2">
        <f t="shared" si="12"/>
        <v>307.44</v>
      </c>
    </row>
    <row r="23" spans="1:29" x14ac:dyDescent="0.2">
      <c r="A23" t="s">
        <v>25</v>
      </c>
      <c r="B23" s="2">
        <f t="shared" si="4"/>
        <v>539.90396454448273</v>
      </c>
      <c r="C23" s="12">
        <f>+'NPV '!C23</f>
        <v>1.0095525114152726</v>
      </c>
      <c r="D23" s="12">
        <f>+'NPV '!D23</f>
        <v>0.68273256460451159</v>
      </c>
      <c r="E23" s="2">
        <f t="shared" si="0"/>
        <v>614.04</v>
      </c>
      <c r="F23">
        <v>2</v>
      </c>
      <c r="G23">
        <f t="shared" si="10"/>
        <v>24</v>
      </c>
      <c r="H23" s="10">
        <f t="shared" si="11"/>
        <v>731</v>
      </c>
      <c r="I23" s="3">
        <v>1</v>
      </c>
      <c r="J23" s="4">
        <v>0.84</v>
      </c>
      <c r="K23" s="4"/>
      <c r="L23" s="4"/>
      <c r="M23" s="4"/>
      <c r="N23" s="4"/>
      <c r="O23" s="2">
        <f t="shared" si="12"/>
        <v>306.59999999999997</v>
      </c>
      <c r="P23" s="2">
        <f t="shared" si="12"/>
        <v>307.44</v>
      </c>
    </row>
    <row r="24" spans="1:29" x14ac:dyDescent="0.2">
      <c r="A24" t="s">
        <v>25</v>
      </c>
      <c r="B24" s="2">
        <f t="shared" si="4"/>
        <v>520.62168009646564</v>
      </c>
      <c r="C24" s="12">
        <f>+'NPV '!C24</f>
        <v>1.0095525114152726</v>
      </c>
      <c r="D24" s="12">
        <f>+'NPV '!D24</f>
        <v>0.65834925872577899</v>
      </c>
      <c r="E24" s="2">
        <f t="shared" si="0"/>
        <v>592.11000000000013</v>
      </c>
      <c r="F24">
        <v>2</v>
      </c>
      <c r="G24">
        <f t="shared" si="10"/>
        <v>24</v>
      </c>
      <c r="H24" s="10">
        <f t="shared" si="11"/>
        <v>731</v>
      </c>
      <c r="I24" s="3">
        <v>1</v>
      </c>
      <c r="J24" s="4">
        <v>0.81</v>
      </c>
      <c r="K24" s="4"/>
      <c r="L24" s="4"/>
      <c r="M24" s="4"/>
      <c r="N24" s="4"/>
      <c r="O24" s="2">
        <f t="shared" si="12"/>
        <v>295.65000000000003</v>
      </c>
      <c r="P24" s="2">
        <f t="shared" si="12"/>
        <v>296.46000000000004</v>
      </c>
    </row>
    <row r="25" spans="1:29" x14ac:dyDescent="0.2">
      <c r="A25" t="s">
        <v>26</v>
      </c>
      <c r="B25" s="2">
        <f t="shared" si="4"/>
        <v>520.62168009646564</v>
      </c>
      <c r="C25" s="12">
        <f>+'NPV '!C25</f>
        <v>1.0095525114152726</v>
      </c>
      <c r="D25" s="12">
        <f>+'NPV '!D25</f>
        <v>0.65834925872577899</v>
      </c>
      <c r="E25" s="2">
        <f t="shared" si="0"/>
        <v>592.11000000000013</v>
      </c>
      <c r="F25">
        <v>2</v>
      </c>
      <c r="G25">
        <f t="shared" si="10"/>
        <v>24</v>
      </c>
      <c r="H25" s="10">
        <f t="shared" si="11"/>
        <v>731</v>
      </c>
      <c r="I25" s="3">
        <v>1</v>
      </c>
      <c r="J25" s="4">
        <v>0.81</v>
      </c>
      <c r="K25" s="4"/>
      <c r="L25" s="4"/>
      <c r="M25" s="4"/>
      <c r="N25" s="4"/>
      <c r="O25" s="2">
        <f t="shared" si="12"/>
        <v>295.65000000000003</v>
      </c>
      <c r="P25" s="2">
        <f t="shared" si="12"/>
        <v>296.46000000000004</v>
      </c>
    </row>
    <row r="26" spans="1:29" x14ac:dyDescent="0.2">
      <c r="A26" t="s">
        <v>26</v>
      </c>
      <c r="B26" s="2">
        <f t="shared" si="4"/>
        <v>539.90396454448273</v>
      </c>
      <c r="C26" s="12">
        <f>+'NPV '!C26</f>
        <v>1.0095525114152726</v>
      </c>
      <c r="D26" s="12">
        <f>+'NPV '!D26</f>
        <v>0.68273256460451159</v>
      </c>
      <c r="E26" s="2">
        <f t="shared" si="0"/>
        <v>614.04</v>
      </c>
      <c r="F26">
        <v>2</v>
      </c>
      <c r="G26">
        <f t="shared" si="10"/>
        <v>24</v>
      </c>
      <c r="H26" s="10">
        <f t="shared" si="11"/>
        <v>731</v>
      </c>
      <c r="I26" s="3">
        <v>1</v>
      </c>
      <c r="J26" s="4">
        <v>0.84</v>
      </c>
      <c r="K26" s="4"/>
      <c r="L26" s="4"/>
      <c r="M26" s="4"/>
      <c r="N26" s="4"/>
      <c r="O26" s="2">
        <f t="shared" si="12"/>
        <v>306.59999999999997</v>
      </c>
      <c r="P26" s="2">
        <f t="shared" si="12"/>
        <v>307.44</v>
      </c>
    </row>
    <row r="27" spans="1:29" x14ac:dyDescent="0.2">
      <c r="A27" t="s">
        <v>27</v>
      </c>
      <c r="B27" s="2">
        <f t="shared" si="4"/>
        <v>820.49734451507175</v>
      </c>
      <c r="C27" s="12">
        <f>+'NPV '!C27</f>
        <v>0.40382100456610892</v>
      </c>
      <c r="D27" s="12">
        <f>+'NPV '!D27</f>
        <v>0.39819439500044185</v>
      </c>
      <c r="E27" s="2">
        <f t="shared" si="0"/>
        <v>1009.2400000000001</v>
      </c>
      <c r="F27">
        <v>5</v>
      </c>
      <c r="G27">
        <f t="shared" si="10"/>
        <v>60</v>
      </c>
      <c r="H27" s="11">
        <f>SUM(O3:S3)</f>
        <v>1826</v>
      </c>
      <c r="I27" s="3">
        <v>1</v>
      </c>
      <c r="J27" s="4">
        <v>1.1200000000000001</v>
      </c>
      <c r="K27" s="4">
        <v>0.76</v>
      </c>
      <c r="L27" s="4">
        <v>0.43</v>
      </c>
      <c r="M27" s="4">
        <v>0.38</v>
      </c>
      <c r="N27" s="4">
        <v>0.38</v>
      </c>
      <c r="O27" s="2">
        <f>(+J$27*$I27*O$1)+(K$27*$I27*O$2)</f>
        <v>354.44000000000005</v>
      </c>
      <c r="P27" s="2">
        <f>(+K$27*$I27*P$1)+(L$27*$I27*P$2)</f>
        <v>228</v>
      </c>
      <c r="Q27" s="2">
        <f>(+L$27*$I27*Q$1)+(M$27*$I27*Q$2)</f>
        <v>149.4</v>
      </c>
      <c r="R27" s="2">
        <f>(+M$27*$I27*R$1)+(N$27*$I27*R$2)</f>
        <v>138.70000000000002</v>
      </c>
      <c r="S27" s="2">
        <f>(+N$27*$I27*S$1)+(N$27*$I27*S$2)</f>
        <v>138.70000000000002</v>
      </c>
      <c r="T27" s="2"/>
      <c r="U27" s="2"/>
    </row>
    <row r="28" spans="1:29" x14ac:dyDescent="0.2">
      <c r="A28" t="s">
        <v>27</v>
      </c>
      <c r="B28" s="2">
        <f t="shared" si="4"/>
        <v>846.15441626940299</v>
      </c>
      <c r="C28" s="12">
        <f>+'NPV '!C28</f>
        <v>0.40382100456610892</v>
      </c>
      <c r="D28" s="12">
        <f>+'NPV '!D28</f>
        <v>0.42448950145611203</v>
      </c>
      <c r="E28" s="2">
        <f t="shared" si="0"/>
        <v>983.52799999999991</v>
      </c>
      <c r="F28">
        <v>5</v>
      </c>
      <c r="G28">
        <f t="shared" si="10"/>
        <v>60</v>
      </c>
      <c r="H28">
        <f>SUM($O$7)</f>
        <v>365</v>
      </c>
      <c r="I28" s="3">
        <v>1</v>
      </c>
      <c r="J28" s="4">
        <v>1.7230000000000001</v>
      </c>
      <c r="K28" s="4">
        <v>0.36399999999999999</v>
      </c>
      <c r="L28" s="4">
        <v>0.20449999999999999</v>
      </c>
      <c r="M28" s="4">
        <v>0.2009</v>
      </c>
      <c r="N28" s="4">
        <v>0.20119999999999999</v>
      </c>
      <c r="O28" s="2">
        <f>+J$28*$I28*O$3</f>
        <v>628.89499999999998</v>
      </c>
      <c r="P28" s="2">
        <f>+K$28*$I28*P$3</f>
        <v>133.22399999999999</v>
      </c>
      <c r="Q28" s="2">
        <f>+L$28*$I28*Q$3</f>
        <v>74.642499999999998</v>
      </c>
      <c r="R28" s="2">
        <f>+M$28*$I28*R$3</f>
        <v>73.328500000000005</v>
      </c>
      <c r="S28" s="2">
        <f>+N$28*$I28*S$3</f>
        <v>73.438000000000002</v>
      </c>
    </row>
    <row r="29" spans="1:29" x14ac:dyDescent="0.2">
      <c r="A29" t="s">
        <v>28</v>
      </c>
      <c r="B29" s="2">
        <f t="shared" si="4"/>
        <v>1117.5184000507224</v>
      </c>
      <c r="C29" s="12">
        <f>+'NPV '!C29</f>
        <v>0.13460700152203631</v>
      </c>
      <c r="D29" s="12">
        <f>+'NPV '!D29</f>
        <v>0.14813460245273094</v>
      </c>
      <c r="E29" s="2">
        <f t="shared" si="0"/>
        <v>2082.02</v>
      </c>
      <c r="F29">
        <v>15</v>
      </c>
      <c r="G29">
        <f t="shared" si="10"/>
        <v>180</v>
      </c>
      <c r="H29">
        <f>SUM($O$7:$AC$7)</f>
        <v>5479</v>
      </c>
      <c r="I29" s="3">
        <v>1</v>
      </c>
      <c r="J29" s="4">
        <v>0.38</v>
      </c>
      <c r="K29" s="4"/>
      <c r="L29" s="4"/>
      <c r="M29" s="4"/>
      <c r="N29" s="4"/>
      <c r="O29" s="2">
        <f t="shared" ref="O29:AC29" si="13">+$J29*$I29*O$7</f>
        <v>138.69999999999999</v>
      </c>
      <c r="P29" s="2">
        <f t="shared" si="13"/>
        <v>139.08000000000001</v>
      </c>
      <c r="Q29" s="2">
        <f t="shared" si="13"/>
        <v>138.69999999999999</v>
      </c>
      <c r="R29" s="2">
        <f t="shared" si="13"/>
        <v>138.69999999999999</v>
      </c>
      <c r="S29" s="2">
        <f t="shared" si="13"/>
        <v>138.69999999999999</v>
      </c>
      <c r="T29" s="2">
        <f t="shared" si="13"/>
        <v>139.08000000000001</v>
      </c>
      <c r="U29" s="2">
        <f t="shared" si="13"/>
        <v>138.69999999999999</v>
      </c>
      <c r="V29" s="2">
        <f t="shared" si="13"/>
        <v>138.69999999999999</v>
      </c>
      <c r="W29" s="2">
        <f t="shared" si="13"/>
        <v>138.69999999999999</v>
      </c>
      <c r="X29" s="2">
        <f t="shared" si="13"/>
        <v>139.08000000000001</v>
      </c>
      <c r="Y29" s="2">
        <f t="shared" si="13"/>
        <v>138.69999999999999</v>
      </c>
      <c r="Z29" s="2">
        <f t="shared" si="13"/>
        <v>138.69999999999999</v>
      </c>
      <c r="AA29" s="2">
        <f t="shared" si="13"/>
        <v>138.69999999999999</v>
      </c>
      <c r="AB29" s="2">
        <f t="shared" si="13"/>
        <v>139.08000000000001</v>
      </c>
      <c r="AC29" s="2">
        <f t="shared" si="13"/>
        <v>138.69999999999999</v>
      </c>
    </row>
    <row r="30" spans="1:29" x14ac:dyDescent="0.2">
      <c r="A30" t="s">
        <v>28</v>
      </c>
      <c r="B30" s="2">
        <f t="shared" si="4"/>
        <v>736.56209869748682</v>
      </c>
      <c r="C30" s="12">
        <f>+'NPV '!C30</f>
        <v>2.0191050228305443</v>
      </c>
      <c r="D30" s="12">
        <f>+'NPV '!D30</f>
        <v>1.9130434782608698</v>
      </c>
      <c r="E30" s="2">
        <f t="shared" si="0"/>
        <v>803.00000000000011</v>
      </c>
      <c r="F30">
        <v>1</v>
      </c>
      <c r="G30">
        <f t="shared" si="10"/>
        <v>12</v>
      </c>
      <c r="H30">
        <f>SUM($O$7)</f>
        <v>365</v>
      </c>
      <c r="I30" s="3">
        <v>1</v>
      </c>
      <c r="J30" s="4">
        <v>2.2000000000000002</v>
      </c>
      <c r="K30" s="4"/>
      <c r="L30" s="4"/>
      <c r="M30" s="4"/>
      <c r="N30" s="4"/>
      <c r="O30" s="2">
        <f>+$J30*$I30*O$7</f>
        <v>803.00000000000011</v>
      </c>
    </row>
    <row r="31" spans="1:29" x14ac:dyDescent="0.2">
      <c r="A31" t="s">
        <v>28</v>
      </c>
      <c r="B31" s="2">
        <f t="shared" si="4"/>
        <v>736.56209869748682</v>
      </c>
      <c r="C31" s="12">
        <f>+'NPV '!C31</f>
        <v>2.0191050228305443</v>
      </c>
      <c r="D31" s="12">
        <f>+'NPV '!D31</f>
        <v>1.9130434782608696</v>
      </c>
      <c r="E31" s="2">
        <f t="shared" si="0"/>
        <v>803.00000000000011</v>
      </c>
      <c r="F31">
        <v>1</v>
      </c>
      <c r="G31">
        <f t="shared" si="10"/>
        <v>12</v>
      </c>
      <c r="H31">
        <f>SUM($O$7)</f>
        <v>365</v>
      </c>
      <c r="I31" s="3">
        <v>1</v>
      </c>
      <c r="J31" s="4">
        <v>2.2000000000000002</v>
      </c>
      <c r="K31" s="4"/>
      <c r="L31" s="4"/>
      <c r="M31" s="4"/>
      <c r="N31" s="4"/>
      <c r="O31" s="2">
        <f>+$J31*$I31*O$7</f>
        <v>803.00000000000011</v>
      </c>
    </row>
    <row r="32" spans="1:29" x14ac:dyDescent="0.2">
      <c r="A32" t="s">
        <v>29</v>
      </c>
      <c r="B32" s="2">
        <f t="shared" si="4"/>
        <v>922.88796874459911</v>
      </c>
      <c r="C32" s="12">
        <f>+'NPV '!C32</f>
        <v>0.40382100456610892</v>
      </c>
      <c r="D32" s="12">
        <f>+'NPV '!D32</f>
        <v>0.43581067381541527</v>
      </c>
      <c r="E32" s="2">
        <f t="shared" si="0"/>
        <v>1186.9000000000001</v>
      </c>
      <c r="F32">
        <v>5</v>
      </c>
      <c r="G32">
        <f t="shared" si="10"/>
        <v>60</v>
      </c>
      <c r="H32">
        <f>SUM($O$7:$S$7)</f>
        <v>1826</v>
      </c>
      <c r="I32" s="3">
        <v>1</v>
      </c>
      <c r="J32" s="4">
        <v>0.65</v>
      </c>
      <c r="K32" s="4"/>
      <c r="L32" s="4"/>
      <c r="M32" s="4"/>
      <c r="N32" s="4"/>
      <c r="O32" s="2">
        <f>+$J32*$I32*O$7</f>
        <v>237.25</v>
      </c>
      <c r="P32" s="2">
        <f t="shared" ref="P32:S33" si="14">+$J32*$I32*P$7</f>
        <v>237.9</v>
      </c>
      <c r="Q32" s="2">
        <f t="shared" si="14"/>
        <v>237.25</v>
      </c>
      <c r="R32" s="2">
        <f t="shared" si="14"/>
        <v>237.25</v>
      </c>
      <c r="S32" s="2">
        <f t="shared" si="14"/>
        <v>237.25</v>
      </c>
    </row>
    <row r="33" spans="1:19" x14ac:dyDescent="0.2">
      <c r="A33" t="s">
        <v>29</v>
      </c>
      <c r="B33" s="2">
        <f t="shared" si="4"/>
        <v>212.97414663336903</v>
      </c>
      <c r="C33" s="12">
        <f>+'NPV '!C33</f>
        <v>0.40382100456610892</v>
      </c>
      <c r="D33" s="12">
        <f>+'NPV '!D33</f>
        <v>0.10057169395740352</v>
      </c>
      <c r="E33" s="2">
        <f t="shared" si="0"/>
        <v>273.89999999999998</v>
      </c>
      <c r="F33">
        <v>5</v>
      </c>
      <c r="G33">
        <f t="shared" si="10"/>
        <v>60</v>
      </c>
      <c r="H33">
        <f>SUM($O$7:$S$7)</f>
        <v>1826</v>
      </c>
      <c r="I33" s="3">
        <v>1</v>
      </c>
      <c r="J33" s="4">
        <v>0.15</v>
      </c>
      <c r="K33" s="4"/>
      <c r="L33" s="4"/>
      <c r="M33" s="4"/>
      <c r="N33" s="4"/>
      <c r="O33" s="2">
        <f>+$J33*$I33*O$7</f>
        <v>54.75</v>
      </c>
      <c r="P33" s="2">
        <f t="shared" si="14"/>
        <v>54.9</v>
      </c>
      <c r="Q33" s="2">
        <f t="shared" si="14"/>
        <v>54.75</v>
      </c>
      <c r="R33" s="2">
        <f t="shared" si="14"/>
        <v>54.75</v>
      </c>
      <c r="S33" s="2">
        <f t="shared" si="14"/>
        <v>54.75</v>
      </c>
    </row>
    <row r="35" spans="1:19" x14ac:dyDescent="0.2">
      <c r="A35" t="s">
        <v>9</v>
      </c>
      <c r="B35" s="2">
        <f>SUM(B10:B34)</f>
        <v>18910.632483470807</v>
      </c>
      <c r="E35" s="2">
        <f>SUM(E10:E34)</f>
        <v>30854.978000000006</v>
      </c>
      <c r="H35" s="13">
        <f>SUM(H10:H34)</f>
        <v>64378</v>
      </c>
      <c r="I35" s="13">
        <f>SUM(I10:I34)</f>
        <v>24</v>
      </c>
    </row>
    <row r="36" spans="1:19" x14ac:dyDescent="0.2">
      <c r="O36" t="s">
        <v>45</v>
      </c>
    </row>
    <row r="37" spans="1:19" x14ac:dyDescent="0.2">
      <c r="B37" s="12"/>
      <c r="C37" s="12"/>
      <c r="D37" s="12"/>
      <c r="E37" s="12"/>
    </row>
    <row r="38" spans="1:19" x14ac:dyDescent="0.2">
      <c r="B38"/>
      <c r="C38"/>
      <c r="D38"/>
      <c r="E38"/>
    </row>
    <row r="39" spans="1:19" x14ac:dyDescent="0.2">
      <c r="B39"/>
      <c r="C39"/>
      <c r="D39"/>
      <c r="E39"/>
    </row>
    <row r="40" spans="1:19" x14ac:dyDescent="0.2">
      <c r="B40"/>
      <c r="C40"/>
      <c r="D40"/>
      <c r="E40"/>
    </row>
    <row r="41" spans="1:19" x14ac:dyDescent="0.2">
      <c r="B41"/>
      <c r="C41"/>
      <c r="D41"/>
      <c r="E41"/>
    </row>
    <row r="42" spans="1:19" x14ac:dyDescent="0.2">
      <c r="B42"/>
      <c r="C42"/>
      <c r="D42"/>
      <c r="E42"/>
    </row>
    <row r="43" spans="1:19" x14ac:dyDescent="0.2">
      <c r="B43"/>
      <c r="C43"/>
      <c r="D43"/>
      <c r="E43"/>
    </row>
    <row r="44" spans="1:19" x14ac:dyDescent="0.2">
      <c r="B44"/>
      <c r="C44"/>
      <c r="D44"/>
      <c r="E44"/>
    </row>
    <row r="45" spans="1:19" x14ac:dyDescent="0.2">
      <c r="B45"/>
      <c r="C45"/>
      <c r="D45"/>
      <c r="E45"/>
    </row>
    <row r="46" spans="1:19" x14ac:dyDescent="0.2">
      <c r="B46"/>
      <c r="C46"/>
      <c r="D46"/>
      <c r="E46"/>
    </row>
    <row r="47" spans="1:19" x14ac:dyDescent="0.2">
      <c r="B47"/>
      <c r="C47"/>
      <c r="D47"/>
      <c r="E47"/>
    </row>
  </sheetData>
  <pageMargins left="0.25" right="0.28000000000000003" top="0.91" bottom="0.49" header="0.38" footer="0.5"/>
  <pageSetup scale="80" orientation="landscape" horizontalDpi="300" verticalDpi="300" r:id="rId1"/>
  <headerFooter alignWithMargins="0">
    <oddHeader>&amp;CTranswestern Pipeline Company
Red Rock Expansion
Contracts NPV's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opLeftCell="V7" workbookViewId="0">
      <selection activeCell="A13" sqref="A13"/>
    </sheetView>
  </sheetViews>
  <sheetFormatPr defaultRowHeight="12.75" x14ac:dyDescent="0.2"/>
  <cols>
    <col min="1" max="1" width="22.85546875" customWidth="1"/>
    <col min="2" max="2" width="13.28515625" style="2" bestFit="1" customWidth="1"/>
    <col min="3" max="3" width="13.28515625" style="12" customWidth="1"/>
    <col min="4" max="4" width="13.28515625" style="2" customWidth="1"/>
    <col min="5" max="5" width="13.28515625" style="2" bestFit="1" customWidth="1"/>
    <col min="6" max="6" width="14.7109375" bestFit="1" customWidth="1"/>
    <col min="7" max="7" width="13" bestFit="1" customWidth="1"/>
    <col min="8" max="8" width="10.85546875" customWidth="1"/>
    <col min="9" max="9" width="8.7109375" bestFit="1" customWidth="1"/>
    <col min="10" max="14" width="8.85546875" bestFit="1" customWidth="1"/>
    <col min="15" max="19" width="12.28515625" bestFit="1" customWidth="1"/>
    <col min="20" max="44" width="11.28515625" bestFit="1" customWidth="1"/>
    <col min="45" max="45" width="9.7109375" bestFit="1" customWidth="1"/>
  </cols>
  <sheetData>
    <row r="1" spans="1:45" x14ac:dyDescent="0.2">
      <c r="A1" t="s">
        <v>41</v>
      </c>
      <c r="O1">
        <f>"1/1/03"-"6/01/2002"</f>
        <v>214</v>
      </c>
      <c r="P1">
        <f>"1/1/04"-"6/01/2003"</f>
        <v>214</v>
      </c>
      <c r="Q1">
        <f>"1/1/05"-"6/01/2004"</f>
        <v>214</v>
      </c>
      <c r="R1">
        <f>"1/1/06"-"6/01/2005"</f>
        <v>214</v>
      </c>
      <c r="S1">
        <f>"1/1/07"-"6/01/2006"</f>
        <v>214</v>
      </c>
    </row>
    <row r="2" spans="1:45" x14ac:dyDescent="0.2">
      <c r="A2" t="s">
        <v>41</v>
      </c>
      <c r="O2">
        <f>"6/01/03"-"1/01/03"</f>
        <v>151</v>
      </c>
      <c r="P2">
        <f>"6/01/04"-"1/01/04"</f>
        <v>152</v>
      </c>
      <c r="Q2">
        <f>"6/01/05"-"1/01/05"</f>
        <v>151</v>
      </c>
      <c r="R2">
        <f>"6/01/06"-"1/01/06"</f>
        <v>151</v>
      </c>
      <c r="S2">
        <f>"6/01/07"-"1/01/07"</f>
        <v>151</v>
      </c>
    </row>
    <row r="3" spans="1:45" x14ac:dyDescent="0.2">
      <c r="A3" t="s">
        <v>42</v>
      </c>
      <c r="O3">
        <f>"6/1/03"-"6/1/02"</f>
        <v>365</v>
      </c>
      <c r="P3">
        <f>"12/31/04"-"12/31/03"</f>
        <v>366</v>
      </c>
      <c r="Q3">
        <f>"12/31/05"-"12/31/04"</f>
        <v>365</v>
      </c>
      <c r="R3">
        <f>"12/31/06"-"12/31/05"</f>
        <v>365</v>
      </c>
      <c r="S3">
        <f>"12/31/07"-"12/31/06"</f>
        <v>365</v>
      </c>
    </row>
    <row r="4" spans="1:45" x14ac:dyDescent="0.2">
      <c r="A4" t="s">
        <v>22</v>
      </c>
      <c r="O4">
        <f>"6/1/03"-"6/1/02"</f>
        <v>365</v>
      </c>
      <c r="P4">
        <f>"6/1/04"-"6/1/03"</f>
        <v>366</v>
      </c>
      <c r="Q4">
        <f>"6/1/05"-"6/1/04"</f>
        <v>365</v>
      </c>
      <c r="R4">
        <f>"6/1/06"-"6/1/05"</f>
        <v>365</v>
      </c>
      <c r="S4">
        <f>"6/1/07"-"6/1/06"</f>
        <v>365</v>
      </c>
      <c r="T4">
        <f>"6/1/08"-"6/1/07"</f>
        <v>366</v>
      </c>
      <c r="U4">
        <f>"6/1/09"-"6/1/08"</f>
        <v>365</v>
      </c>
      <c r="V4">
        <f>"6/1/2010"-"6/1/09"</f>
        <v>365</v>
      </c>
      <c r="W4">
        <f>"6/1/2011"-"6/1/2010"</f>
        <v>365</v>
      </c>
      <c r="X4">
        <f>"6/1/2012"-"6/1/2011"</f>
        <v>366</v>
      </c>
      <c r="Y4">
        <f>"6/1/2013"-"6/1/2012"</f>
        <v>365</v>
      </c>
      <c r="Z4">
        <f>"6/1/2014"-"6/1/2013"</f>
        <v>365</v>
      </c>
      <c r="AA4">
        <f>"9/1/2014"-"6/1/2014"</f>
        <v>92</v>
      </c>
    </row>
    <row r="5" spans="1:45" x14ac:dyDescent="0.2">
      <c r="A5" t="s">
        <v>20</v>
      </c>
      <c r="O5">
        <f>"4/1/03"-"6/1/02"</f>
        <v>304</v>
      </c>
    </row>
    <row r="6" spans="1:45" x14ac:dyDescent="0.2">
      <c r="A6" t="s">
        <v>20</v>
      </c>
      <c r="O6">
        <f>"6/1/03"-"4/1/03"</f>
        <v>61</v>
      </c>
      <c r="P6">
        <f>"4/1/2004"-"6/1/03"</f>
        <v>305</v>
      </c>
    </row>
    <row r="7" spans="1:45" ht="13.5" thickBot="1" x14ac:dyDescent="0.25">
      <c r="A7" t="s">
        <v>31</v>
      </c>
      <c r="E7" s="1"/>
      <c r="O7">
        <f>"6/1/03"-"6/1/02"</f>
        <v>365</v>
      </c>
      <c r="P7">
        <f>"6/1/04"-"6/1/03"</f>
        <v>366</v>
      </c>
      <c r="Q7">
        <f>"6/1/05"-"6/1/04"</f>
        <v>365</v>
      </c>
      <c r="R7">
        <f>"6/1/06"-"6/1/05"</f>
        <v>365</v>
      </c>
      <c r="S7">
        <f>"6/1/07"-"6/1/06"</f>
        <v>365</v>
      </c>
      <c r="T7">
        <f>"6/1/08"-"6/1/07"</f>
        <v>366</v>
      </c>
      <c r="U7">
        <f>"6/1/09"-"6/1/08"</f>
        <v>365</v>
      </c>
      <c r="V7">
        <f>"6/1/2010"-"6/1/09"</f>
        <v>365</v>
      </c>
      <c r="W7">
        <f>"6/1/2011"-"6/1/2010"</f>
        <v>365</v>
      </c>
      <c r="X7">
        <f>"6/1/2012"-"6/1/2011"</f>
        <v>366</v>
      </c>
      <c r="Y7">
        <f>"6/1/2013"-"6/1/2012"</f>
        <v>365</v>
      </c>
      <c r="Z7">
        <f>"6/1/2014"-"6/1/2013"</f>
        <v>365</v>
      </c>
      <c r="AA7">
        <f>"6/1/2015"-"6/1/2014"</f>
        <v>365</v>
      </c>
      <c r="AB7">
        <f>"6/1/2016"-"6/1/2015"</f>
        <v>366</v>
      </c>
      <c r="AC7">
        <f>"6/1/2017"-"6/1/2016"</f>
        <v>365</v>
      </c>
      <c r="AD7">
        <f>"6/1/2018"-"6/1/2017"</f>
        <v>365</v>
      </c>
      <c r="AE7">
        <f>"6/1/2019"-"6/1/2018"</f>
        <v>365</v>
      </c>
      <c r="AF7">
        <f>"6/1/2020"-"6/1/2019"</f>
        <v>366</v>
      </c>
      <c r="AG7">
        <f>"6/1/2021"-"6/1/2020"</f>
        <v>365</v>
      </c>
      <c r="AH7">
        <f>"6/1/2022"-"6/1/2021"</f>
        <v>365</v>
      </c>
      <c r="AI7">
        <f>"6/1/2023"-"6/1/2022"</f>
        <v>365</v>
      </c>
      <c r="AJ7">
        <f>"6/1/2024"-"6/1/2023"</f>
        <v>366</v>
      </c>
      <c r="AK7">
        <f>"6/1/2025"-"6/1/2024"</f>
        <v>365</v>
      </c>
      <c r="AL7">
        <f>"6/1/2026"-"6/1/2025"</f>
        <v>365</v>
      </c>
      <c r="AM7">
        <f>"6/1/2027"-"6/1/2026"</f>
        <v>365</v>
      </c>
      <c r="AN7">
        <f>"6/1/2028"-"6/1/2027"</f>
        <v>366</v>
      </c>
      <c r="AO7">
        <f>"6/1/2029"-"6/1/2028"</f>
        <v>365</v>
      </c>
      <c r="AP7">
        <f>"6/1/2030"-"6/1/2029"</f>
        <v>365</v>
      </c>
      <c r="AQ7">
        <f>"6/1/2031"-"6/1/2030"</f>
        <v>365</v>
      </c>
      <c r="AR7">
        <f>"6/1/2032"-"6/1/2031"</f>
        <v>366</v>
      </c>
      <c r="AS7">
        <f>"7/1/2031"-"6/1/2031"</f>
        <v>30</v>
      </c>
    </row>
    <row r="8" spans="1:45" ht="13.5" thickBot="1" x14ac:dyDescent="0.25">
      <c r="A8" t="s">
        <v>0</v>
      </c>
      <c r="B8" s="1">
        <v>9.0200000000000002E-2</v>
      </c>
      <c r="C8" s="20">
        <v>0.15</v>
      </c>
      <c r="D8" s="20">
        <v>0.15</v>
      </c>
      <c r="E8" s="1"/>
    </row>
    <row r="9" spans="1:45" ht="13.5" thickBot="1" x14ac:dyDescent="0.25">
      <c r="A9" s="5" t="s">
        <v>1</v>
      </c>
      <c r="B9" s="6" t="s">
        <v>40</v>
      </c>
      <c r="C9" s="18" t="s">
        <v>43</v>
      </c>
      <c r="D9" s="6" t="s">
        <v>44</v>
      </c>
      <c r="E9" s="6" t="s">
        <v>2</v>
      </c>
      <c r="F9" s="7" t="s">
        <v>3</v>
      </c>
      <c r="G9" s="7" t="s">
        <v>30</v>
      </c>
      <c r="H9" s="7" t="s">
        <v>34</v>
      </c>
      <c r="I9" s="7" t="s">
        <v>4</v>
      </c>
      <c r="J9" s="7" t="s">
        <v>35</v>
      </c>
      <c r="K9" s="7" t="s">
        <v>36</v>
      </c>
      <c r="L9" s="7" t="s">
        <v>37</v>
      </c>
      <c r="M9" s="7" t="s">
        <v>38</v>
      </c>
      <c r="N9" s="7" t="s">
        <v>39</v>
      </c>
      <c r="O9" s="8">
        <v>37408</v>
      </c>
      <c r="P9" s="8">
        <v>37773</v>
      </c>
      <c r="Q9" s="8">
        <v>38139</v>
      </c>
      <c r="R9" s="8">
        <v>38504</v>
      </c>
      <c r="S9" s="8">
        <v>38869</v>
      </c>
      <c r="T9" s="8">
        <v>39234</v>
      </c>
      <c r="U9" s="8">
        <v>39600</v>
      </c>
      <c r="V9" s="8">
        <v>39965</v>
      </c>
      <c r="W9" s="8">
        <v>40330</v>
      </c>
      <c r="X9" s="8">
        <v>40695</v>
      </c>
      <c r="Y9" s="8">
        <v>41061</v>
      </c>
      <c r="Z9" s="8">
        <v>41426</v>
      </c>
      <c r="AA9" s="8">
        <v>41791</v>
      </c>
      <c r="AB9" s="8">
        <v>42156</v>
      </c>
      <c r="AC9" s="8">
        <v>42522</v>
      </c>
      <c r="AD9" s="8">
        <v>42887</v>
      </c>
      <c r="AE9" s="8">
        <v>43252</v>
      </c>
      <c r="AF9" s="8">
        <v>43617</v>
      </c>
      <c r="AG9" s="8">
        <v>43983</v>
      </c>
      <c r="AH9" s="8">
        <v>44348</v>
      </c>
      <c r="AI9" s="8">
        <v>44713</v>
      </c>
      <c r="AJ9" s="8">
        <v>45078</v>
      </c>
      <c r="AK9" s="8">
        <v>45444</v>
      </c>
      <c r="AL9" s="8">
        <v>45809</v>
      </c>
      <c r="AM9" s="8">
        <v>46174</v>
      </c>
      <c r="AN9" s="8">
        <v>46539</v>
      </c>
      <c r="AO9" s="8">
        <v>46905</v>
      </c>
      <c r="AP9" s="8">
        <v>47270</v>
      </c>
      <c r="AQ9" s="8">
        <v>47635</v>
      </c>
      <c r="AR9" s="8">
        <v>48000</v>
      </c>
      <c r="AS9" s="9">
        <v>11505</v>
      </c>
    </row>
    <row r="10" spans="1:45" x14ac:dyDescent="0.2">
      <c r="A10" t="s">
        <v>5</v>
      </c>
      <c r="B10" s="2">
        <f>NPV(B$8,O10:AS10)</f>
        <v>10494413.192558473</v>
      </c>
      <c r="C10" s="12">
        <f>+C41</f>
        <v>6.7303500761034654E-2</v>
      </c>
      <c r="D10" s="12">
        <f>NPV(D$8,O10:AS10)/(I10*H10)</f>
        <v>7.64063272749992E-2</v>
      </c>
      <c r="E10" s="2">
        <f t="shared" ref="E10:E33" si="0">SUM(O10:AS10)</f>
        <v>30766400</v>
      </c>
      <c r="F10" t="s">
        <v>6</v>
      </c>
      <c r="G10">
        <v>361</v>
      </c>
      <c r="H10">
        <f>SUM($O$7:$AS$7)</f>
        <v>10988</v>
      </c>
      <c r="I10" s="3">
        <v>8000</v>
      </c>
      <c r="J10" s="4">
        <v>0.35</v>
      </c>
      <c r="K10" s="4"/>
      <c r="L10" s="4"/>
      <c r="M10" s="4"/>
      <c r="N10" s="4"/>
      <c r="O10" s="2">
        <f t="shared" ref="O10:X11" si="1">+$J10*$I10*O$7</f>
        <v>1022000</v>
      </c>
      <c r="P10" s="2">
        <f t="shared" si="1"/>
        <v>1024800</v>
      </c>
      <c r="Q10" s="2">
        <f t="shared" si="1"/>
        <v>1022000</v>
      </c>
      <c r="R10" s="2">
        <f t="shared" si="1"/>
        <v>1022000</v>
      </c>
      <c r="S10" s="2">
        <f t="shared" si="1"/>
        <v>1022000</v>
      </c>
      <c r="T10" s="2">
        <f t="shared" si="1"/>
        <v>1024800</v>
      </c>
      <c r="U10" s="2">
        <f t="shared" si="1"/>
        <v>1022000</v>
      </c>
      <c r="V10" s="2">
        <f t="shared" si="1"/>
        <v>1022000</v>
      </c>
      <c r="W10" s="2">
        <f t="shared" si="1"/>
        <v>1022000</v>
      </c>
      <c r="X10" s="2">
        <f t="shared" si="1"/>
        <v>1024800</v>
      </c>
      <c r="Y10" s="2">
        <f t="shared" ref="Y10:AH11" si="2">+$J10*$I10*Y$7</f>
        <v>1022000</v>
      </c>
      <c r="Z10" s="2">
        <f t="shared" si="2"/>
        <v>1022000</v>
      </c>
      <c r="AA10" s="2">
        <f t="shared" si="2"/>
        <v>1022000</v>
      </c>
      <c r="AB10" s="2">
        <f t="shared" si="2"/>
        <v>1024800</v>
      </c>
      <c r="AC10" s="2">
        <f t="shared" si="2"/>
        <v>1022000</v>
      </c>
      <c r="AD10" s="2">
        <f t="shared" si="2"/>
        <v>1022000</v>
      </c>
      <c r="AE10" s="2">
        <f t="shared" si="2"/>
        <v>1022000</v>
      </c>
      <c r="AF10" s="2">
        <f t="shared" si="2"/>
        <v>1024800</v>
      </c>
      <c r="AG10" s="2">
        <f t="shared" si="2"/>
        <v>1022000</v>
      </c>
      <c r="AH10" s="2">
        <f t="shared" si="2"/>
        <v>1022000</v>
      </c>
      <c r="AI10" s="2">
        <f t="shared" ref="AI10:AS11" si="3">+$J10*$I10*AI$7</f>
        <v>1022000</v>
      </c>
      <c r="AJ10" s="2">
        <f t="shared" si="3"/>
        <v>1024800</v>
      </c>
      <c r="AK10" s="2">
        <f t="shared" si="3"/>
        <v>1022000</v>
      </c>
      <c r="AL10" s="2">
        <f t="shared" si="3"/>
        <v>1022000</v>
      </c>
      <c r="AM10" s="2">
        <f t="shared" si="3"/>
        <v>1022000</v>
      </c>
      <c r="AN10" s="2">
        <f t="shared" si="3"/>
        <v>1024800</v>
      </c>
      <c r="AO10" s="2">
        <f t="shared" si="3"/>
        <v>1022000</v>
      </c>
      <c r="AP10" s="2">
        <f t="shared" si="3"/>
        <v>1022000</v>
      </c>
      <c r="AQ10" s="2">
        <f t="shared" si="3"/>
        <v>1022000</v>
      </c>
      <c r="AR10" s="2">
        <f t="shared" si="3"/>
        <v>1024800</v>
      </c>
      <c r="AS10" s="2">
        <f t="shared" si="3"/>
        <v>84000</v>
      </c>
    </row>
    <row r="11" spans="1:45" x14ac:dyDescent="0.2">
      <c r="A11" t="s">
        <v>5</v>
      </c>
      <c r="B11" s="2">
        <f t="shared" ref="B11:B33" si="4">NPV($B$8,O11:AS11)</f>
        <v>17990422.615814522</v>
      </c>
      <c r="C11" s="12">
        <f>+C41</f>
        <v>6.7303500761034654E-2</v>
      </c>
      <c r="D11" s="12">
        <f t="shared" ref="D11:D33" si="5">NPV(D$8,O11:AS11)/(I11*H11)</f>
        <v>8.7321516885713379E-2</v>
      </c>
      <c r="E11" s="2">
        <f t="shared" si="0"/>
        <v>52742400</v>
      </c>
      <c r="F11" t="s">
        <v>6</v>
      </c>
      <c r="G11">
        <v>361</v>
      </c>
      <c r="H11">
        <f>SUM($O$7:$AS$7)</f>
        <v>10988</v>
      </c>
      <c r="I11" s="3">
        <v>12000</v>
      </c>
      <c r="J11" s="4">
        <v>0.4</v>
      </c>
      <c r="K11" s="4"/>
      <c r="L11" s="4"/>
      <c r="M11" s="4"/>
      <c r="N11" s="4"/>
      <c r="O11" s="2">
        <f t="shared" si="1"/>
        <v>1752000</v>
      </c>
      <c r="P11" s="2">
        <f t="shared" si="1"/>
        <v>1756800</v>
      </c>
      <c r="Q11" s="2">
        <f t="shared" si="1"/>
        <v>1752000</v>
      </c>
      <c r="R11" s="2">
        <f t="shared" si="1"/>
        <v>1752000</v>
      </c>
      <c r="S11" s="2">
        <f t="shared" si="1"/>
        <v>1752000</v>
      </c>
      <c r="T11" s="2">
        <f t="shared" si="1"/>
        <v>1756800</v>
      </c>
      <c r="U11" s="2">
        <f t="shared" si="1"/>
        <v>1752000</v>
      </c>
      <c r="V11" s="2">
        <f t="shared" si="1"/>
        <v>1752000</v>
      </c>
      <c r="W11" s="2">
        <f t="shared" si="1"/>
        <v>1752000</v>
      </c>
      <c r="X11" s="2">
        <f t="shared" si="1"/>
        <v>1756800</v>
      </c>
      <c r="Y11" s="2">
        <f t="shared" si="2"/>
        <v>1752000</v>
      </c>
      <c r="Z11" s="2">
        <f t="shared" si="2"/>
        <v>1752000</v>
      </c>
      <c r="AA11" s="2">
        <f t="shared" si="2"/>
        <v>1752000</v>
      </c>
      <c r="AB11" s="2">
        <f t="shared" si="2"/>
        <v>1756800</v>
      </c>
      <c r="AC11" s="2">
        <f t="shared" si="2"/>
        <v>1752000</v>
      </c>
      <c r="AD11" s="2">
        <f t="shared" si="2"/>
        <v>1752000</v>
      </c>
      <c r="AE11" s="2">
        <f t="shared" si="2"/>
        <v>1752000</v>
      </c>
      <c r="AF11" s="2">
        <f t="shared" si="2"/>
        <v>1756800</v>
      </c>
      <c r="AG11" s="2">
        <f t="shared" si="2"/>
        <v>1752000</v>
      </c>
      <c r="AH11" s="2">
        <f t="shared" si="2"/>
        <v>1752000</v>
      </c>
      <c r="AI11" s="2">
        <f t="shared" si="3"/>
        <v>1752000</v>
      </c>
      <c r="AJ11" s="2">
        <f t="shared" si="3"/>
        <v>1756800</v>
      </c>
      <c r="AK11" s="2">
        <f t="shared" si="3"/>
        <v>1752000</v>
      </c>
      <c r="AL11" s="2">
        <f t="shared" si="3"/>
        <v>1752000</v>
      </c>
      <c r="AM11" s="2">
        <f t="shared" si="3"/>
        <v>1752000</v>
      </c>
      <c r="AN11" s="2">
        <f t="shared" si="3"/>
        <v>1756800</v>
      </c>
      <c r="AO11" s="2">
        <f t="shared" si="3"/>
        <v>1752000</v>
      </c>
      <c r="AP11" s="2">
        <f t="shared" si="3"/>
        <v>1752000</v>
      </c>
      <c r="AQ11" s="2">
        <f t="shared" si="3"/>
        <v>1752000</v>
      </c>
      <c r="AR11" s="2">
        <f t="shared" si="3"/>
        <v>1756800</v>
      </c>
      <c r="AS11" s="2">
        <f t="shared" si="3"/>
        <v>144000</v>
      </c>
    </row>
    <row r="12" spans="1:45" x14ac:dyDescent="0.2">
      <c r="A12" t="s">
        <v>7</v>
      </c>
      <c r="B12" s="2">
        <f t="shared" si="4"/>
        <v>5587592.0002536112</v>
      </c>
      <c r="C12" s="12">
        <f>+$C$42</f>
        <v>0.13460700152203631</v>
      </c>
      <c r="D12" s="12">
        <f t="shared" si="5"/>
        <v>0.14813460245273094</v>
      </c>
      <c r="E12" s="2">
        <f t="shared" si="0"/>
        <v>10410100</v>
      </c>
      <c r="F12">
        <v>15</v>
      </c>
      <c r="G12">
        <f t="shared" ref="G12:G17" si="6">+F12*12</f>
        <v>180</v>
      </c>
      <c r="H12">
        <f>SUM($O$7:$AC$7)</f>
        <v>5479</v>
      </c>
      <c r="I12" s="3">
        <v>5000</v>
      </c>
      <c r="J12" s="4">
        <v>0.38</v>
      </c>
      <c r="K12" s="4"/>
      <c r="L12" s="4"/>
      <c r="M12" s="4"/>
      <c r="N12" s="4"/>
      <c r="O12" s="2">
        <f t="shared" ref="O12:AC13" si="7">+$J12*$I12*O$7</f>
        <v>693500</v>
      </c>
      <c r="P12" s="2">
        <f t="shared" si="7"/>
        <v>695400</v>
      </c>
      <c r="Q12" s="2">
        <f t="shared" si="7"/>
        <v>693500</v>
      </c>
      <c r="R12" s="2">
        <f t="shared" si="7"/>
        <v>693500</v>
      </c>
      <c r="S12" s="2">
        <f t="shared" si="7"/>
        <v>693500</v>
      </c>
      <c r="T12" s="2">
        <f t="shared" si="7"/>
        <v>695400</v>
      </c>
      <c r="U12" s="2">
        <f t="shared" si="7"/>
        <v>693500</v>
      </c>
      <c r="V12" s="2">
        <f t="shared" si="7"/>
        <v>693500</v>
      </c>
      <c r="W12" s="2">
        <f t="shared" si="7"/>
        <v>693500</v>
      </c>
      <c r="X12" s="2">
        <f t="shared" si="7"/>
        <v>695400</v>
      </c>
      <c r="Y12" s="2">
        <f t="shared" si="7"/>
        <v>693500</v>
      </c>
      <c r="Z12" s="2">
        <f t="shared" si="7"/>
        <v>693500</v>
      </c>
      <c r="AA12" s="2">
        <f t="shared" si="7"/>
        <v>693500</v>
      </c>
      <c r="AB12" s="2">
        <f t="shared" si="7"/>
        <v>695400</v>
      </c>
      <c r="AC12" s="2">
        <f t="shared" si="7"/>
        <v>693500</v>
      </c>
    </row>
    <row r="13" spans="1:45" x14ac:dyDescent="0.2">
      <c r="A13" t="s">
        <v>7</v>
      </c>
      <c r="B13" s="2">
        <f t="shared" si="4"/>
        <v>5734633.8949971283</v>
      </c>
      <c r="C13" s="12">
        <f>+C42</f>
        <v>0.13460700152203631</v>
      </c>
      <c r="D13" s="12">
        <f t="shared" si="5"/>
        <v>0.15203288146464491</v>
      </c>
      <c r="E13" s="2">
        <f t="shared" si="0"/>
        <v>10684050</v>
      </c>
      <c r="F13">
        <v>15</v>
      </c>
      <c r="G13">
        <f t="shared" si="6"/>
        <v>180</v>
      </c>
      <c r="H13">
        <f>SUM($O$7:$AC$7)</f>
        <v>5479</v>
      </c>
      <c r="I13" s="3">
        <v>5000</v>
      </c>
      <c r="J13" s="4">
        <v>0.39</v>
      </c>
      <c r="K13" s="4"/>
      <c r="L13" s="4"/>
      <c r="M13" s="4"/>
      <c r="N13" s="4"/>
      <c r="O13" s="2">
        <f t="shared" si="7"/>
        <v>711750</v>
      </c>
      <c r="P13" s="2">
        <f t="shared" si="7"/>
        <v>713700</v>
      </c>
      <c r="Q13" s="2">
        <f t="shared" si="7"/>
        <v>711750</v>
      </c>
      <c r="R13" s="2">
        <f t="shared" si="7"/>
        <v>711750</v>
      </c>
      <c r="S13" s="2">
        <f t="shared" si="7"/>
        <v>711750</v>
      </c>
      <c r="T13" s="2">
        <f t="shared" si="7"/>
        <v>713700</v>
      </c>
      <c r="U13" s="2">
        <f t="shared" si="7"/>
        <v>711750</v>
      </c>
      <c r="V13" s="2">
        <f t="shared" si="7"/>
        <v>711750</v>
      </c>
      <c r="W13" s="2">
        <f t="shared" si="7"/>
        <v>711750</v>
      </c>
      <c r="X13" s="2">
        <f t="shared" si="7"/>
        <v>713700</v>
      </c>
      <c r="Y13" s="2">
        <f t="shared" si="7"/>
        <v>711750</v>
      </c>
      <c r="Z13" s="2">
        <f t="shared" si="7"/>
        <v>711750</v>
      </c>
      <c r="AA13" s="2">
        <f t="shared" si="7"/>
        <v>711750</v>
      </c>
      <c r="AB13" s="2">
        <f t="shared" si="7"/>
        <v>713700</v>
      </c>
      <c r="AC13" s="2">
        <f t="shared" si="7"/>
        <v>711750</v>
      </c>
    </row>
    <row r="14" spans="1:45" x14ac:dyDescent="0.2">
      <c r="A14" t="s">
        <v>8</v>
      </c>
      <c r="B14" s="2">
        <f t="shared" si="4"/>
        <v>23427156.12967059</v>
      </c>
      <c r="C14" s="12">
        <f>+$C$52</f>
        <v>0.40382100456610892</v>
      </c>
      <c r="D14" s="12">
        <f t="shared" si="5"/>
        <v>0.36876287784381284</v>
      </c>
      <c r="E14" s="2">
        <f t="shared" si="0"/>
        <v>30129000</v>
      </c>
      <c r="F14">
        <v>5</v>
      </c>
      <c r="G14">
        <f t="shared" si="6"/>
        <v>60</v>
      </c>
      <c r="H14">
        <f>SUM($O$7:$S$7)</f>
        <v>1826</v>
      </c>
      <c r="I14" s="3">
        <v>30000</v>
      </c>
      <c r="J14" s="4">
        <v>0.55000000000000004</v>
      </c>
      <c r="K14" s="4"/>
      <c r="L14" s="4"/>
      <c r="M14" s="4"/>
      <c r="N14" s="4"/>
      <c r="O14" s="2">
        <f t="shared" ref="O14:S15" si="8">+$J14*$I14*O$7</f>
        <v>6022500</v>
      </c>
      <c r="P14" s="2">
        <f t="shared" si="8"/>
        <v>6039000</v>
      </c>
      <c r="Q14" s="2">
        <f t="shared" si="8"/>
        <v>6022500</v>
      </c>
      <c r="R14" s="2">
        <f t="shared" si="8"/>
        <v>6022500</v>
      </c>
      <c r="S14" s="2">
        <f t="shared" si="8"/>
        <v>6022500</v>
      </c>
    </row>
    <row r="15" spans="1:45" x14ac:dyDescent="0.2">
      <c r="A15" t="s">
        <v>17</v>
      </c>
      <c r="B15" s="2">
        <f t="shared" si="4"/>
        <v>44724570.793007493</v>
      </c>
      <c r="C15" s="12">
        <f>+$C$52</f>
        <v>0.40382100456610892</v>
      </c>
      <c r="D15" s="12">
        <f t="shared" si="5"/>
        <v>0.42240111462109475</v>
      </c>
      <c r="E15" s="2">
        <f t="shared" si="0"/>
        <v>57519000</v>
      </c>
      <c r="F15">
        <v>5</v>
      </c>
      <c r="G15">
        <f t="shared" si="6"/>
        <v>60</v>
      </c>
      <c r="H15">
        <f>SUM($O$7:$S$7)</f>
        <v>1826</v>
      </c>
      <c r="I15" s="3">
        <v>50000</v>
      </c>
      <c r="J15" s="4">
        <v>0.63</v>
      </c>
      <c r="K15" s="4"/>
      <c r="L15" s="4"/>
      <c r="M15" s="4"/>
      <c r="N15" s="4"/>
      <c r="O15" s="2">
        <f t="shared" si="8"/>
        <v>11497500</v>
      </c>
      <c r="P15" s="2">
        <f t="shared" si="8"/>
        <v>11529000</v>
      </c>
      <c r="Q15" s="2">
        <f t="shared" si="8"/>
        <v>11497500</v>
      </c>
      <c r="R15" s="2">
        <f t="shared" si="8"/>
        <v>11497500</v>
      </c>
      <c r="S15" s="2">
        <f t="shared" si="8"/>
        <v>11497500</v>
      </c>
    </row>
    <row r="16" spans="1:45" x14ac:dyDescent="0.2">
      <c r="A16" t="s">
        <v>18</v>
      </c>
      <c r="B16" s="2">
        <f t="shared" si="4"/>
        <v>8098559.4681672417</v>
      </c>
      <c r="C16" s="12">
        <f>+$C$55</f>
        <v>1.0095525114152726</v>
      </c>
      <c r="D16" s="12">
        <f t="shared" si="5"/>
        <v>0.51204942345338367</v>
      </c>
      <c r="E16" s="2">
        <f t="shared" si="0"/>
        <v>9210600</v>
      </c>
      <c r="F16">
        <v>2</v>
      </c>
      <c r="G16">
        <f t="shared" si="6"/>
        <v>24</v>
      </c>
      <c r="H16" s="10">
        <f>+SUM($O$7:$P$7)</f>
        <v>731</v>
      </c>
      <c r="I16" s="3">
        <v>20000</v>
      </c>
      <c r="J16" s="4">
        <v>0.63</v>
      </c>
      <c r="K16" s="4"/>
      <c r="L16" s="4"/>
      <c r="M16" s="4"/>
      <c r="N16" s="4"/>
      <c r="O16" s="2">
        <f>+$J16*$I16*O$7</f>
        <v>4599000</v>
      </c>
      <c r="P16" s="2">
        <f>+$J16*$I16*P$7</f>
        <v>4611600</v>
      </c>
    </row>
    <row r="17" spans="1:29" x14ac:dyDescent="0.2">
      <c r="A17" t="s">
        <v>18</v>
      </c>
      <c r="B17" s="2">
        <f t="shared" si="4"/>
        <v>2109246.0099064391</v>
      </c>
      <c r="C17" s="12">
        <f>+$C$56</f>
        <v>2.0191050228305443</v>
      </c>
      <c r="D17" s="12">
        <f t="shared" si="5"/>
        <v>0.5478260869565218</v>
      </c>
      <c r="E17" s="2">
        <f t="shared" si="0"/>
        <v>2299500</v>
      </c>
      <c r="F17">
        <v>1</v>
      </c>
      <c r="G17">
        <f t="shared" si="6"/>
        <v>12</v>
      </c>
      <c r="H17">
        <f>SUM($O$7)</f>
        <v>365</v>
      </c>
      <c r="I17" s="3">
        <v>10000</v>
      </c>
      <c r="J17" s="4">
        <v>0.63</v>
      </c>
      <c r="K17" s="4"/>
      <c r="L17" s="4"/>
      <c r="M17" s="4"/>
      <c r="N17" s="4"/>
      <c r="O17" s="2">
        <f>+$J17*$I17*O$7</f>
        <v>2299500</v>
      </c>
    </row>
    <row r="18" spans="1:29" x14ac:dyDescent="0.2">
      <c r="A18" t="s">
        <v>20</v>
      </c>
      <c r="B18" s="2">
        <f t="shared" si="4"/>
        <v>36120614.819555663</v>
      </c>
      <c r="C18" s="12">
        <f>+C55</f>
        <v>1.0095525114152726</v>
      </c>
      <c r="D18" s="12">
        <f t="shared" si="5"/>
        <v>1.0079987585700987</v>
      </c>
      <c r="E18" s="2">
        <f t="shared" si="0"/>
        <v>40325000</v>
      </c>
      <c r="F18" s="10" t="s">
        <v>32</v>
      </c>
      <c r="G18">
        <v>22</v>
      </c>
      <c r="H18">
        <f>SUM(O5:P6)</f>
        <v>670</v>
      </c>
      <c r="I18" s="3">
        <v>50000</v>
      </c>
      <c r="J18" s="4">
        <v>1.75</v>
      </c>
      <c r="K18" s="4">
        <v>0.75</v>
      </c>
      <c r="L18" s="4"/>
      <c r="M18" s="4"/>
      <c r="N18" s="4"/>
      <c r="O18" s="2">
        <f>(+$J18*$I18*O$5)+(K18*I18*O6)</f>
        <v>28887500</v>
      </c>
      <c r="P18" s="2">
        <f>+$K18*$I18*P$6</f>
        <v>11437500</v>
      </c>
    </row>
    <row r="19" spans="1:29" x14ac:dyDescent="0.2">
      <c r="A19" t="s">
        <v>21</v>
      </c>
      <c r="B19" s="2">
        <f t="shared" si="4"/>
        <v>44700736.00202889</v>
      </c>
      <c r="C19" s="12">
        <f>+$C$42</f>
        <v>0.13460700152203631</v>
      </c>
      <c r="D19" s="12">
        <f t="shared" si="5"/>
        <v>0.14813460245273094</v>
      </c>
      <c r="E19" s="2">
        <f t="shared" si="0"/>
        <v>83280800</v>
      </c>
      <c r="F19">
        <v>15</v>
      </c>
      <c r="G19">
        <f>+F19*12</f>
        <v>180</v>
      </c>
      <c r="H19">
        <f>SUM($O$7:$AC$7)</f>
        <v>5479</v>
      </c>
      <c r="I19" s="3">
        <v>40000</v>
      </c>
      <c r="J19" s="4">
        <v>0.38</v>
      </c>
      <c r="K19" s="4"/>
      <c r="L19" s="4"/>
      <c r="M19" s="4"/>
      <c r="N19" s="4"/>
      <c r="O19" s="2">
        <f t="shared" ref="O19:AC19" si="9">+$J19*$I19*O$7</f>
        <v>5548000</v>
      </c>
      <c r="P19" s="2">
        <f t="shared" si="9"/>
        <v>5563200</v>
      </c>
      <c r="Q19" s="2">
        <f t="shared" si="9"/>
        <v>5548000</v>
      </c>
      <c r="R19" s="2">
        <f t="shared" si="9"/>
        <v>5548000</v>
      </c>
      <c r="S19" s="2">
        <f t="shared" si="9"/>
        <v>5548000</v>
      </c>
      <c r="T19" s="2">
        <f t="shared" si="9"/>
        <v>5563200</v>
      </c>
      <c r="U19" s="2">
        <f t="shared" si="9"/>
        <v>5548000</v>
      </c>
      <c r="V19" s="2">
        <f t="shared" si="9"/>
        <v>5548000</v>
      </c>
      <c r="W19" s="2">
        <f t="shared" si="9"/>
        <v>5548000</v>
      </c>
      <c r="X19" s="2">
        <f t="shared" si="9"/>
        <v>5563200</v>
      </c>
      <c r="Y19" s="2">
        <f t="shared" si="9"/>
        <v>5548000</v>
      </c>
      <c r="Z19" s="2">
        <f t="shared" si="9"/>
        <v>5548000</v>
      </c>
      <c r="AA19" s="2">
        <f t="shared" si="9"/>
        <v>5548000</v>
      </c>
      <c r="AB19" s="2">
        <f t="shared" si="9"/>
        <v>5563200</v>
      </c>
      <c r="AC19" s="2">
        <f t="shared" si="9"/>
        <v>5548000</v>
      </c>
    </row>
    <row r="20" spans="1:29" x14ac:dyDescent="0.2">
      <c r="A20" t="s">
        <v>22</v>
      </c>
      <c r="B20" s="2">
        <f t="shared" si="4"/>
        <v>49949468.446378306</v>
      </c>
      <c r="C20" s="12">
        <f>+C45</f>
        <v>0.16825875190254538</v>
      </c>
      <c r="D20" s="12">
        <f t="shared" si="5"/>
        <v>0.18723216720952368</v>
      </c>
      <c r="E20" s="2">
        <f t="shared" si="0"/>
        <v>84577500</v>
      </c>
      <c r="F20" t="s">
        <v>33</v>
      </c>
      <c r="G20">
        <v>147</v>
      </c>
      <c r="H20">
        <f>SUM(O4:AA4)</f>
        <v>4475</v>
      </c>
      <c r="I20" s="3">
        <v>45000</v>
      </c>
      <c r="J20" s="4">
        <v>0.42</v>
      </c>
      <c r="K20" s="4"/>
      <c r="L20" s="4"/>
      <c r="M20" s="4"/>
      <c r="N20" s="4"/>
      <c r="O20" s="2">
        <f t="shared" ref="O20:AA20" si="10">+$J20*$I20*O$4</f>
        <v>6898500</v>
      </c>
      <c r="P20" s="2">
        <f t="shared" si="10"/>
        <v>6917400</v>
      </c>
      <c r="Q20" s="2">
        <f t="shared" si="10"/>
        <v>6898500</v>
      </c>
      <c r="R20" s="2">
        <f t="shared" si="10"/>
        <v>6898500</v>
      </c>
      <c r="S20" s="2">
        <f t="shared" si="10"/>
        <v>6898500</v>
      </c>
      <c r="T20" s="2">
        <f t="shared" si="10"/>
        <v>6917400</v>
      </c>
      <c r="U20" s="2">
        <f t="shared" si="10"/>
        <v>6898500</v>
      </c>
      <c r="V20" s="2">
        <f t="shared" si="10"/>
        <v>6898500</v>
      </c>
      <c r="W20" s="2">
        <f t="shared" si="10"/>
        <v>6898500</v>
      </c>
      <c r="X20" s="2">
        <f t="shared" si="10"/>
        <v>6917400</v>
      </c>
      <c r="Y20" s="2">
        <f t="shared" si="10"/>
        <v>6898500</v>
      </c>
      <c r="Z20" s="2">
        <f t="shared" si="10"/>
        <v>6898500</v>
      </c>
      <c r="AA20" s="2">
        <f t="shared" si="10"/>
        <v>1738800</v>
      </c>
    </row>
    <row r="21" spans="1:29" x14ac:dyDescent="0.2">
      <c r="A21" t="s">
        <v>23</v>
      </c>
      <c r="B21" s="2">
        <f t="shared" si="4"/>
        <v>26995198.227224138</v>
      </c>
      <c r="C21" s="12">
        <f t="shared" ref="C21:C26" si="11">+$C$55</f>
        <v>1.0095525114152726</v>
      </c>
      <c r="D21" s="12">
        <f t="shared" si="5"/>
        <v>0.68273256460451159</v>
      </c>
      <c r="E21" s="2">
        <f t="shared" si="0"/>
        <v>30702000</v>
      </c>
      <c r="F21">
        <v>2</v>
      </c>
      <c r="G21">
        <f t="shared" ref="G21:G33" si="12">+F21*12</f>
        <v>24</v>
      </c>
      <c r="H21" s="10">
        <f t="shared" ref="H21:H26" si="13">+SUM($O$7:$P$7)</f>
        <v>731</v>
      </c>
      <c r="I21" s="3">
        <v>50000</v>
      </c>
      <c r="J21" s="4">
        <v>0.84</v>
      </c>
      <c r="K21" s="4"/>
      <c r="L21" s="4"/>
      <c r="M21" s="4"/>
      <c r="N21" s="4"/>
      <c r="O21" s="2">
        <f t="shared" ref="O21:P26" si="14">+$J21*$I21*O$7</f>
        <v>15330000</v>
      </c>
      <c r="P21" s="2">
        <f t="shared" si="14"/>
        <v>15372000</v>
      </c>
    </row>
    <row r="22" spans="1:29" x14ac:dyDescent="0.2">
      <c r="A22" t="s">
        <v>24</v>
      </c>
      <c r="B22" s="2">
        <f t="shared" si="4"/>
        <v>26995198.227224138</v>
      </c>
      <c r="C22" s="12">
        <f t="shared" si="11"/>
        <v>1.0095525114152726</v>
      </c>
      <c r="D22" s="12">
        <f t="shared" si="5"/>
        <v>0.68273256460451159</v>
      </c>
      <c r="E22" s="2">
        <f t="shared" si="0"/>
        <v>30702000</v>
      </c>
      <c r="F22">
        <v>2</v>
      </c>
      <c r="G22">
        <f t="shared" si="12"/>
        <v>24</v>
      </c>
      <c r="H22" s="10">
        <f t="shared" si="13"/>
        <v>731</v>
      </c>
      <c r="I22" s="3">
        <v>50000</v>
      </c>
      <c r="J22" s="4">
        <v>0.84</v>
      </c>
      <c r="K22" s="4"/>
      <c r="L22" s="4"/>
      <c r="M22" s="4"/>
      <c r="N22" s="4"/>
      <c r="O22" s="2">
        <f t="shared" si="14"/>
        <v>15330000</v>
      </c>
      <c r="P22" s="2">
        <f t="shared" si="14"/>
        <v>15372000</v>
      </c>
    </row>
    <row r="23" spans="1:29" x14ac:dyDescent="0.2">
      <c r="A23" t="s">
        <v>25</v>
      </c>
      <c r="B23" s="2">
        <f t="shared" si="4"/>
        <v>26995198.227224138</v>
      </c>
      <c r="C23" s="12">
        <f t="shared" si="11"/>
        <v>1.0095525114152726</v>
      </c>
      <c r="D23" s="12">
        <f t="shared" si="5"/>
        <v>0.68273256460451159</v>
      </c>
      <c r="E23" s="2">
        <f t="shared" si="0"/>
        <v>30702000</v>
      </c>
      <c r="F23">
        <v>2</v>
      </c>
      <c r="G23">
        <f t="shared" si="12"/>
        <v>24</v>
      </c>
      <c r="H23" s="10">
        <f t="shared" si="13"/>
        <v>731</v>
      </c>
      <c r="I23" s="3">
        <v>50000</v>
      </c>
      <c r="J23" s="4">
        <v>0.84</v>
      </c>
      <c r="K23" s="4"/>
      <c r="L23" s="4"/>
      <c r="M23" s="4"/>
      <c r="N23" s="4"/>
      <c r="O23" s="2">
        <f t="shared" si="14"/>
        <v>15330000</v>
      </c>
      <c r="P23" s="2">
        <f t="shared" si="14"/>
        <v>15372000</v>
      </c>
    </row>
    <row r="24" spans="1:29" x14ac:dyDescent="0.2">
      <c r="A24" t="s">
        <v>25</v>
      </c>
      <c r="B24" s="2">
        <f t="shared" si="4"/>
        <v>26031084.004823275</v>
      </c>
      <c r="C24" s="12">
        <f t="shared" si="11"/>
        <v>1.0095525114152726</v>
      </c>
      <c r="D24" s="12">
        <f t="shared" si="5"/>
        <v>0.65834925872577899</v>
      </c>
      <c r="E24" s="2">
        <f t="shared" si="0"/>
        <v>29605500</v>
      </c>
      <c r="F24">
        <v>2</v>
      </c>
      <c r="G24">
        <f t="shared" si="12"/>
        <v>24</v>
      </c>
      <c r="H24" s="10">
        <f t="shared" si="13"/>
        <v>731</v>
      </c>
      <c r="I24" s="3">
        <v>50000</v>
      </c>
      <c r="J24" s="4">
        <v>0.81</v>
      </c>
      <c r="K24" s="4"/>
      <c r="L24" s="4"/>
      <c r="M24" s="4"/>
      <c r="N24" s="4"/>
      <c r="O24" s="2">
        <f t="shared" si="14"/>
        <v>14782500</v>
      </c>
      <c r="P24" s="2">
        <f t="shared" si="14"/>
        <v>14823000</v>
      </c>
    </row>
    <row r="25" spans="1:29" x14ac:dyDescent="0.2">
      <c r="A25" t="s">
        <v>26</v>
      </c>
      <c r="B25" s="2">
        <f t="shared" si="4"/>
        <v>26031084.004823275</v>
      </c>
      <c r="C25" s="12">
        <f t="shared" si="11"/>
        <v>1.0095525114152726</v>
      </c>
      <c r="D25" s="12">
        <f t="shared" si="5"/>
        <v>0.65834925872577899</v>
      </c>
      <c r="E25" s="2">
        <f t="shared" si="0"/>
        <v>29605500</v>
      </c>
      <c r="F25">
        <v>2</v>
      </c>
      <c r="G25">
        <f t="shared" si="12"/>
        <v>24</v>
      </c>
      <c r="H25" s="10">
        <f t="shared" si="13"/>
        <v>731</v>
      </c>
      <c r="I25" s="3">
        <v>50000</v>
      </c>
      <c r="J25" s="4">
        <v>0.81</v>
      </c>
      <c r="K25" s="4"/>
      <c r="L25" s="4"/>
      <c r="M25" s="4"/>
      <c r="N25" s="4"/>
      <c r="O25" s="2">
        <f t="shared" si="14"/>
        <v>14782500</v>
      </c>
      <c r="P25" s="2">
        <f t="shared" si="14"/>
        <v>14823000</v>
      </c>
    </row>
    <row r="26" spans="1:29" x14ac:dyDescent="0.2">
      <c r="A26" t="s">
        <v>26</v>
      </c>
      <c r="B26" s="2">
        <f t="shared" si="4"/>
        <v>26995198.227224138</v>
      </c>
      <c r="C26" s="12">
        <f t="shared" si="11"/>
        <v>1.0095525114152726</v>
      </c>
      <c r="D26" s="12">
        <f t="shared" si="5"/>
        <v>0.68273256460451159</v>
      </c>
      <c r="E26" s="2">
        <f t="shared" si="0"/>
        <v>30702000</v>
      </c>
      <c r="F26">
        <v>2</v>
      </c>
      <c r="G26">
        <f t="shared" si="12"/>
        <v>24</v>
      </c>
      <c r="H26" s="10">
        <f t="shared" si="13"/>
        <v>731</v>
      </c>
      <c r="I26" s="3">
        <v>50000</v>
      </c>
      <c r="J26" s="4">
        <v>0.84</v>
      </c>
      <c r="K26" s="4"/>
      <c r="L26" s="4"/>
      <c r="M26" s="4"/>
      <c r="N26" s="4"/>
      <c r="O26" s="2">
        <f t="shared" si="14"/>
        <v>15330000</v>
      </c>
      <c r="P26" s="2">
        <f t="shared" si="14"/>
        <v>15372000</v>
      </c>
    </row>
    <row r="27" spans="1:29" x14ac:dyDescent="0.2">
      <c r="A27" t="s">
        <v>27</v>
      </c>
      <c r="B27" s="2">
        <f t="shared" si="4"/>
        <v>12307460.167726075</v>
      </c>
      <c r="C27" s="12">
        <f>+$C$52</f>
        <v>0.40382100456610892</v>
      </c>
      <c r="D27" s="12">
        <f t="shared" si="5"/>
        <v>0.39819439500044185</v>
      </c>
      <c r="E27" s="2">
        <f t="shared" si="0"/>
        <v>15138600</v>
      </c>
      <c r="F27">
        <v>5</v>
      </c>
      <c r="G27">
        <f t="shared" si="12"/>
        <v>60</v>
      </c>
      <c r="H27" s="11">
        <f>SUM(O1:S2)</f>
        <v>1826</v>
      </c>
      <c r="I27" s="3">
        <v>15000</v>
      </c>
      <c r="J27" s="4">
        <v>1.1200000000000001</v>
      </c>
      <c r="K27" s="4">
        <v>0.76</v>
      </c>
      <c r="L27" s="4">
        <v>0.43</v>
      </c>
      <c r="M27" s="4">
        <v>0.38</v>
      </c>
      <c r="N27" s="4">
        <v>0.38</v>
      </c>
      <c r="O27" s="2">
        <f>(+J$27*$I27*O$1)+(K$27*$I27*O$2)</f>
        <v>5316600</v>
      </c>
      <c r="P27" s="2">
        <f>(+K$27*$I27*P$1)+(L$27*$I27*P$2)</f>
        <v>3420000</v>
      </c>
      <c r="Q27" s="2">
        <f>(+L$27*$I27*Q$1)+(M$27*$I27*Q$2)</f>
        <v>2241000</v>
      </c>
      <c r="R27" s="2">
        <f>(+M$27*$I27*R$1)+(N$27*$I27*R$2)</f>
        <v>2080500</v>
      </c>
      <c r="S27" s="2">
        <f>(+N$27*$I27*S$1)+(N$27*$I27*S$2)</f>
        <v>2080500</v>
      </c>
      <c r="T27" s="2"/>
      <c r="U27" s="2"/>
    </row>
    <row r="28" spans="1:29" x14ac:dyDescent="0.2">
      <c r="A28" t="s">
        <v>27</v>
      </c>
      <c r="B28" s="2">
        <f t="shared" si="4"/>
        <v>42307720.813470155</v>
      </c>
      <c r="C28" s="12">
        <f>+$C$52</f>
        <v>0.40382100456610892</v>
      </c>
      <c r="D28" s="12">
        <f t="shared" si="5"/>
        <v>0.42448950145611203</v>
      </c>
      <c r="E28" s="2">
        <f t="shared" si="0"/>
        <v>49176400</v>
      </c>
      <c r="F28">
        <v>5</v>
      </c>
      <c r="G28">
        <f t="shared" si="12"/>
        <v>60</v>
      </c>
      <c r="H28">
        <f>SUM(O3:S3)</f>
        <v>1826</v>
      </c>
      <c r="I28" s="3">
        <v>50000</v>
      </c>
      <c r="J28" s="4">
        <v>1.7230000000000001</v>
      </c>
      <c r="K28" s="4">
        <v>0.36399999999999999</v>
      </c>
      <c r="L28" s="4">
        <v>0.20449999999999999</v>
      </c>
      <c r="M28" s="4">
        <v>0.2009</v>
      </c>
      <c r="N28" s="4">
        <v>0.20119999999999999</v>
      </c>
      <c r="O28" s="2">
        <f>+J$28*$I28*O$3</f>
        <v>31444750</v>
      </c>
      <c r="P28" s="2">
        <f>+K$28*$I28*P$3</f>
        <v>6661200</v>
      </c>
      <c r="Q28" s="2">
        <f>+L$28*$I28*Q$3</f>
        <v>3732125</v>
      </c>
      <c r="R28" s="2">
        <f>+M$28*$I28*R$3</f>
        <v>3666425</v>
      </c>
      <c r="S28" s="2">
        <f>+N$28*$I28*S$3</f>
        <v>3671900</v>
      </c>
    </row>
    <row r="29" spans="1:29" x14ac:dyDescent="0.2">
      <c r="A29" t="s">
        <v>28</v>
      </c>
      <c r="B29" s="2">
        <f t="shared" si="4"/>
        <v>3017299.6801369502</v>
      </c>
      <c r="C29" s="12">
        <f>+$C$42</f>
        <v>0.13460700152203631</v>
      </c>
      <c r="D29" s="12">
        <f t="shared" si="5"/>
        <v>0.14813460245273094</v>
      </c>
      <c r="E29" s="2">
        <f t="shared" si="0"/>
        <v>5621454</v>
      </c>
      <c r="F29">
        <v>15</v>
      </c>
      <c r="G29">
        <f t="shared" si="12"/>
        <v>180</v>
      </c>
      <c r="H29">
        <f>SUM($O$7:$AC$7)</f>
        <v>5479</v>
      </c>
      <c r="I29" s="3">
        <v>2700</v>
      </c>
      <c r="J29" s="4">
        <v>0.38</v>
      </c>
      <c r="K29" s="4"/>
      <c r="L29" s="4"/>
      <c r="M29" s="4"/>
      <c r="N29" s="4"/>
      <c r="O29" s="2">
        <f t="shared" ref="O29:AC29" si="15">+$J29*$I29*O$7</f>
        <v>374490</v>
      </c>
      <c r="P29" s="2">
        <f t="shared" si="15"/>
        <v>375516</v>
      </c>
      <c r="Q29" s="2">
        <f t="shared" si="15"/>
        <v>374490</v>
      </c>
      <c r="R29" s="2">
        <f t="shared" si="15"/>
        <v>374490</v>
      </c>
      <c r="S29" s="2">
        <f t="shared" si="15"/>
        <v>374490</v>
      </c>
      <c r="T29" s="2">
        <f t="shared" si="15"/>
        <v>375516</v>
      </c>
      <c r="U29" s="2">
        <f t="shared" si="15"/>
        <v>374490</v>
      </c>
      <c r="V29" s="2">
        <f t="shared" si="15"/>
        <v>374490</v>
      </c>
      <c r="W29" s="2">
        <f t="shared" si="15"/>
        <v>374490</v>
      </c>
      <c r="X29" s="2">
        <f t="shared" si="15"/>
        <v>375516</v>
      </c>
      <c r="Y29" s="2">
        <f t="shared" si="15"/>
        <v>374490</v>
      </c>
      <c r="Z29" s="2">
        <f t="shared" si="15"/>
        <v>374490</v>
      </c>
      <c r="AA29" s="2">
        <f t="shared" si="15"/>
        <v>374490</v>
      </c>
      <c r="AB29" s="2">
        <f t="shared" si="15"/>
        <v>375516</v>
      </c>
      <c r="AC29" s="2">
        <f t="shared" si="15"/>
        <v>374490</v>
      </c>
    </row>
    <row r="30" spans="1:29" x14ac:dyDescent="0.2">
      <c r="A30" t="s">
        <v>28</v>
      </c>
      <c r="B30" s="2">
        <f t="shared" si="4"/>
        <v>2430654.9257017062</v>
      </c>
      <c r="C30" s="12">
        <f>+$C$56</f>
        <v>2.0191050228305443</v>
      </c>
      <c r="D30" s="12">
        <f t="shared" si="5"/>
        <v>1.9130434782608698</v>
      </c>
      <c r="E30" s="2">
        <f t="shared" si="0"/>
        <v>2649900.0000000005</v>
      </c>
      <c r="F30">
        <v>1</v>
      </c>
      <c r="G30">
        <f t="shared" si="12"/>
        <v>12</v>
      </c>
      <c r="H30">
        <f>SUM($O$7)</f>
        <v>365</v>
      </c>
      <c r="I30" s="3">
        <v>3300</v>
      </c>
      <c r="J30" s="4">
        <v>2.2000000000000002</v>
      </c>
      <c r="K30" s="4"/>
      <c r="L30" s="4"/>
      <c r="M30" s="4"/>
      <c r="N30" s="4"/>
      <c r="O30" s="2">
        <f>+$J30*$I30*O$7</f>
        <v>2649900.0000000005</v>
      </c>
    </row>
    <row r="31" spans="1:29" x14ac:dyDescent="0.2">
      <c r="A31" t="s">
        <v>28</v>
      </c>
      <c r="B31" s="2">
        <f t="shared" si="4"/>
        <v>1473124.1973949734</v>
      </c>
      <c r="C31" s="12">
        <f>+$C$56</f>
        <v>2.0191050228305443</v>
      </c>
      <c r="D31" s="12">
        <f t="shared" si="5"/>
        <v>1.9130434782608696</v>
      </c>
      <c r="E31" s="2">
        <f t="shared" si="0"/>
        <v>1606000</v>
      </c>
      <c r="F31">
        <v>1</v>
      </c>
      <c r="G31">
        <f t="shared" si="12"/>
        <v>12</v>
      </c>
      <c r="H31">
        <f>SUM($O$7)</f>
        <v>365</v>
      </c>
      <c r="I31" s="3">
        <v>2000</v>
      </c>
      <c r="J31" s="4">
        <v>2.2000000000000002</v>
      </c>
      <c r="K31" s="4"/>
      <c r="L31" s="4"/>
      <c r="M31" s="4"/>
      <c r="N31" s="4"/>
      <c r="O31" s="2">
        <f>+$J31*$I31*O$7</f>
        <v>1606000</v>
      </c>
    </row>
    <row r="32" spans="1:29" x14ac:dyDescent="0.2">
      <c r="A32" t="s">
        <v>29</v>
      </c>
      <c r="B32" s="2">
        <f t="shared" si="4"/>
        <v>738310.37499567925</v>
      </c>
      <c r="C32" s="12">
        <f>+$C$52</f>
        <v>0.40382100456610892</v>
      </c>
      <c r="D32" s="12">
        <f t="shared" si="5"/>
        <v>0.43581067381541527</v>
      </c>
      <c r="E32" s="2">
        <f t="shared" si="0"/>
        <v>949520</v>
      </c>
      <c r="F32">
        <v>5</v>
      </c>
      <c r="G32">
        <f t="shared" si="12"/>
        <v>60</v>
      </c>
      <c r="H32">
        <f>SUM($O$7:$S$7)</f>
        <v>1826</v>
      </c>
      <c r="I32" s="3">
        <v>800</v>
      </c>
      <c r="J32" s="4">
        <v>0.65</v>
      </c>
      <c r="K32" s="4"/>
      <c r="L32" s="4"/>
      <c r="M32" s="4"/>
      <c r="N32" s="4"/>
      <c r="O32" s="2">
        <f>+$J32*$I32*O$7</f>
        <v>189800</v>
      </c>
      <c r="P32" s="2">
        <f t="shared" ref="P32:S33" si="16">+$J32*$I32*P$7</f>
        <v>190320</v>
      </c>
      <c r="Q32" s="2">
        <f t="shared" si="16"/>
        <v>189800</v>
      </c>
      <c r="R32" s="2">
        <f t="shared" si="16"/>
        <v>189800</v>
      </c>
      <c r="S32" s="2">
        <f t="shared" si="16"/>
        <v>189800</v>
      </c>
    </row>
    <row r="33" spans="1:19" x14ac:dyDescent="0.2">
      <c r="A33" t="s">
        <v>29</v>
      </c>
      <c r="B33" s="2">
        <f t="shared" si="4"/>
        <v>319461.21995005355</v>
      </c>
      <c r="C33" s="12">
        <f>+$C$52</f>
        <v>0.40382100456610892</v>
      </c>
      <c r="D33" s="12">
        <f t="shared" si="5"/>
        <v>0.10057169395740352</v>
      </c>
      <c r="E33" s="2">
        <f t="shared" si="0"/>
        <v>410850</v>
      </c>
      <c r="F33">
        <v>5</v>
      </c>
      <c r="G33">
        <f t="shared" si="12"/>
        <v>60</v>
      </c>
      <c r="H33">
        <f>SUM($O$7:$S$7)</f>
        <v>1826</v>
      </c>
      <c r="I33" s="3">
        <v>1500</v>
      </c>
      <c r="J33" s="4">
        <v>0.15</v>
      </c>
      <c r="K33" s="4"/>
      <c r="L33" s="4"/>
      <c r="M33" s="4"/>
      <c r="N33" s="4"/>
      <c r="O33" s="2">
        <f>+$J33*$I33*O$7</f>
        <v>82125</v>
      </c>
      <c r="P33" s="2">
        <f t="shared" si="16"/>
        <v>82350</v>
      </c>
      <c r="Q33" s="2">
        <f t="shared" si="16"/>
        <v>82125</v>
      </c>
      <c r="R33" s="2">
        <f t="shared" si="16"/>
        <v>82125</v>
      </c>
      <c r="S33" s="2">
        <f t="shared" si="16"/>
        <v>82125</v>
      </c>
    </row>
    <row r="35" spans="1:19" x14ac:dyDescent="0.2">
      <c r="A35" t="s">
        <v>9</v>
      </c>
      <c r="B35" s="2">
        <f>SUM(B10:B34)</f>
        <v>471574405.67025697</v>
      </c>
      <c r="E35" s="2">
        <f>SUM(E10:E34)</f>
        <v>669516074</v>
      </c>
      <c r="H35" s="13">
        <f>SUM(H10:H34)</f>
        <v>66205</v>
      </c>
      <c r="I35" s="13">
        <f>SUM(I10:I34)</f>
        <v>650300</v>
      </c>
    </row>
    <row r="37" spans="1:19" x14ac:dyDescent="0.2">
      <c r="B37" s="12"/>
      <c r="D37" s="12"/>
      <c r="E37" s="12"/>
    </row>
    <row r="38" spans="1:19" x14ac:dyDescent="0.2">
      <c r="B38"/>
      <c r="C38" s="19"/>
      <c r="D38"/>
      <c r="E38"/>
    </row>
    <row r="39" spans="1:19" x14ac:dyDescent="0.2">
      <c r="B39"/>
      <c r="C39" s="19"/>
      <c r="D39"/>
      <c r="E39"/>
    </row>
    <row r="40" spans="1:19" x14ac:dyDescent="0.2">
      <c r="B40"/>
      <c r="C40" s="19"/>
      <c r="D40"/>
      <c r="E40"/>
    </row>
    <row r="41" spans="1:19" x14ac:dyDescent="0.2">
      <c r="B41">
        <v>30</v>
      </c>
      <c r="C41" s="17">
        <v>6.7303500761034654E-2</v>
      </c>
      <c r="D41"/>
      <c r="E41"/>
    </row>
    <row r="42" spans="1:19" x14ac:dyDescent="0.2">
      <c r="B42">
        <v>15</v>
      </c>
      <c r="C42" s="19">
        <v>0.13460700152203631</v>
      </c>
      <c r="D42"/>
      <c r="E42"/>
    </row>
    <row r="43" spans="1:19" x14ac:dyDescent="0.2">
      <c r="B43">
        <v>14</v>
      </c>
      <c r="C43" s="19">
        <v>0.14422178734503893</v>
      </c>
      <c r="D43"/>
      <c r="E43"/>
    </row>
    <row r="44" spans="1:19" x14ac:dyDescent="0.2">
      <c r="B44">
        <v>13</v>
      </c>
      <c r="C44" s="19">
        <v>0.15531577098696497</v>
      </c>
      <c r="D44"/>
      <c r="E44"/>
    </row>
    <row r="45" spans="1:19" x14ac:dyDescent="0.2">
      <c r="B45">
        <v>12</v>
      </c>
      <c r="C45" s="19">
        <v>0.16825875190254538</v>
      </c>
      <c r="D45"/>
      <c r="E45"/>
    </row>
    <row r="46" spans="1:19" x14ac:dyDescent="0.2">
      <c r="B46">
        <v>11</v>
      </c>
      <c r="C46" s="19">
        <v>0.18355500207550407</v>
      </c>
      <c r="D46"/>
      <c r="E46"/>
    </row>
    <row r="47" spans="1:19" x14ac:dyDescent="0.2">
      <c r="B47">
        <v>10</v>
      </c>
      <c r="C47" s="19">
        <v>0.20191050228305443</v>
      </c>
      <c r="D47"/>
      <c r="E47"/>
    </row>
    <row r="48" spans="1:19" x14ac:dyDescent="0.2">
      <c r="B48">
        <v>9</v>
      </c>
      <c r="C48" s="12">
        <v>0.22434500253672715</v>
      </c>
    </row>
    <row r="49" spans="2:3" x14ac:dyDescent="0.2">
      <c r="B49">
        <v>8</v>
      </c>
      <c r="C49" s="12">
        <v>0.25238812785381803</v>
      </c>
    </row>
    <row r="50" spans="2:3" x14ac:dyDescent="0.2">
      <c r="B50">
        <v>7</v>
      </c>
      <c r="C50" s="12">
        <v>0.28844357469007775</v>
      </c>
    </row>
    <row r="51" spans="2:3" x14ac:dyDescent="0.2">
      <c r="B51">
        <v>6</v>
      </c>
      <c r="C51" s="12">
        <v>0.33651750380509071</v>
      </c>
    </row>
    <row r="52" spans="2:3" x14ac:dyDescent="0.2">
      <c r="B52">
        <v>5</v>
      </c>
      <c r="C52" s="12">
        <v>0.40382100456610892</v>
      </c>
    </row>
    <row r="53" spans="2:3" x14ac:dyDescent="0.2">
      <c r="B53">
        <v>4</v>
      </c>
      <c r="C53" s="12">
        <v>0.50477625570763607</v>
      </c>
    </row>
    <row r="54" spans="2:3" x14ac:dyDescent="0.2">
      <c r="B54">
        <v>3</v>
      </c>
      <c r="C54" s="12">
        <v>0.67303500761018153</v>
      </c>
    </row>
    <row r="55" spans="2:3" x14ac:dyDescent="0.2">
      <c r="B55">
        <v>2</v>
      </c>
      <c r="C55" s="12">
        <v>1.0095525114152726</v>
      </c>
    </row>
    <row r="56" spans="2:3" x14ac:dyDescent="0.2">
      <c r="B56">
        <v>1</v>
      </c>
      <c r="C56" s="12">
        <v>2.0191050228305443</v>
      </c>
    </row>
  </sheetData>
  <pageMargins left="0.25" right="0.28000000000000003" top="0.82" bottom="0.49" header="0.32" footer="0.5"/>
  <pageSetup scale="80" orientation="landscape" horizontalDpi="300" verticalDpi="300" r:id="rId1"/>
  <headerFooter alignWithMargins="0">
    <oddHeader xml:space="preserve">&amp;CTranswestern Pipeline Company
Red Rock Expansion
Contracts NPV"s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Contracts</vt:lpstr>
      <vt:lpstr>Sort</vt:lpstr>
      <vt:lpstr>NPV @ Rate&amp;Term</vt:lpstr>
      <vt:lpstr>NPV </vt:lpstr>
      <vt:lpstr>'NPV '!Print_Area</vt:lpstr>
      <vt:lpstr>'NPV @ Rate&amp;Term'!Print_Area</vt:lpstr>
      <vt:lpstr>'NPV '!Print_Titles</vt:lpstr>
      <vt:lpstr>'NPV @ Rate&amp;Term'!Print_Titles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Jan Havlíček</cp:lastModifiedBy>
  <cp:lastPrinted>2001-04-24T13:04:08Z</cp:lastPrinted>
  <dcterms:created xsi:type="dcterms:W3CDTF">2001-04-20T20:28:44Z</dcterms:created>
  <dcterms:modified xsi:type="dcterms:W3CDTF">2023-09-16T17:48:39Z</dcterms:modified>
</cp:coreProperties>
</file>