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4B923C-891C-439C-81B1-029FB515218B}" xr6:coauthVersionLast="47" xr6:coauthVersionMax="47" xr10:uidLastSave="{00000000-0000-0000-0000-000000000000}"/>
  <bookViews>
    <workbookView xWindow="-120" yWindow="-120" windowWidth="38640" windowHeight="15720" firstSheet="3" activeTab="11"/>
  </bookViews>
  <sheets>
    <sheet name="Dec 99" sheetId="1" r:id="rId1"/>
    <sheet name="Dec 99 (2)" sheetId="2" r:id="rId2"/>
    <sheet name="Jan 00" sheetId="3" r:id="rId3"/>
    <sheet name="Jan 00 (2)" sheetId="4" r:id="rId4"/>
    <sheet name="Feb 00" sheetId="5" r:id="rId5"/>
    <sheet name="Feb 00 (2)" sheetId="6" r:id="rId6"/>
    <sheet name="Mar 00" sheetId="7" r:id="rId7"/>
    <sheet name="Apr 00" sheetId="8" r:id="rId8"/>
    <sheet name="May 00" sheetId="9" r:id="rId9"/>
    <sheet name="June 00" sheetId="10" r:id="rId10"/>
    <sheet name="July 00" sheetId="11" r:id="rId11"/>
    <sheet name="Aug 00" sheetId="12" r:id="rId12"/>
  </sheets>
  <calcPr calcId="0"/>
</workbook>
</file>

<file path=xl/calcChain.xml><?xml version="1.0" encoding="utf-8"?>
<calcChain xmlns="http://schemas.openxmlformats.org/spreadsheetml/2006/main">
  <c r="B2" i="8" l="1"/>
  <c r="E2" i="8"/>
  <c r="I2" i="8"/>
  <c r="J2" i="8"/>
  <c r="E3" i="8"/>
  <c r="I3" i="8"/>
  <c r="J3" i="8"/>
  <c r="E4" i="8"/>
  <c r="I4" i="8"/>
  <c r="J4" i="8"/>
  <c r="E5" i="8"/>
  <c r="I5" i="8"/>
  <c r="J5" i="8"/>
  <c r="E6" i="8"/>
  <c r="I6" i="8"/>
  <c r="J6" i="8"/>
  <c r="E7" i="8"/>
  <c r="I7" i="8"/>
  <c r="J7" i="8"/>
  <c r="E8" i="8"/>
  <c r="I8" i="8"/>
  <c r="J8" i="8"/>
  <c r="B9" i="8"/>
  <c r="E9" i="8"/>
  <c r="F9" i="8"/>
  <c r="I9" i="8"/>
  <c r="J9" i="8"/>
  <c r="E10" i="8"/>
  <c r="F10" i="8"/>
  <c r="I10" i="8"/>
  <c r="J10" i="8"/>
  <c r="E11" i="8"/>
  <c r="F11" i="8"/>
  <c r="I11" i="8"/>
  <c r="E12" i="8"/>
  <c r="I12" i="8"/>
  <c r="J12" i="8"/>
  <c r="E13" i="8"/>
  <c r="F13" i="8"/>
  <c r="I13" i="8"/>
  <c r="J13" i="8"/>
  <c r="B14" i="8"/>
  <c r="E14" i="8"/>
  <c r="I14" i="8"/>
  <c r="J14" i="8"/>
  <c r="B15" i="8"/>
  <c r="E15" i="8"/>
  <c r="I15" i="8"/>
  <c r="J15" i="8"/>
  <c r="E16" i="8"/>
  <c r="F16" i="8"/>
  <c r="I16" i="8"/>
  <c r="J16" i="8"/>
  <c r="E17" i="8"/>
  <c r="I17" i="8"/>
  <c r="J17" i="8"/>
  <c r="E18" i="8"/>
  <c r="I18" i="8"/>
  <c r="E19" i="8"/>
  <c r="I19" i="8"/>
  <c r="J19" i="8"/>
  <c r="E20" i="8"/>
  <c r="F20" i="8"/>
  <c r="I20" i="8"/>
  <c r="J20" i="8"/>
  <c r="E21" i="8"/>
  <c r="F21" i="8"/>
  <c r="I21" i="8"/>
  <c r="J21" i="8"/>
  <c r="E22" i="8"/>
  <c r="F22" i="8"/>
  <c r="I22" i="8"/>
  <c r="J22" i="8"/>
  <c r="E23" i="8"/>
  <c r="I23" i="8"/>
  <c r="J23" i="8"/>
  <c r="E24" i="8"/>
  <c r="I24" i="8"/>
  <c r="J24" i="8"/>
  <c r="E25" i="8"/>
  <c r="I25" i="8"/>
  <c r="E26" i="8"/>
  <c r="I26" i="8"/>
  <c r="B28" i="8"/>
  <c r="E28" i="8"/>
  <c r="F28" i="8"/>
  <c r="I28" i="8"/>
  <c r="E2" i="12"/>
  <c r="I2" i="12"/>
  <c r="J2" i="12"/>
  <c r="E3" i="12"/>
  <c r="I3" i="12"/>
  <c r="J3" i="12"/>
  <c r="E4" i="12"/>
  <c r="I4" i="12"/>
  <c r="J4" i="12"/>
  <c r="E5" i="12"/>
  <c r="I5" i="12"/>
  <c r="J5" i="12"/>
  <c r="E6" i="12"/>
  <c r="I6" i="12"/>
  <c r="J6" i="12"/>
  <c r="E7" i="12"/>
  <c r="I7" i="12"/>
  <c r="J7" i="12"/>
  <c r="E8" i="12"/>
  <c r="I8" i="12"/>
  <c r="J8" i="12"/>
  <c r="E9" i="12"/>
  <c r="I9" i="12"/>
  <c r="J9" i="12"/>
  <c r="E10" i="12"/>
  <c r="I10" i="12"/>
  <c r="J10" i="12"/>
  <c r="E11" i="12"/>
  <c r="I11" i="12"/>
  <c r="E12" i="12"/>
  <c r="I12" i="12"/>
  <c r="J12" i="12"/>
  <c r="E13" i="12"/>
  <c r="I13" i="12"/>
  <c r="J13" i="12"/>
  <c r="E14" i="12"/>
  <c r="I14" i="12"/>
  <c r="J14" i="12"/>
  <c r="E15" i="12"/>
  <c r="I15" i="12"/>
  <c r="J15" i="12"/>
  <c r="E16" i="12"/>
  <c r="I16" i="12"/>
  <c r="J16" i="12"/>
  <c r="E17" i="12"/>
  <c r="I17" i="12"/>
  <c r="J17" i="12"/>
  <c r="E18" i="12"/>
  <c r="I18" i="12"/>
  <c r="E19" i="12"/>
  <c r="I19" i="12"/>
  <c r="J19" i="12"/>
  <c r="E20" i="12"/>
  <c r="I20" i="12"/>
  <c r="J20" i="12"/>
  <c r="E21" i="12"/>
  <c r="I21" i="12"/>
  <c r="J21" i="12"/>
  <c r="E22" i="12"/>
  <c r="I22" i="12"/>
  <c r="J22" i="12"/>
  <c r="E23" i="12"/>
  <c r="I23" i="12"/>
  <c r="J23" i="12"/>
  <c r="E24" i="12"/>
  <c r="I24" i="12"/>
  <c r="J24" i="12"/>
  <c r="E25" i="12"/>
  <c r="I25" i="12"/>
  <c r="E26" i="12"/>
  <c r="I26" i="12"/>
  <c r="B28" i="12"/>
  <c r="E28" i="12"/>
  <c r="F28" i="12"/>
  <c r="I28" i="12"/>
  <c r="B2" i="1"/>
  <c r="E2" i="1"/>
  <c r="F2" i="1"/>
  <c r="I2" i="1"/>
  <c r="J2" i="1"/>
  <c r="E3" i="1"/>
  <c r="I3" i="1"/>
  <c r="J3" i="1"/>
  <c r="E4" i="1"/>
  <c r="I4" i="1"/>
  <c r="J4" i="1"/>
  <c r="E5" i="1"/>
  <c r="I5" i="1"/>
  <c r="E6" i="1"/>
  <c r="I6" i="1"/>
  <c r="E7" i="1"/>
  <c r="F7" i="1"/>
  <c r="I7" i="1"/>
  <c r="J7" i="1"/>
  <c r="B8" i="1"/>
  <c r="E8" i="1"/>
  <c r="I8" i="1"/>
  <c r="B9" i="1"/>
  <c r="E9" i="1"/>
  <c r="F9" i="1"/>
  <c r="I9" i="1"/>
  <c r="J9" i="1"/>
  <c r="B10" i="1"/>
  <c r="E10" i="1"/>
  <c r="F10" i="1"/>
  <c r="I10" i="1"/>
  <c r="J10" i="1"/>
  <c r="B11" i="1"/>
  <c r="E11" i="1"/>
  <c r="F11" i="1"/>
  <c r="I11" i="1"/>
  <c r="E12" i="1"/>
  <c r="I12" i="1"/>
  <c r="J12" i="1"/>
  <c r="E13" i="1"/>
  <c r="I13" i="1"/>
  <c r="J13" i="1"/>
  <c r="B14" i="1"/>
  <c r="E14" i="1"/>
  <c r="I14" i="1"/>
  <c r="J14" i="1"/>
  <c r="B15" i="1"/>
  <c r="E15" i="1"/>
  <c r="I15" i="1"/>
  <c r="J15" i="1"/>
  <c r="E16" i="1"/>
  <c r="I16" i="1"/>
  <c r="E17" i="1"/>
  <c r="I17" i="1"/>
  <c r="J17" i="1"/>
  <c r="E18" i="1"/>
  <c r="I18" i="1"/>
  <c r="E19" i="1"/>
  <c r="F19" i="1"/>
  <c r="I19" i="1"/>
  <c r="B20" i="1"/>
  <c r="E20" i="1"/>
  <c r="F20" i="1"/>
  <c r="I20" i="1"/>
  <c r="E21" i="1"/>
  <c r="F21" i="1"/>
  <c r="I21" i="1"/>
  <c r="E22" i="1"/>
  <c r="F22" i="1"/>
  <c r="I22" i="1"/>
  <c r="J22" i="1"/>
  <c r="E23" i="1"/>
  <c r="I23" i="1"/>
  <c r="E24" i="1"/>
  <c r="F24" i="1"/>
  <c r="I24" i="1"/>
  <c r="E25" i="1"/>
  <c r="I25" i="1"/>
  <c r="E26" i="1"/>
  <c r="I26" i="1"/>
  <c r="B2" i="2"/>
  <c r="E2" i="2"/>
  <c r="F2" i="2"/>
  <c r="I2" i="2"/>
  <c r="J2" i="2"/>
  <c r="E3" i="2"/>
  <c r="I3" i="2"/>
  <c r="J3" i="2"/>
  <c r="E4" i="2"/>
  <c r="I4" i="2"/>
  <c r="J4" i="2"/>
  <c r="E5" i="2"/>
  <c r="I5" i="2"/>
  <c r="E6" i="2"/>
  <c r="I6" i="2"/>
  <c r="E7" i="2"/>
  <c r="F7" i="2"/>
  <c r="I7" i="2"/>
  <c r="J7" i="2"/>
  <c r="B8" i="2"/>
  <c r="E8" i="2"/>
  <c r="I8" i="2"/>
  <c r="B9" i="2"/>
  <c r="E9" i="2"/>
  <c r="F9" i="2"/>
  <c r="I9" i="2"/>
  <c r="J9" i="2"/>
  <c r="B10" i="2"/>
  <c r="E10" i="2"/>
  <c r="F10" i="2"/>
  <c r="I10" i="2"/>
  <c r="J10" i="2"/>
  <c r="B11" i="2"/>
  <c r="E11" i="2"/>
  <c r="F11" i="2"/>
  <c r="I11" i="2"/>
  <c r="E12" i="2"/>
  <c r="I12" i="2"/>
  <c r="J12" i="2"/>
  <c r="E13" i="2"/>
  <c r="I13" i="2"/>
  <c r="J13" i="2"/>
  <c r="B14" i="2"/>
  <c r="E14" i="2"/>
  <c r="I14" i="2"/>
  <c r="J14" i="2"/>
  <c r="B15" i="2"/>
  <c r="E15" i="2"/>
  <c r="I15" i="2"/>
  <c r="J15" i="2"/>
  <c r="E16" i="2"/>
  <c r="I16" i="2"/>
  <c r="E17" i="2"/>
  <c r="I17" i="2"/>
  <c r="J17" i="2"/>
  <c r="E18" i="2"/>
  <c r="I18" i="2"/>
  <c r="E19" i="2"/>
  <c r="F19" i="2"/>
  <c r="I19" i="2"/>
  <c r="B20" i="2"/>
  <c r="E20" i="2"/>
  <c r="F20" i="2"/>
  <c r="I20" i="2"/>
  <c r="E21" i="2"/>
  <c r="F21" i="2"/>
  <c r="I21" i="2"/>
  <c r="E22" i="2"/>
  <c r="F22" i="2"/>
  <c r="I22" i="2"/>
  <c r="J22" i="2"/>
  <c r="E23" i="2"/>
  <c r="I23" i="2"/>
  <c r="E24" i="2"/>
  <c r="F24" i="2"/>
  <c r="I24" i="2"/>
  <c r="E25" i="2"/>
  <c r="I25" i="2"/>
  <c r="E26" i="2"/>
  <c r="I26" i="2"/>
  <c r="B2" i="5"/>
  <c r="E2" i="5"/>
  <c r="I2" i="5"/>
  <c r="J2" i="5"/>
  <c r="E3" i="5"/>
  <c r="I3" i="5"/>
  <c r="J3" i="5"/>
  <c r="E4" i="5"/>
  <c r="I4" i="5"/>
  <c r="J4" i="5"/>
  <c r="E5" i="5"/>
  <c r="I5" i="5"/>
  <c r="E6" i="5"/>
  <c r="I6" i="5"/>
  <c r="B7" i="5"/>
  <c r="E7" i="5"/>
  <c r="F7" i="5"/>
  <c r="I7" i="5"/>
  <c r="J7" i="5"/>
  <c r="E8" i="5"/>
  <c r="I8" i="5"/>
  <c r="B9" i="5"/>
  <c r="E9" i="5"/>
  <c r="I9" i="5"/>
  <c r="J9" i="5"/>
  <c r="B10" i="5"/>
  <c r="E10" i="5"/>
  <c r="I10" i="5"/>
  <c r="J10" i="5"/>
  <c r="E11" i="5"/>
  <c r="F11" i="5"/>
  <c r="I11" i="5"/>
  <c r="E12" i="5"/>
  <c r="I12" i="5"/>
  <c r="J12" i="5"/>
  <c r="E13" i="5"/>
  <c r="F13" i="5"/>
  <c r="I13" i="5"/>
  <c r="J13" i="5"/>
  <c r="E14" i="5"/>
  <c r="I14" i="5"/>
  <c r="J14" i="5"/>
  <c r="B15" i="5"/>
  <c r="E15" i="5"/>
  <c r="I15" i="5"/>
  <c r="J15" i="5"/>
  <c r="E16" i="5"/>
  <c r="I16" i="5"/>
  <c r="E17" i="5"/>
  <c r="I17" i="5"/>
  <c r="J17" i="5"/>
  <c r="E18" i="5"/>
  <c r="F18" i="5"/>
  <c r="I18" i="5"/>
  <c r="E19" i="5"/>
  <c r="I19" i="5"/>
  <c r="B20" i="5"/>
  <c r="E20" i="5"/>
  <c r="F20" i="5"/>
  <c r="I20" i="5"/>
  <c r="E21" i="5"/>
  <c r="I21" i="5"/>
  <c r="E22" i="5"/>
  <c r="I22" i="5"/>
  <c r="J22" i="5"/>
  <c r="E23" i="5"/>
  <c r="I23" i="5"/>
  <c r="E24" i="5"/>
  <c r="I24" i="5"/>
  <c r="E25" i="5"/>
  <c r="I25" i="5"/>
  <c r="E26" i="5"/>
  <c r="I26" i="5"/>
  <c r="B28" i="5"/>
  <c r="F28" i="5"/>
  <c r="B2" i="6"/>
  <c r="E2" i="6"/>
  <c r="I2" i="6"/>
  <c r="J2" i="6"/>
  <c r="E3" i="6"/>
  <c r="I3" i="6"/>
  <c r="J3" i="6"/>
  <c r="E4" i="6"/>
  <c r="I4" i="6"/>
  <c r="J4" i="6"/>
  <c r="E5" i="6"/>
  <c r="I5" i="6"/>
  <c r="E6" i="6"/>
  <c r="I6" i="6"/>
  <c r="B7" i="6"/>
  <c r="E7" i="6"/>
  <c r="F7" i="6"/>
  <c r="I7" i="6"/>
  <c r="J7" i="6"/>
  <c r="E8" i="6"/>
  <c r="I8" i="6"/>
  <c r="B9" i="6"/>
  <c r="E9" i="6"/>
  <c r="I9" i="6"/>
  <c r="J9" i="6"/>
  <c r="B10" i="6"/>
  <c r="E10" i="6"/>
  <c r="I10" i="6"/>
  <c r="J10" i="6"/>
  <c r="E11" i="6"/>
  <c r="F11" i="6"/>
  <c r="I11" i="6"/>
  <c r="E12" i="6"/>
  <c r="I12" i="6"/>
  <c r="J12" i="6"/>
  <c r="E13" i="6"/>
  <c r="F13" i="6"/>
  <c r="I13" i="6"/>
  <c r="J13" i="6"/>
  <c r="B14" i="6"/>
  <c r="E14" i="6"/>
  <c r="I14" i="6"/>
  <c r="J14" i="6"/>
  <c r="B15" i="6"/>
  <c r="E15" i="6"/>
  <c r="I15" i="6"/>
  <c r="J15" i="6"/>
  <c r="E16" i="6"/>
  <c r="I16" i="6"/>
  <c r="E17" i="6"/>
  <c r="I17" i="6"/>
  <c r="J17" i="6"/>
  <c r="E18" i="6"/>
  <c r="F18" i="6"/>
  <c r="I18" i="6"/>
  <c r="E19" i="6"/>
  <c r="I19" i="6"/>
  <c r="B20" i="6"/>
  <c r="E20" i="6"/>
  <c r="F20" i="6"/>
  <c r="I20" i="6"/>
  <c r="E21" i="6"/>
  <c r="F21" i="6"/>
  <c r="I21" i="6"/>
  <c r="E22" i="6"/>
  <c r="I22" i="6"/>
  <c r="J22" i="6"/>
  <c r="E23" i="6"/>
  <c r="I23" i="6"/>
  <c r="E24" i="6"/>
  <c r="I24" i="6"/>
  <c r="E25" i="6"/>
  <c r="I25" i="6"/>
  <c r="E26" i="6"/>
  <c r="I26" i="6"/>
  <c r="B28" i="6"/>
  <c r="F28" i="6"/>
  <c r="B2" i="3"/>
  <c r="D2" i="3"/>
  <c r="G2" i="3"/>
  <c r="H2" i="3"/>
  <c r="D3" i="3"/>
  <c r="G3" i="3"/>
  <c r="H3" i="3"/>
  <c r="D4" i="3"/>
  <c r="G4" i="3"/>
  <c r="H4" i="3"/>
  <c r="D5" i="3"/>
  <c r="G5" i="3"/>
  <c r="D6" i="3"/>
  <c r="G6" i="3"/>
  <c r="D7" i="3"/>
  <c r="E7" i="3"/>
  <c r="G7" i="3"/>
  <c r="H7" i="3"/>
  <c r="D8" i="3"/>
  <c r="G8" i="3"/>
  <c r="B9" i="3"/>
  <c r="D9" i="3"/>
  <c r="G9" i="3"/>
  <c r="H9" i="3"/>
  <c r="B10" i="3"/>
  <c r="D10" i="3"/>
  <c r="E10" i="3"/>
  <c r="G10" i="3"/>
  <c r="H10" i="3"/>
  <c r="B11" i="3"/>
  <c r="D11" i="3"/>
  <c r="E11" i="3"/>
  <c r="G11" i="3"/>
  <c r="D12" i="3"/>
  <c r="G12" i="3"/>
  <c r="H12" i="3"/>
  <c r="D13" i="3"/>
  <c r="E13" i="3"/>
  <c r="G13" i="3"/>
  <c r="H13" i="3"/>
  <c r="D14" i="3"/>
  <c r="G14" i="3"/>
  <c r="H14" i="3"/>
  <c r="B15" i="3"/>
  <c r="D15" i="3"/>
  <c r="G15" i="3"/>
  <c r="H15" i="3"/>
  <c r="D16" i="3"/>
  <c r="G16" i="3"/>
  <c r="D17" i="3"/>
  <c r="G17" i="3"/>
  <c r="H17" i="3"/>
  <c r="D18" i="3"/>
  <c r="G18" i="3"/>
  <c r="D19" i="3"/>
  <c r="G19" i="3"/>
  <c r="B20" i="3"/>
  <c r="D20" i="3"/>
  <c r="E20" i="3"/>
  <c r="G20" i="3"/>
  <c r="D21" i="3"/>
  <c r="G21" i="3"/>
  <c r="D22" i="3"/>
  <c r="E22" i="3"/>
  <c r="G22" i="3"/>
  <c r="H22" i="3"/>
  <c r="D23" i="3"/>
  <c r="G23" i="3"/>
  <c r="D24" i="3"/>
  <c r="G24" i="3"/>
  <c r="D25" i="3"/>
  <c r="G25" i="3"/>
  <c r="D26" i="3"/>
  <c r="G26" i="3"/>
  <c r="B28" i="3"/>
  <c r="E28" i="3"/>
  <c r="B2" i="4"/>
  <c r="E2" i="4"/>
  <c r="I2" i="4"/>
  <c r="J2" i="4"/>
  <c r="B3" i="4"/>
  <c r="E3" i="4"/>
  <c r="I3" i="4"/>
  <c r="J3" i="4"/>
  <c r="E4" i="4"/>
  <c r="I4" i="4"/>
  <c r="J4" i="4"/>
  <c r="E5" i="4"/>
  <c r="I5" i="4"/>
  <c r="E6" i="4"/>
  <c r="I6" i="4"/>
  <c r="E7" i="4"/>
  <c r="F7" i="4"/>
  <c r="I7" i="4"/>
  <c r="J7" i="4"/>
  <c r="E8" i="4"/>
  <c r="I8" i="4"/>
  <c r="B9" i="4"/>
  <c r="E9" i="4"/>
  <c r="F9" i="4"/>
  <c r="I9" i="4"/>
  <c r="J9" i="4"/>
  <c r="B10" i="4"/>
  <c r="E10" i="4"/>
  <c r="F10" i="4"/>
  <c r="I10" i="4"/>
  <c r="J10" i="4"/>
  <c r="B11" i="4"/>
  <c r="E11" i="4"/>
  <c r="F11" i="4"/>
  <c r="I11" i="4"/>
  <c r="E12" i="4"/>
  <c r="I12" i="4"/>
  <c r="J12" i="4"/>
  <c r="E13" i="4"/>
  <c r="F13" i="4"/>
  <c r="I13" i="4"/>
  <c r="J13" i="4"/>
  <c r="B14" i="4"/>
  <c r="E14" i="4"/>
  <c r="I14" i="4"/>
  <c r="J14" i="4"/>
  <c r="B15" i="4"/>
  <c r="E15" i="4"/>
  <c r="I15" i="4"/>
  <c r="J15" i="4"/>
  <c r="E16" i="4"/>
  <c r="I16" i="4"/>
  <c r="E17" i="4"/>
  <c r="I17" i="4"/>
  <c r="J17" i="4"/>
  <c r="E18" i="4"/>
  <c r="I18" i="4"/>
  <c r="E19" i="4"/>
  <c r="I19" i="4"/>
  <c r="B20" i="4"/>
  <c r="E20" i="4"/>
  <c r="F20" i="4"/>
  <c r="I20" i="4"/>
  <c r="E21" i="4"/>
  <c r="I21" i="4"/>
  <c r="E22" i="4"/>
  <c r="F22" i="4"/>
  <c r="I22" i="4"/>
  <c r="J22" i="4"/>
  <c r="E23" i="4"/>
  <c r="I23" i="4"/>
  <c r="E24" i="4"/>
  <c r="I24" i="4"/>
  <c r="E25" i="4"/>
  <c r="I25" i="4"/>
  <c r="E26" i="4"/>
  <c r="I26" i="4"/>
  <c r="B28" i="4"/>
  <c r="F28" i="4"/>
  <c r="B2" i="11"/>
  <c r="E2" i="11"/>
  <c r="I2" i="11"/>
  <c r="J2" i="11"/>
  <c r="E3" i="11"/>
  <c r="I3" i="11"/>
  <c r="J3" i="11"/>
  <c r="E4" i="11"/>
  <c r="I4" i="11"/>
  <c r="J4" i="11"/>
  <c r="E5" i="11"/>
  <c r="I5" i="11"/>
  <c r="J5" i="11"/>
  <c r="E6" i="11"/>
  <c r="I6" i="11"/>
  <c r="J6" i="11"/>
  <c r="E7" i="11"/>
  <c r="I7" i="11"/>
  <c r="J7" i="11"/>
  <c r="E8" i="11"/>
  <c r="I8" i="11"/>
  <c r="J8" i="11"/>
  <c r="B9" i="11"/>
  <c r="E9" i="11"/>
  <c r="I9" i="11"/>
  <c r="J9" i="11"/>
  <c r="E10" i="11"/>
  <c r="I10" i="11"/>
  <c r="J10" i="11"/>
  <c r="E11" i="11"/>
  <c r="F11" i="11"/>
  <c r="I11" i="11"/>
  <c r="E12" i="11"/>
  <c r="I12" i="11"/>
  <c r="J12" i="11"/>
  <c r="E13" i="11"/>
  <c r="F13" i="11"/>
  <c r="I13" i="11"/>
  <c r="J13" i="11"/>
  <c r="B14" i="11"/>
  <c r="E14" i="11"/>
  <c r="I14" i="11"/>
  <c r="J14" i="11"/>
  <c r="E15" i="11"/>
  <c r="I15" i="11"/>
  <c r="J15" i="11"/>
  <c r="E16" i="11"/>
  <c r="I16" i="11"/>
  <c r="J16" i="11"/>
  <c r="E17" i="11"/>
  <c r="I17" i="11"/>
  <c r="J17" i="11"/>
  <c r="E18" i="11"/>
  <c r="I18" i="11"/>
  <c r="E19" i="11"/>
  <c r="I19" i="11"/>
  <c r="J19" i="11"/>
  <c r="E20" i="11"/>
  <c r="F20" i="11"/>
  <c r="I20" i="11"/>
  <c r="J20" i="11"/>
  <c r="E21" i="11"/>
  <c r="I21" i="11"/>
  <c r="J21" i="11"/>
  <c r="E22" i="11"/>
  <c r="F22" i="11"/>
  <c r="I22" i="11"/>
  <c r="J22" i="11"/>
  <c r="E23" i="11"/>
  <c r="I23" i="11"/>
  <c r="J23" i="11"/>
  <c r="E24" i="11"/>
  <c r="I24" i="11"/>
  <c r="J24" i="11"/>
  <c r="E25" i="11"/>
  <c r="I25" i="11"/>
  <c r="E26" i="11"/>
  <c r="I26" i="11"/>
  <c r="B28" i="11"/>
  <c r="E28" i="11"/>
  <c r="F28" i="11"/>
  <c r="I28" i="11"/>
  <c r="B2" i="10"/>
  <c r="E2" i="10"/>
  <c r="I2" i="10"/>
  <c r="J2" i="10"/>
  <c r="E3" i="10"/>
  <c r="I3" i="10"/>
  <c r="J3" i="10"/>
  <c r="E4" i="10"/>
  <c r="I4" i="10"/>
  <c r="J4" i="10"/>
  <c r="E5" i="10"/>
  <c r="I5" i="10"/>
  <c r="J5" i="10"/>
  <c r="E6" i="10"/>
  <c r="I6" i="10"/>
  <c r="J6" i="10"/>
  <c r="E7" i="10"/>
  <c r="I7" i="10"/>
  <c r="J7" i="10"/>
  <c r="E8" i="10"/>
  <c r="I8" i="10"/>
  <c r="J8" i="10"/>
  <c r="B9" i="10"/>
  <c r="E9" i="10"/>
  <c r="I9" i="10"/>
  <c r="J9" i="10"/>
  <c r="E10" i="10"/>
  <c r="I10" i="10"/>
  <c r="J10" i="10"/>
  <c r="E11" i="10"/>
  <c r="I11" i="10"/>
  <c r="E12" i="10"/>
  <c r="I12" i="10"/>
  <c r="J12" i="10"/>
  <c r="E13" i="10"/>
  <c r="F13" i="10"/>
  <c r="I13" i="10"/>
  <c r="J13" i="10"/>
  <c r="B14" i="10"/>
  <c r="E14" i="10"/>
  <c r="I14" i="10"/>
  <c r="J14" i="10"/>
  <c r="B15" i="10"/>
  <c r="E15" i="10"/>
  <c r="I15" i="10"/>
  <c r="J15" i="10"/>
  <c r="E16" i="10"/>
  <c r="I16" i="10"/>
  <c r="J16" i="10"/>
  <c r="E17" i="10"/>
  <c r="I17" i="10"/>
  <c r="J17" i="10"/>
  <c r="E18" i="10"/>
  <c r="I18" i="10"/>
  <c r="E19" i="10"/>
  <c r="F19" i="10"/>
  <c r="I19" i="10"/>
  <c r="J19" i="10"/>
  <c r="E20" i="10"/>
  <c r="F20" i="10"/>
  <c r="I20" i="10"/>
  <c r="J20" i="10"/>
  <c r="E21" i="10"/>
  <c r="I21" i="10"/>
  <c r="J21" i="10"/>
  <c r="E22" i="10"/>
  <c r="F22" i="10"/>
  <c r="I22" i="10"/>
  <c r="J22" i="10"/>
  <c r="E23" i="10"/>
  <c r="I23" i="10"/>
  <c r="J23" i="10"/>
  <c r="E24" i="10"/>
  <c r="I24" i="10"/>
  <c r="J24" i="10"/>
  <c r="E25" i="10"/>
  <c r="I25" i="10"/>
  <c r="E26" i="10"/>
  <c r="I26" i="10"/>
  <c r="B28" i="10"/>
  <c r="E28" i="10"/>
  <c r="F28" i="10"/>
  <c r="I28" i="10"/>
  <c r="C2" i="7"/>
  <c r="E2" i="7"/>
  <c r="F2" i="7"/>
  <c r="G2" i="7"/>
  <c r="I2" i="7"/>
  <c r="J2" i="7"/>
  <c r="C3" i="7"/>
  <c r="E3" i="7"/>
  <c r="I3" i="7"/>
  <c r="J3" i="7"/>
  <c r="C4" i="7"/>
  <c r="E4" i="7"/>
  <c r="I4" i="7"/>
  <c r="J4" i="7"/>
  <c r="C5" i="7"/>
  <c r="E5" i="7"/>
  <c r="I5" i="7"/>
  <c r="J5" i="7"/>
  <c r="E6" i="7"/>
  <c r="I6" i="7"/>
  <c r="J6" i="7"/>
  <c r="B7" i="7"/>
  <c r="C7" i="7"/>
  <c r="E7" i="7"/>
  <c r="I7" i="7"/>
  <c r="J7" i="7"/>
  <c r="E8" i="7"/>
  <c r="I8" i="7"/>
  <c r="J8" i="7"/>
  <c r="B9" i="7"/>
  <c r="C9" i="7"/>
  <c r="E9" i="7"/>
  <c r="I9" i="7"/>
  <c r="J9" i="7"/>
  <c r="C10" i="7"/>
  <c r="E10" i="7"/>
  <c r="I10" i="7"/>
  <c r="J10" i="7"/>
  <c r="C11" i="7"/>
  <c r="E11" i="7"/>
  <c r="I11" i="7"/>
  <c r="C12" i="7"/>
  <c r="E12" i="7"/>
  <c r="I12" i="7"/>
  <c r="J12" i="7"/>
  <c r="C13" i="7"/>
  <c r="E13" i="7"/>
  <c r="G13" i="7"/>
  <c r="I13" i="7"/>
  <c r="J13" i="7"/>
  <c r="C14" i="7"/>
  <c r="E14" i="7"/>
  <c r="I14" i="7"/>
  <c r="J14" i="7"/>
  <c r="C15" i="7"/>
  <c r="E15" i="7"/>
  <c r="I15" i="7"/>
  <c r="J15" i="7"/>
  <c r="C16" i="7"/>
  <c r="E16" i="7"/>
  <c r="I16" i="7"/>
  <c r="J16" i="7"/>
  <c r="E17" i="7"/>
  <c r="I17" i="7"/>
  <c r="J17" i="7"/>
  <c r="C18" i="7"/>
  <c r="E18" i="7"/>
  <c r="I18" i="7"/>
  <c r="E19" i="7"/>
  <c r="I19" i="7"/>
  <c r="J19" i="7"/>
  <c r="C20" i="7"/>
  <c r="E20" i="7"/>
  <c r="I20" i="7"/>
  <c r="J20" i="7"/>
  <c r="C21" i="7"/>
  <c r="E21" i="7"/>
  <c r="I21" i="7"/>
  <c r="J21" i="7"/>
  <c r="C22" i="7"/>
  <c r="E22" i="7"/>
  <c r="I22" i="7"/>
  <c r="J22" i="7"/>
  <c r="C23" i="7"/>
  <c r="E23" i="7"/>
  <c r="G23" i="7"/>
  <c r="I23" i="7"/>
  <c r="J23" i="7"/>
  <c r="C24" i="7"/>
  <c r="E24" i="7"/>
  <c r="I24" i="7"/>
  <c r="J24" i="7"/>
  <c r="E25" i="7"/>
  <c r="I25" i="7"/>
  <c r="E26" i="7"/>
  <c r="I26" i="7"/>
  <c r="B28" i="7"/>
  <c r="E28" i="7"/>
  <c r="F28" i="7"/>
  <c r="I28" i="7"/>
  <c r="E2" i="9"/>
  <c r="I2" i="9"/>
  <c r="J2" i="9"/>
  <c r="E3" i="9"/>
  <c r="I3" i="9"/>
  <c r="J3" i="9"/>
  <c r="E4" i="9"/>
  <c r="I4" i="9"/>
  <c r="J4" i="9"/>
  <c r="E5" i="9"/>
  <c r="I5" i="9"/>
  <c r="J5" i="9"/>
  <c r="E6" i="9"/>
  <c r="I6" i="9"/>
  <c r="J6" i="9"/>
  <c r="E7" i="9"/>
  <c r="I7" i="9"/>
  <c r="J7" i="9"/>
  <c r="E8" i="9"/>
  <c r="I8" i="9"/>
  <c r="J8" i="9"/>
  <c r="E9" i="9"/>
  <c r="I9" i="9"/>
  <c r="J9" i="9"/>
  <c r="E10" i="9"/>
  <c r="I10" i="9"/>
  <c r="J10" i="9"/>
  <c r="E11" i="9"/>
  <c r="I11" i="9"/>
  <c r="E12" i="9"/>
  <c r="I12" i="9"/>
  <c r="J12" i="9"/>
  <c r="E13" i="9"/>
  <c r="I13" i="9"/>
  <c r="J13" i="9"/>
  <c r="E14" i="9"/>
  <c r="I14" i="9"/>
  <c r="J14" i="9"/>
  <c r="E15" i="9"/>
  <c r="I15" i="9"/>
  <c r="J15" i="9"/>
  <c r="E16" i="9"/>
  <c r="I16" i="9"/>
  <c r="J16" i="9"/>
  <c r="E17" i="9"/>
  <c r="I17" i="9"/>
  <c r="J17" i="9"/>
  <c r="E18" i="9"/>
  <c r="I18" i="9"/>
  <c r="E19" i="9"/>
  <c r="I19" i="9"/>
  <c r="J19" i="9"/>
  <c r="E20" i="9"/>
  <c r="I20" i="9"/>
  <c r="J20" i="9"/>
  <c r="E21" i="9"/>
  <c r="I21" i="9"/>
  <c r="J21" i="9"/>
  <c r="E22" i="9"/>
  <c r="I22" i="9"/>
  <c r="J22" i="9"/>
  <c r="E23" i="9"/>
  <c r="I23" i="9"/>
  <c r="J23" i="9"/>
  <c r="E24" i="9"/>
  <c r="I24" i="9"/>
  <c r="J24" i="9"/>
  <c r="E25" i="9"/>
  <c r="I25" i="9"/>
  <c r="E26" i="9"/>
  <c r="I26" i="9"/>
  <c r="B28" i="9"/>
  <c r="E28" i="9"/>
  <c r="F28" i="9"/>
  <c r="I28" i="9"/>
</calcChain>
</file>

<file path=xl/sharedStrings.xml><?xml version="1.0" encoding="utf-8"?>
<sst xmlns="http://schemas.openxmlformats.org/spreadsheetml/2006/main" count="435" uniqueCount="39">
  <si>
    <t>Locations</t>
  </si>
  <si>
    <t xml:space="preserve">HPL 1 - Thompsonville </t>
  </si>
  <si>
    <t xml:space="preserve">HPL 14 - South TX </t>
  </si>
  <si>
    <t xml:space="preserve">HPL 18 - Three Rivers </t>
  </si>
  <si>
    <t xml:space="preserve">HPL 21 - Big Cowboy </t>
  </si>
  <si>
    <t xml:space="preserve">HPL 22 - Nueces </t>
  </si>
  <si>
    <t xml:space="preserve">HPL 2 - Robstown </t>
  </si>
  <si>
    <t xml:space="preserve">HPL 19 - King Ranch </t>
  </si>
  <si>
    <t xml:space="preserve">HPL 3 - A/S South </t>
  </si>
  <si>
    <t xml:space="preserve">HPL 4 - A/S Central </t>
  </si>
  <si>
    <t xml:space="preserve">HPL 5 - Edna </t>
  </si>
  <si>
    <t xml:space="preserve">HPL 6 - Texas City </t>
  </si>
  <si>
    <t xml:space="preserve">HPL 10 - Ship Channel </t>
  </si>
  <si>
    <t xml:space="preserve">HPL 15 - Katy </t>
  </si>
  <si>
    <t xml:space="preserve">HPL 16 - West Loop </t>
  </si>
  <si>
    <t xml:space="preserve">HPL 17 - East Loop </t>
  </si>
  <si>
    <t xml:space="preserve">HPL 13 - Mid Texas </t>
  </si>
  <si>
    <t xml:space="preserve">HPL 23 - Bammel </t>
  </si>
  <si>
    <t xml:space="preserve">HPL 7 - A/S East </t>
  </si>
  <si>
    <t xml:space="preserve">HPL 8 - East Texas </t>
  </si>
  <si>
    <t xml:space="preserve">HPL 9 - Freeport </t>
  </si>
  <si>
    <t xml:space="preserve">HPL 11 - Corpus </t>
  </si>
  <si>
    <t xml:space="preserve">HPL 12 - Valley </t>
  </si>
  <si>
    <t xml:space="preserve">HPL 20 - Hardin </t>
  </si>
  <si>
    <t xml:space="preserve">HPL 24 - Gas Loss </t>
  </si>
  <si>
    <t xml:space="preserve">HPL OffSystem </t>
  </si>
  <si>
    <t>Buy</t>
  </si>
  <si>
    <t>Sell</t>
  </si>
  <si>
    <t>Transport Receipts</t>
  </si>
  <si>
    <t>Transport Deliveries</t>
  </si>
  <si>
    <t>Net Throughput</t>
  </si>
  <si>
    <t>Transport
Usage</t>
  </si>
  <si>
    <t>Net
Supply</t>
  </si>
  <si>
    <t>Net
Market</t>
  </si>
  <si>
    <t>Need to find out for Dynegy - guessed all at zone 8 (Texoma)</t>
  </si>
  <si>
    <t>Transport Usage</t>
  </si>
  <si>
    <t>Amoco - add</t>
  </si>
  <si>
    <t>Transport Thruput</t>
  </si>
  <si>
    <t>Net Supply and Market include transportation throughput.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</si>
</sst>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color indexed="8"/>
      <name val="MS Sans Serif"/>
      <family val="2"/>
    </font>
    <font>
      <sz val="8"/>
      <color indexed="8"/>
      <name val="Courier New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top"/>
    </xf>
    <xf numFmtId="3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center" vertical="center" wrapText="1"/>
    </xf>
    <xf numFmtId="3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3" fontId="2" fillId="0" borderId="5" xfId="0" applyNumberFormat="1" applyFont="1" applyBorder="1" applyAlignment="1">
      <alignment horizontal="right" vertical="top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3" fontId="0" fillId="0" borderId="7" xfId="0" applyNumberFormat="1" applyBorder="1"/>
    <xf numFmtId="0" fontId="0" fillId="0" borderId="7" xfId="0" applyBorder="1"/>
    <xf numFmtId="0" fontId="0" fillId="0" borderId="8" xfId="0" applyBorder="1"/>
    <xf numFmtId="3" fontId="2" fillId="0" borderId="9" xfId="0" applyNumberFormat="1" applyFont="1" applyBorder="1" applyAlignment="1">
      <alignment horizontal="right" vertical="top"/>
    </xf>
    <xf numFmtId="0" fontId="2" fillId="0" borderId="9" xfId="0" applyFont="1" applyBorder="1" applyAlignment="1">
      <alignment horizontal="right" vertical="top"/>
    </xf>
    <xf numFmtId="3" fontId="2" fillId="0" borderId="10" xfId="0" applyNumberFormat="1" applyFont="1" applyBorder="1" applyAlignment="1">
      <alignment horizontal="right" vertical="top"/>
    </xf>
    <xf numFmtId="3" fontId="2" fillId="0" borderId="4" xfId="0" applyNumberFormat="1" applyFont="1" applyBorder="1" applyAlignment="1">
      <alignment horizontal="right" vertical="top"/>
    </xf>
    <xf numFmtId="0" fontId="2" fillId="0" borderId="5" xfId="0" applyFont="1" applyBorder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3" fontId="2" fillId="0" borderId="11" xfId="0" applyNumberFormat="1" applyFont="1" applyBorder="1" applyAlignment="1">
      <alignment horizontal="right" vertical="top"/>
    </xf>
    <xf numFmtId="3" fontId="0" fillId="0" borderId="6" xfId="0" applyNumberFormat="1" applyBorder="1"/>
    <xf numFmtId="0" fontId="1" fillId="0" borderId="11" xfId="0" applyFont="1" applyBorder="1" applyAlignment="1">
      <alignment horizontal="center" vertical="center"/>
    </xf>
    <xf numFmtId="3" fontId="2" fillId="0" borderId="12" xfId="0" applyNumberFormat="1" applyFont="1" applyBorder="1" applyAlignment="1">
      <alignment horizontal="right" vertical="top"/>
    </xf>
    <xf numFmtId="3" fontId="2" fillId="0" borderId="13" xfId="0" applyNumberFormat="1" applyFont="1" applyBorder="1" applyAlignment="1">
      <alignment horizontal="right" vertical="top"/>
    </xf>
    <xf numFmtId="0" fontId="1" fillId="0" borderId="14" xfId="0" applyFont="1" applyBorder="1" applyAlignment="1">
      <alignment horizontal="center" vertical="center" wrapText="1"/>
    </xf>
    <xf numFmtId="3" fontId="0" fillId="0" borderId="8" xfId="0" applyNumberFormat="1" applyBorder="1"/>
    <xf numFmtId="0" fontId="2" fillId="0" borderId="15" xfId="0" applyFont="1" applyBorder="1" applyAlignment="1">
      <alignment horizontal="right" vertical="top"/>
    </xf>
    <xf numFmtId="3" fontId="2" fillId="0" borderId="15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2.75" x14ac:dyDescent="0.2"/>
  <cols>
    <col min="1" max="1" width="16.85546875" bestFit="1" customWidth="1"/>
    <col min="2" max="3" width="8" bestFit="1" customWidth="1"/>
    <col min="4" max="4" width="7.85546875" bestFit="1" customWidth="1"/>
    <col min="5" max="5" width="8" bestFit="1" customWidth="1"/>
    <col min="6" max="6" width="7.5703125" bestFit="1" customWidth="1"/>
    <col min="8" max="8" width="7.85546875" bestFit="1" customWidth="1"/>
    <col min="9" max="9" width="8" bestFit="1" customWidth="1"/>
  </cols>
  <sheetData>
    <row r="1" spans="1:10" ht="21" x14ac:dyDescent="0.2">
      <c r="A1" s="1" t="s">
        <v>0</v>
      </c>
      <c r="B1" s="4" t="s">
        <v>28</v>
      </c>
      <c r="C1" s="1" t="s">
        <v>26</v>
      </c>
      <c r="D1" s="4" t="s">
        <v>31</v>
      </c>
      <c r="E1" s="4" t="s">
        <v>32</v>
      </c>
      <c r="F1" s="4" t="s">
        <v>29</v>
      </c>
      <c r="G1" s="1" t="s">
        <v>27</v>
      </c>
      <c r="H1" s="4" t="s">
        <v>31</v>
      </c>
      <c r="I1" s="4" t="s">
        <v>33</v>
      </c>
      <c r="J1" s="4" t="s">
        <v>30</v>
      </c>
    </row>
    <row r="2" spans="1:10" x14ac:dyDescent="0.2">
      <c r="A2" s="1" t="s">
        <v>1</v>
      </c>
      <c r="B2" s="3">
        <f>+(8480+8300+3500+15180)/30+15000+25000+15000</f>
        <v>56182</v>
      </c>
      <c r="C2" s="3">
        <v>150985</v>
      </c>
      <c r="D2" s="3">
        <v>2309</v>
      </c>
      <c r="E2" s="3">
        <f>+B2+C2+D2</f>
        <v>209476</v>
      </c>
      <c r="F2" s="3">
        <f>40590/30</f>
        <v>1353</v>
      </c>
      <c r="G2" s="3">
        <v>18001</v>
      </c>
      <c r="H2" s="2"/>
      <c r="I2" s="3">
        <f>+F2+G2+H2</f>
        <v>19354</v>
      </c>
      <c r="J2" s="3">
        <f>+E2</f>
        <v>209476</v>
      </c>
    </row>
    <row r="3" spans="1:10" x14ac:dyDescent="0.2">
      <c r="A3" s="1" t="s">
        <v>2</v>
      </c>
      <c r="B3" s="3"/>
      <c r="C3" s="3">
        <v>33094</v>
      </c>
      <c r="D3" s="2"/>
      <c r="E3" s="3">
        <f t="shared" ref="E3:E26" si="0">+B3+C3+D3</f>
        <v>33094</v>
      </c>
      <c r="F3" s="3">
        <v>125</v>
      </c>
      <c r="G3" s="3">
        <v>14804</v>
      </c>
      <c r="H3" s="2"/>
      <c r="I3" s="3">
        <f t="shared" ref="I3:I26" si="1">+F3+G3+H3</f>
        <v>14929</v>
      </c>
      <c r="J3" s="3">
        <f>+E3</f>
        <v>33094</v>
      </c>
    </row>
    <row r="4" spans="1:10" x14ac:dyDescent="0.2">
      <c r="A4" s="1" t="s">
        <v>3</v>
      </c>
      <c r="B4" s="3">
        <v>171</v>
      </c>
      <c r="C4" s="3">
        <v>21616</v>
      </c>
      <c r="D4" s="2"/>
      <c r="E4" s="3">
        <f t="shared" si="0"/>
        <v>21787</v>
      </c>
      <c r="F4" s="3"/>
      <c r="G4" s="3">
        <v>4028</v>
      </c>
      <c r="H4" s="3">
        <v>23700</v>
      </c>
      <c r="I4" s="3">
        <f t="shared" si="1"/>
        <v>27728</v>
      </c>
      <c r="J4" s="3">
        <f>+E4</f>
        <v>21787</v>
      </c>
    </row>
    <row r="5" spans="1:10" x14ac:dyDescent="0.2">
      <c r="A5" s="1" t="s">
        <v>4</v>
      </c>
      <c r="B5" s="3"/>
      <c r="C5" s="3">
        <v>29922</v>
      </c>
      <c r="D5" s="2"/>
      <c r="E5" s="3">
        <f t="shared" si="0"/>
        <v>29922</v>
      </c>
      <c r="F5" s="3"/>
      <c r="G5" s="2">
        <v>1</v>
      </c>
      <c r="H5" s="3">
        <v>38826</v>
      </c>
      <c r="I5" s="3">
        <f t="shared" si="1"/>
        <v>38827</v>
      </c>
      <c r="J5" s="3"/>
    </row>
    <row r="6" spans="1:10" x14ac:dyDescent="0.2">
      <c r="A6" s="1" t="s">
        <v>5</v>
      </c>
      <c r="B6" s="3"/>
      <c r="C6" s="3">
        <v>5900</v>
      </c>
      <c r="D6" s="2"/>
      <c r="E6" s="3">
        <f t="shared" si="0"/>
        <v>5900</v>
      </c>
      <c r="F6" s="3"/>
      <c r="G6" s="2">
        <v>1</v>
      </c>
      <c r="H6" s="2">
        <v>50</v>
      </c>
      <c r="I6" s="3">
        <f t="shared" si="1"/>
        <v>51</v>
      </c>
      <c r="J6" s="3"/>
    </row>
    <row r="7" spans="1:10" x14ac:dyDescent="0.2">
      <c r="A7" s="1" t="s">
        <v>6</v>
      </c>
      <c r="B7" s="3">
        <v>300</v>
      </c>
      <c r="C7" s="3">
        <v>39440</v>
      </c>
      <c r="D7" s="3">
        <v>85264</v>
      </c>
      <c r="E7" s="3">
        <f t="shared" si="0"/>
        <v>125004</v>
      </c>
      <c r="F7" s="3">
        <f>+(275100+24900)/30</f>
        <v>10000</v>
      </c>
      <c r="G7" s="2">
        <v>563</v>
      </c>
      <c r="H7" s="2"/>
      <c r="I7" s="3">
        <f t="shared" si="1"/>
        <v>10563</v>
      </c>
      <c r="J7" s="3">
        <f>+E7</f>
        <v>125004</v>
      </c>
    </row>
    <row r="8" spans="1:10" x14ac:dyDescent="0.2">
      <c r="A8" s="1" t="s">
        <v>7</v>
      </c>
      <c r="B8" s="3">
        <f>36267/30</f>
        <v>1208.9000000000001</v>
      </c>
      <c r="C8" s="3">
        <v>51525</v>
      </c>
      <c r="D8" s="2"/>
      <c r="E8" s="3">
        <f t="shared" si="0"/>
        <v>52733.9</v>
      </c>
      <c r="F8" s="3"/>
      <c r="G8" s="3">
        <v>1501</v>
      </c>
      <c r="H8" s="3">
        <v>18988</v>
      </c>
      <c r="I8" s="3">
        <f t="shared" si="1"/>
        <v>20489</v>
      </c>
      <c r="J8" s="3"/>
    </row>
    <row r="9" spans="1:10" x14ac:dyDescent="0.2">
      <c r="A9" s="1" t="s">
        <v>8</v>
      </c>
      <c r="B9" s="3">
        <f>+(125370+556400+43500+12900+600000+806346+27880+6863+743714)/30+15000</f>
        <v>112432.43333333333</v>
      </c>
      <c r="C9" s="3">
        <v>94153</v>
      </c>
      <c r="D9" s="2"/>
      <c r="E9" s="3">
        <f t="shared" si="0"/>
        <v>206585.43333333335</v>
      </c>
      <c r="F9" s="3">
        <f>+(960277+32766)/30</f>
        <v>33101.433333333334</v>
      </c>
      <c r="G9" s="3">
        <v>20351</v>
      </c>
      <c r="H9" s="2">
        <v>140</v>
      </c>
      <c r="I9" s="3">
        <f t="shared" si="1"/>
        <v>53592.433333333334</v>
      </c>
      <c r="J9" s="3">
        <f>+E9</f>
        <v>206585.43333333335</v>
      </c>
    </row>
    <row r="10" spans="1:10" x14ac:dyDescent="0.2">
      <c r="A10" s="1" t="s">
        <v>9</v>
      </c>
      <c r="B10" s="3">
        <f>1228173/30+9000</f>
        <v>49939.1</v>
      </c>
      <c r="C10" s="3">
        <v>30413</v>
      </c>
      <c r="D10" s="2"/>
      <c r="E10" s="3">
        <f t="shared" si="0"/>
        <v>80352.100000000006</v>
      </c>
      <c r="F10" s="3">
        <f>333.333333333333+15000</f>
        <v>15333.333333333332</v>
      </c>
      <c r="G10" s="3">
        <v>177790</v>
      </c>
      <c r="H10" s="2"/>
      <c r="I10" s="3">
        <f t="shared" si="1"/>
        <v>193123.33333333334</v>
      </c>
      <c r="J10" s="3">
        <f>-I10</f>
        <v>-193123.33333333334</v>
      </c>
    </row>
    <row r="11" spans="1:10" x14ac:dyDescent="0.2">
      <c r="A11" s="1" t="s">
        <v>10</v>
      </c>
      <c r="B11" s="3">
        <f>+(15000+360000)/30</f>
        <v>12500</v>
      </c>
      <c r="C11" s="3">
        <v>171023</v>
      </c>
      <c r="D11" s="2">
        <v>50</v>
      </c>
      <c r="E11" s="3">
        <f t="shared" si="0"/>
        <v>183573</v>
      </c>
      <c r="F11" s="3">
        <f>+(270000+30000+375000)/30+10000</f>
        <v>32500</v>
      </c>
      <c r="G11" s="3">
        <v>59635</v>
      </c>
      <c r="H11" s="2">
        <v>60</v>
      </c>
      <c r="I11" s="3">
        <f t="shared" si="1"/>
        <v>92195</v>
      </c>
      <c r="J11" s="3"/>
    </row>
    <row r="12" spans="1:10" x14ac:dyDescent="0.2">
      <c r="A12" s="1" t="s">
        <v>11</v>
      </c>
      <c r="B12" s="3"/>
      <c r="C12" s="3">
        <v>15378</v>
      </c>
      <c r="D12" s="2"/>
      <c r="E12" s="3">
        <f t="shared" si="0"/>
        <v>15378</v>
      </c>
      <c r="F12" s="3"/>
      <c r="G12" s="3">
        <v>158071</v>
      </c>
      <c r="H12" s="2"/>
      <c r="I12" s="3">
        <f t="shared" si="1"/>
        <v>158071</v>
      </c>
      <c r="J12" s="3">
        <f>-I12</f>
        <v>-158071</v>
      </c>
    </row>
    <row r="13" spans="1:10" x14ac:dyDescent="0.2">
      <c r="A13" s="1" t="s">
        <v>12</v>
      </c>
      <c r="B13" s="3"/>
      <c r="C13" s="3">
        <v>22452</v>
      </c>
      <c r="D13" s="2"/>
      <c r="E13" s="3">
        <f t="shared" si="0"/>
        <v>22452</v>
      </c>
      <c r="F13" s="3">
        <v>18000</v>
      </c>
      <c r="G13" s="3">
        <v>382897</v>
      </c>
      <c r="H13" s="2"/>
      <c r="I13" s="3">
        <f t="shared" si="1"/>
        <v>400897</v>
      </c>
      <c r="J13" s="3">
        <f>-I13</f>
        <v>-400897</v>
      </c>
    </row>
    <row r="14" spans="1:10" x14ac:dyDescent="0.2">
      <c r="A14" s="1" t="s">
        <v>13</v>
      </c>
      <c r="B14" s="3">
        <f>+(25000+19350)/30+10000</f>
        <v>11478.333333333334</v>
      </c>
      <c r="C14" s="3">
        <v>109451</v>
      </c>
      <c r="D14" s="2">
        <v>959</v>
      </c>
      <c r="E14" s="3">
        <f t="shared" si="0"/>
        <v>121888.33333333333</v>
      </c>
      <c r="F14" s="3"/>
      <c r="G14" s="3">
        <v>59452</v>
      </c>
      <c r="H14" s="2"/>
      <c r="I14" s="3">
        <f t="shared" si="1"/>
        <v>59452</v>
      </c>
      <c r="J14" s="3">
        <f>+E14</f>
        <v>121888.33333333333</v>
      </c>
    </row>
    <row r="15" spans="1:10" x14ac:dyDescent="0.2">
      <c r="A15" s="1" t="s">
        <v>14</v>
      </c>
      <c r="B15" s="3">
        <f>+(53730+6750)/30+10000</f>
        <v>12016</v>
      </c>
      <c r="C15" s="3">
        <v>83680</v>
      </c>
      <c r="D15" s="3">
        <v>1286</v>
      </c>
      <c r="E15" s="3">
        <f t="shared" si="0"/>
        <v>96982</v>
      </c>
      <c r="F15" s="3"/>
      <c r="G15" s="3">
        <v>49001</v>
      </c>
      <c r="H15" s="2"/>
      <c r="I15" s="3">
        <f t="shared" si="1"/>
        <v>49001</v>
      </c>
      <c r="J15" s="3">
        <f>+E15</f>
        <v>96982</v>
      </c>
    </row>
    <row r="16" spans="1:10" x14ac:dyDescent="0.2">
      <c r="A16" s="1" t="s">
        <v>15</v>
      </c>
      <c r="B16" s="3"/>
      <c r="C16" s="3">
        <v>18907</v>
      </c>
      <c r="D16" s="2"/>
      <c r="E16" s="3">
        <f t="shared" si="0"/>
        <v>18907</v>
      </c>
      <c r="F16" s="3">
        <v>124</v>
      </c>
      <c r="G16" s="3">
        <v>57460</v>
      </c>
      <c r="H16" s="2"/>
      <c r="I16" s="3">
        <f t="shared" si="1"/>
        <v>57584</v>
      </c>
      <c r="J16" s="3"/>
    </row>
    <row r="17" spans="1:10" x14ac:dyDescent="0.2">
      <c r="A17" s="1" t="s">
        <v>16</v>
      </c>
      <c r="B17" s="3"/>
      <c r="C17" s="3">
        <v>1039</v>
      </c>
      <c r="D17" s="2"/>
      <c r="E17" s="3">
        <f t="shared" si="0"/>
        <v>1039</v>
      </c>
      <c r="F17" s="3"/>
      <c r="G17" s="2">
        <v>0</v>
      </c>
      <c r="H17" s="2"/>
      <c r="I17" s="3">
        <f t="shared" si="1"/>
        <v>0</v>
      </c>
      <c r="J17" s="3">
        <f>+E17</f>
        <v>1039</v>
      </c>
    </row>
    <row r="18" spans="1:10" x14ac:dyDescent="0.2">
      <c r="A18" s="1" t="s">
        <v>17</v>
      </c>
      <c r="B18" s="3"/>
      <c r="C18" s="3">
        <v>133665</v>
      </c>
      <c r="D18" s="2"/>
      <c r="E18" s="3">
        <f t="shared" si="0"/>
        <v>133665</v>
      </c>
      <c r="F18" s="3"/>
      <c r="G18" s="3">
        <v>25627</v>
      </c>
      <c r="H18" s="2"/>
      <c r="I18" s="3">
        <f t="shared" si="1"/>
        <v>25627</v>
      </c>
      <c r="J18" s="3"/>
    </row>
    <row r="19" spans="1:10" x14ac:dyDescent="0.2">
      <c r="A19" s="1" t="s">
        <v>18</v>
      </c>
      <c r="B19" s="3"/>
      <c r="C19" s="3">
        <v>3787</v>
      </c>
      <c r="D19" s="2"/>
      <c r="E19" s="3">
        <f t="shared" si="0"/>
        <v>3787</v>
      </c>
      <c r="F19" s="3">
        <f>1302500/30</f>
        <v>43416.666666666664</v>
      </c>
      <c r="G19" s="2">
        <v>50</v>
      </c>
      <c r="H19" s="2"/>
      <c r="I19" s="3">
        <f t="shared" si="1"/>
        <v>43466.666666666664</v>
      </c>
      <c r="J19" s="3"/>
    </row>
    <row r="20" spans="1:10" x14ac:dyDescent="0.2">
      <c r="A20" s="1" t="s">
        <v>19</v>
      </c>
      <c r="B20" s="3">
        <f>+(96000+30+30+3900)/30+12000</f>
        <v>15332</v>
      </c>
      <c r="C20" s="3">
        <v>224675</v>
      </c>
      <c r="D20" s="2"/>
      <c r="E20" s="3">
        <f t="shared" si="0"/>
        <v>240007</v>
      </c>
      <c r="F20" s="3">
        <f>+(600000+2460)/30+12000+10000+9000</f>
        <v>51082</v>
      </c>
      <c r="G20" s="3">
        <v>155121</v>
      </c>
      <c r="H20" s="3">
        <v>6595</v>
      </c>
      <c r="I20" s="3">
        <f t="shared" si="1"/>
        <v>212798</v>
      </c>
      <c r="J20" s="3"/>
    </row>
    <row r="21" spans="1:10" x14ac:dyDescent="0.2">
      <c r="A21" s="1" t="s">
        <v>20</v>
      </c>
      <c r="B21" s="3"/>
      <c r="C21" s="3">
        <v>6550</v>
      </c>
      <c r="D21" s="2"/>
      <c r="E21" s="3">
        <f t="shared" si="0"/>
        <v>6550</v>
      </c>
      <c r="F21" s="3">
        <f>+(5400+7500+6750+19350)/30</f>
        <v>1300</v>
      </c>
      <c r="G21" s="3">
        <v>15351</v>
      </c>
      <c r="H21" s="2">
        <v>0</v>
      </c>
      <c r="I21" s="3">
        <f t="shared" si="1"/>
        <v>16651</v>
      </c>
      <c r="J21" s="3"/>
    </row>
    <row r="22" spans="1:10" x14ac:dyDescent="0.2">
      <c r="A22" s="1" t="s">
        <v>21</v>
      </c>
      <c r="B22" s="3"/>
      <c r="C22" s="3">
        <v>7208</v>
      </c>
      <c r="D22" s="2"/>
      <c r="E22" s="3">
        <f t="shared" si="0"/>
        <v>7208</v>
      </c>
      <c r="F22" s="3">
        <f>+(286500+13500)/30+15000+10000+10000+5000+15000</f>
        <v>65000</v>
      </c>
      <c r="G22" s="3">
        <v>45063</v>
      </c>
      <c r="H22" s="2"/>
      <c r="I22" s="3">
        <f t="shared" si="1"/>
        <v>110063</v>
      </c>
      <c r="J22" s="3">
        <f>-I22</f>
        <v>-110063</v>
      </c>
    </row>
    <row r="23" spans="1:10" x14ac:dyDescent="0.2">
      <c r="A23" s="1" t="s">
        <v>22</v>
      </c>
      <c r="B23" s="3"/>
      <c r="C23" s="3">
        <v>17386</v>
      </c>
      <c r="D23" s="2">
        <v>140</v>
      </c>
      <c r="E23" s="3">
        <f t="shared" si="0"/>
        <v>17526</v>
      </c>
      <c r="F23" s="3"/>
      <c r="G23" s="3">
        <v>11288</v>
      </c>
      <c r="H23" s="3">
        <v>1286</v>
      </c>
      <c r="I23" s="3">
        <f t="shared" si="1"/>
        <v>12574</v>
      </c>
      <c r="J23" s="3"/>
    </row>
    <row r="24" spans="1:10" x14ac:dyDescent="0.2">
      <c r="A24" s="1" t="s">
        <v>23</v>
      </c>
      <c r="B24" s="3"/>
      <c r="C24" s="3">
        <v>1514</v>
      </c>
      <c r="D24" s="2"/>
      <c r="E24" s="3">
        <f t="shared" si="0"/>
        <v>1514</v>
      </c>
      <c r="F24" s="3">
        <f>+(6750)/30</f>
        <v>225</v>
      </c>
      <c r="G24" s="3">
        <v>1501</v>
      </c>
      <c r="H24" s="2"/>
      <c r="I24" s="3">
        <f t="shared" si="1"/>
        <v>1726</v>
      </c>
      <c r="J24" s="2"/>
    </row>
    <row r="25" spans="1:10" x14ac:dyDescent="0.2">
      <c r="A25" s="1" t="s">
        <v>24</v>
      </c>
      <c r="B25" s="2"/>
      <c r="C25" s="2">
        <v>23</v>
      </c>
      <c r="D25" s="2"/>
      <c r="E25" s="2">
        <f t="shared" si="0"/>
        <v>23</v>
      </c>
      <c r="F25" s="2"/>
      <c r="G25" s="2">
        <v>869</v>
      </c>
      <c r="H25" s="2"/>
      <c r="I25" s="3">
        <f t="shared" si="1"/>
        <v>869</v>
      </c>
      <c r="J25" s="2"/>
    </row>
    <row r="26" spans="1:10" x14ac:dyDescent="0.2">
      <c r="A26" s="1" t="s">
        <v>25</v>
      </c>
      <c r="B26" s="3"/>
      <c r="C26" s="3">
        <v>2812</v>
      </c>
      <c r="D26" s="2"/>
      <c r="E26" s="3">
        <f t="shared" si="0"/>
        <v>2812</v>
      </c>
      <c r="F26" s="3"/>
      <c r="G26" s="3">
        <v>11773</v>
      </c>
      <c r="H26" s="2"/>
      <c r="I26" s="3">
        <f t="shared" si="1"/>
        <v>11773</v>
      </c>
      <c r="J26" s="3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F17" sqref="F17"/>
    </sheetView>
  </sheetViews>
  <sheetFormatPr defaultRowHeight="12.75" x14ac:dyDescent="0.2"/>
  <cols>
    <col min="1" max="1" width="16.85546875" bestFit="1" customWidth="1"/>
  </cols>
  <sheetData>
    <row r="1" spans="1:10" ht="21.75" thickBot="1" x14ac:dyDescent="0.25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">
      <c r="A2" s="10" t="s">
        <v>1</v>
      </c>
      <c r="B2" s="11">
        <f>36730+50000</f>
        <v>86730</v>
      </c>
      <c r="C2" s="3">
        <v>203524</v>
      </c>
      <c r="D2" s="2">
        <v>9189</v>
      </c>
      <c r="E2" s="30">
        <f t="shared" ref="E2:E25" si="0">SUM(B2:D2)</f>
        <v>299443</v>
      </c>
      <c r="F2" s="11">
        <v>1376</v>
      </c>
      <c r="G2" s="3">
        <v>13000</v>
      </c>
      <c r="H2" s="3">
        <v>0</v>
      </c>
      <c r="I2" s="30">
        <f t="shared" ref="I2:I25" si="1">SUM(F2:H2)</f>
        <v>14376</v>
      </c>
      <c r="J2" s="13">
        <f>+E2</f>
        <v>299443</v>
      </c>
    </row>
    <row r="3" spans="1:10" x14ac:dyDescent="0.2">
      <c r="A3" s="10" t="s">
        <v>2</v>
      </c>
      <c r="B3" s="11">
        <v>7</v>
      </c>
      <c r="C3" s="2">
        <v>547</v>
      </c>
      <c r="D3" s="2">
        <v>0</v>
      </c>
      <c r="E3" s="30">
        <f t="shared" si="0"/>
        <v>554</v>
      </c>
      <c r="F3" s="11">
        <v>45</v>
      </c>
      <c r="G3" s="3">
        <v>6901</v>
      </c>
      <c r="H3" s="3">
        <v>0</v>
      </c>
      <c r="I3" s="30">
        <f t="shared" si="1"/>
        <v>6946</v>
      </c>
      <c r="J3" s="13">
        <f>+E3</f>
        <v>554</v>
      </c>
    </row>
    <row r="4" spans="1:10" x14ac:dyDescent="0.2">
      <c r="A4" s="10" t="s">
        <v>3</v>
      </c>
      <c r="B4" s="11">
        <v>766</v>
      </c>
      <c r="C4" s="2">
        <v>300</v>
      </c>
      <c r="D4" s="2">
        <v>0</v>
      </c>
      <c r="E4" s="30">
        <f t="shared" si="0"/>
        <v>1066</v>
      </c>
      <c r="F4" s="11"/>
      <c r="G4" s="3">
        <v>4357</v>
      </c>
      <c r="H4" s="3">
        <v>20973</v>
      </c>
      <c r="I4" s="30">
        <f t="shared" si="1"/>
        <v>25330</v>
      </c>
      <c r="J4" s="13">
        <f>+E4</f>
        <v>1066</v>
      </c>
    </row>
    <row r="5" spans="1:10" x14ac:dyDescent="0.2">
      <c r="A5" s="10" t="s">
        <v>4</v>
      </c>
      <c r="B5" s="11">
        <v>630</v>
      </c>
      <c r="C5" s="2">
        <v>0</v>
      </c>
      <c r="D5" s="2"/>
      <c r="E5" s="30">
        <f t="shared" si="0"/>
        <v>630</v>
      </c>
      <c r="F5" s="11"/>
      <c r="G5" s="3">
        <v>0</v>
      </c>
      <c r="H5" s="3">
        <v>9700</v>
      </c>
      <c r="I5" s="30">
        <f t="shared" si="1"/>
        <v>9700</v>
      </c>
      <c r="J5" s="13">
        <f>+E5</f>
        <v>630</v>
      </c>
    </row>
    <row r="6" spans="1:10" x14ac:dyDescent="0.2">
      <c r="A6" s="10" t="s">
        <v>5</v>
      </c>
      <c r="B6" s="11"/>
      <c r="C6" s="2">
        <v>0</v>
      </c>
      <c r="D6" s="2">
        <v>0</v>
      </c>
      <c r="E6" s="30">
        <f t="shared" si="0"/>
        <v>0</v>
      </c>
      <c r="F6" s="11">
        <v>1750</v>
      </c>
      <c r="G6" s="3">
        <v>3000</v>
      </c>
      <c r="H6" s="3">
        <v>50</v>
      </c>
      <c r="I6" s="30">
        <f t="shared" si="1"/>
        <v>4800</v>
      </c>
      <c r="J6" s="13">
        <f>-I6</f>
        <v>-4800</v>
      </c>
    </row>
    <row r="7" spans="1:10" x14ac:dyDescent="0.2">
      <c r="A7" s="10" t="s">
        <v>6</v>
      </c>
      <c r="B7" s="11">
        <v>5320</v>
      </c>
      <c r="C7" s="3">
        <v>157117</v>
      </c>
      <c r="D7" s="2">
        <v>1</v>
      </c>
      <c r="E7" s="30">
        <f t="shared" si="0"/>
        <v>162438</v>
      </c>
      <c r="F7" s="11">
        <v>15102</v>
      </c>
      <c r="G7" s="3">
        <v>3100</v>
      </c>
      <c r="H7" s="3">
        <v>64271</v>
      </c>
      <c r="I7" s="30">
        <f t="shared" si="1"/>
        <v>82473</v>
      </c>
      <c r="J7" s="13">
        <f>+E7</f>
        <v>162438</v>
      </c>
    </row>
    <row r="8" spans="1:10" x14ac:dyDescent="0.2">
      <c r="A8" s="10" t="s">
        <v>7</v>
      </c>
      <c r="B8" s="11">
        <v>148140</v>
      </c>
      <c r="C8" s="2">
        <v>0</v>
      </c>
      <c r="D8" s="2"/>
      <c r="E8" s="30">
        <f t="shared" si="0"/>
        <v>148140</v>
      </c>
      <c r="F8" s="11">
        <v>148140</v>
      </c>
      <c r="G8" s="3">
        <v>0</v>
      </c>
      <c r="H8" s="3">
        <v>0</v>
      </c>
      <c r="I8" s="30">
        <f t="shared" si="1"/>
        <v>148140</v>
      </c>
      <c r="J8" s="13">
        <f>-I8</f>
        <v>-148140</v>
      </c>
    </row>
    <row r="9" spans="1:10" x14ac:dyDescent="0.2">
      <c r="A9" s="10" t="s">
        <v>8</v>
      </c>
      <c r="B9" s="11">
        <f>41225+45000+15000</f>
        <v>101225</v>
      </c>
      <c r="C9" s="3">
        <v>112822</v>
      </c>
      <c r="D9" s="2">
        <v>0</v>
      </c>
      <c r="E9" s="30">
        <f t="shared" si="0"/>
        <v>214047</v>
      </c>
      <c r="F9" s="11">
        <v>7</v>
      </c>
      <c r="G9" s="3">
        <v>21850</v>
      </c>
      <c r="H9" s="3">
        <v>0</v>
      </c>
      <c r="I9" s="30">
        <f t="shared" si="1"/>
        <v>21857</v>
      </c>
      <c r="J9" s="13">
        <f>+E9</f>
        <v>214047</v>
      </c>
    </row>
    <row r="10" spans="1:10" x14ac:dyDescent="0.2">
      <c r="A10" s="10" t="s">
        <v>9</v>
      </c>
      <c r="B10" s="11"/>
      <c r="C10" s="2">
        <v>10000</v>
      </c>
      <c r="D10" s="2">
        <v>0</v>
      </c>
      <c r="E10" s="30">
        <f t="shared" si="0"/>
        <v>10000</v>
      </c>
      <c r="F10" s="11">
        <v>34800</v>
      </c>
      <c r="G10" s="3">
        <v>191362</v>
      </c>
      <c r="H10" s="3"/>
      <c r="I10" s="30">
        <f t="shared" si="1"/>
        <v>226162</v>
      </c>
      <c r="J10" s="13">
        <f>-I10</f>
        <v>-226162</v>
      </c>
    </row>
    <row r="11" spans="1:10" x14ac:dyDescent="0.2">
      <c r="A11" s="10" t="s">
        <v>10</v>
      </c>
      <c r="B11" s="11">
        <v>5250</v>
      </c>
      <c r="C11" s="3">
        <v>149189</v>
      </c>
      <c r="D11" s="2">
        <v>50</v>
      </c>
      <c r="E11" s="30">
        <f t="shared" si="0"/>
        <v>154489</v>
      </c>
      <c r="F11" s="11">
        <v>15321</v>
      </c>
      <c r="G11" s="3">
        <v>54109</v>
      </c>
      <c r="H11" s="3">
        <v>0</v>
      </c>
      <c r="I11" s="30">
        <f t="shared" si="1"/>
        <v>69430</v>
      </c>
      <c r="J11" s="13"/>
    </row>
    <row r="12" spans="1:10" x14ac:dyDescent="0.2">
      <c r="A12" s="10" t="s">
        <v>11</v>
      </c>
      <c r="B12" s="11">
        <v>1409</v>
      </c>
      <c r="C12" s="3">
        <v>17711</v>
      </c>
      <c r="D12" s="3">
        <v>7801</v>
      </c>
      <c r="E12" s="30">
        <f t="shared" si="0"/>
        <v>26921</v>
      </c>
      <c r="F12" s="11">
        <v>984</v>
      </c>
      <c r="G12" s="3">
        <v>147485</v>
      </c>
      <c r="H12" s="3"/>
      <c r="I12" s="30">
        <f t="shared" si="1"/>
        <v>148469</v>
      </c>
      <c r="J12" s="13">
        <f>-I12</f>
        <v>-148469</v>
      </c>
    </row>
    <row r="13" spans="1:10" x14ac:dyDescent="0.2">
      <c r="A13" s="10" t="s">
        <v>12</v>
      </c>
      <c r="B13" s="11"/>
      <c r="C13" s="3">
        <v>77055</v>
      </c>
      <c r="D13" s="2">
        <v>0</v>
      </c>
      <c r="E13" s="30">
        <f t="shared" si="0"/>
        <v>77055</v>
      </c>
      <c r="F13" s="11">
        <f>40000+17000+13000+15000+11500</f>
        <v>96500</v>
      </c>
      <c r="G13" s="3">
        <v>357271</v>
      </c>
      <c r="H13" s="3">
        <v>400</v>
      </c>
      <c r="I13" s="30">
        <f t="shared" si="1"/>
        <v>454171</v>
      </c>
      <c r="J13" s="13">
        <f>-I13</f>
        <v>-454171</v>
      </c>
    </row>
    <row r="14" spans="1:10" x14ac:dyDescent="0.2">
      <c r="A14" s="10" t="s">
        <v>13</v>
      </c>
      <c r="B14" s="11">
        <f>9735+11500</f>
        <v>21235</v>
      </c>
      <c r="C14" s="3">
        <v>188524</v>
      </c>
      <c r="D14" s="2">
        <v>1084</v>
      </c>
      <c r="E14" s="30">
        <f t="shared" si="0"/>
        <v>210843</v>
      </c>
      <c r="F14" s="11"/>
      <c r="G14" s="3">
        <v>178661</v>
      </c>
      <c r="H14" s="3">
        <v>800</v>
      </c>
      <c r="I14" s="30">
        <f t="shared" si="1"/>
        <v>179461</v>
      </c>
      <c r="J14" s="13">
        <f>+E14</f>
        <v>210843</v>
      </c>
    </row>
    <row r="15" spans="1:10" x14ac:dyDescent="0.2">
      <c r="A15" s="10" t="s">
        <v>14</v>
      </c>
      <c r="B15" s="11">
        <f>41292+10000</f>
        <v>51292</v>
      </c>
      <c r="C15" s="3">
        <v>134022</v>
      </c>
      <c r="D15" s="2">
        <v>18</v>
      </c>
      <c r="E15" s="30">
        <f t="shared" si="0"/>
        <v>185332</v>
      </c>
      <c r="F15" s="11"/>
      <c r="G15" s="3">
        <v>40001</v>
      </c>
      <c r="H15" s="3">
        <v>0</v>
      </c>
      <c r="I15" s="30">
        <f t="shared" si="1"/>
        <v>40001</v>
      </c>
      <c r="J15" s="13">
        <f>+E15</f>
        <v>185332</v>
      </c>
    </row>
    <row r="16" spans="1:10" x14ac:dyDescent="0.2">
      <c r="A16" s="10" t="s">
        <v>15</v>
      </c>
      <c r="B16" s="11"/>
      <c r="C16" s="3">
        <v>3604</v>
      </c>
      <c r="D16" s="2">
        <v>0</v>
      </c>
      <c r="E16" s="30">
        <f t="shared" si="0"/>
        <v>3604</v>
      </c>
      <c r="F16" s="11"/>
      <c r="G16" s="3">
        <v>42710</v>
      </c>
      <c r="H16" s="3"/>
      <c r="I16" s="30">
        <f t="shared" si="1"/>
        <v>42710</v>
      </c>
      <c r="J16" s="13">
        <f>-I16</f>
        <v>-42710</v>
      </c>
    </row>
    <row r="17" spans="1:10" x14ac:dyDescent="0.2">
      <c r="A17" s="10" t="s">
        <v>16</v>
      </c>
      <c r="B17" s="11"/>
      <c r="D17">
        <v>0</v>
      </c>
      <c r="E17" s="30">
        <f t="shared" si="0"/>
        <v>0</v>
      </c>
      <c r="F17" s="11"/>
      <c r="G17" s="5"/>
      <c r="H17" s="3">
        <v>45000</v>
      </c>
      <c r="I17" s="30">
        <f t="shared" si="1"/>
        <v>45000</v>
      </c>
      <c r="J17" s="13">
        <f>+E17</f>
        <v>0</v>
      </c>
    </row>
    <row r="18" spans="1:10" x14ac:dyDescent="0.2">
      <c r="A18" s="10" t="s">
        <v>17</v>
      </c>
      <c r="B18" s="11"/>
      <c r="C18" s="3">
        <v>52289</v>
      </c>
      <c r="D18" s="2">
        <v>0</v>
      </c>
      <c r="E18" s="30">
        <f t="shared" si="0"/>
        <v>52289</v>
      </c>
      <c r="F18" s="11">
        <v>1770</v>
      </c>
      <c r="G18" s="3">
        <v>29508</v>
      </c>
      <c r="H18" s="3">
        <v>0</v>
      </c>
      <c r="I18" s="30">
        <f t="shared" si="1"/>
        <v>31278</v>
      </c>
      <c r="J18" s="13"/>
    </row>
    <row r="19" spans="1:10" x14ac:dyDescent="0.2">
      <c r="A19" s="10" t="s">
        <v>18</v>
      </c>
      <c r="B19" s="11">
        <v>37000</v>
      </c>
      <c r="C19" s="3">
        <v>9224</v>
      </c>
      <c r="D19" s="2">
        <v>0</v>
      </c>
      <c r="E19" s="30">
        <f t="shared" si="0"/>
        <v>46224</v>
      </c>
      <c r="F19" s="11">
        <f>37000+10000</f>
        <v>47000</v>
      </c>
      <c r="G19" s="3">
        <v>48</v>
      </c>
      <c r="H19" s="3">
        <v>0</v>
      </c>
      <c r="I19" s="30">
        <f t="shared" si="1"/>
        <v>47048</v>
      </c>
      <c r="J19" s="13">
        <f t="shared" ref="J19:J24" si="2">-I19</f>
        <v>-47048</v>
      </c>
    </row>
    <row r="20" spans="1:10" x14ac:dyDescent="0.2">
      <c r="A20" s="10" t="s">
        <v>19</v>
      </c>
      <c r="B20" s="11">
        <v>103</v>
      </c>
      <c r="C20" s="3">
        <v>282075</v>
      </c>
      <c r="D20" s="3">
        <v>25000</v>
      </c>
      <c r="E20" s="30">
        <f t="shared" si="0"/>
        <v>307178</v>
      </c>
      <c r="F20" s="11">
        <f>30246+5000</f>
        <v>35246</v>
      </c>
      <c r="G20" s="3">
        <v>252150</v>
      </c>
      <c r="H20" s="3">
        <v>5466</v>
      </c>
      <c r="I20" s="30">
        <f t="shared" si="1"/>
        <v>292862</v>
      </c>
      <c r="J20" s="13">
        <f t="shared" si="2"/>
        <v>-292862</v>
      </c>
    </row>
    <row r="21" spans="1:10" x14ac:dyDescent="0.2">
      <c r="A21" s="10" t="s">
        <v>20</v>
      </c>
      <c r="B21" s="11"/>
      <c r="C21" s="3">
        <v>4003</v>
      </c>
      <c r="D21" s="2">
        <v>0</v>
      </c>
      <c r="E21" s="30">
        <f t="shared" si="0"/>
        <v>4003</v>
      </c>
      <c r="F21" s="11">
        <v>992</v>
      </c>
      <c r="G21" s="3">
        <v>32001</v>
      </c>
      <c r="H21" s="3"/>
      <c r="I21" s="30">
        <f t="shared" si="1"/>
        <v>32993</v>
      </c>
      <c r="J21" s="13">
        <f t="shared" si="2"/>
        <v>-32993</v>
      </c>
    </row>
    <row r="22" spans="1:10" x14ac:dyDescent="0.2">
      <c r="A22" s="10" t="s">
        <v>21</v>
      </c>
      <c r="B22" s="11">
        <v>5000</v>
      </c>
      <c r="C22" s="3">
        <v>1027</v>
      </c>
      <c r="D22" s="2">
        <v>0</v>
      </c>
      <c r="E22" s="30">
        <f t="shared" si="0"/>
        <v>6027</v>
      </c>
      <c r="F22" s="11">
        <f>15000+40000</f>
        <v>55000</v>
      </c>
      <c r="G22" s="3">
        <v>90137</v>
      </c>
      <c r="H22" s="3">
        <v>0</v>
      </c>
      <c r="I22" s="30">
        <f t="shared" si="1"/>
        <v>145137</v>
      </c>
      <c r="J22" s="13">
        <f t="shared" si="2"/>
        <v>-145137</v>
      </c>
    </row>
    <row r="23" spans="1:10" x14ac:dyDescent="0.2">
      <c r="A23" s="10" t="s">
        <v>22</v>
      </c>
      <c r="B23" s="11"/>
      <c r="C23" s="3">
        <v>19332</v>
      </c>
      <c r="D23" s="2">
        <v>0</v>
      </c>
      <c r="E23" s="30">
        <f t="shared" si="0"/>
        <v>19332</v>
      </c>
      <c r="F23" s="11"/>
      <c r="G23" s="3">
        <v>5097</v>
      </c>
      <c r="H23" s="3">
        <v>0</v>
      </c>
      <c r="I23" s="30">
        <f t="shared" si="1"/>
        <v>5097</v>
      </c>
      <c r="J23" s="13">
        <f t="shared" si="2"/>
        <v>-5097</v>
      </c>
    </row>
    <row r="24" spans="1:10" x14ac:dyDescent="0.2">
      <c r="A24" s="10" t="s">
        <v>23</v>
      </c>
      <c r="B24" s="11"/>
      <c r="C24" s="2"/>
      <c r="D24" s="2">
        <v>0</v>
      </c>
      <c r="E24" s="30">
        <f t="shared" si="0"/>
        <v>0</v>
      </c>
      <c r="F24" s="11">
        <v>1046</v>
      </c>
      <c r="G24" s="3">
        <v>3201</v>
      </c>
      <c r="H24" s="3">
        <v>0</v>
      </c>
      <c r="I24" s="30">
        <f t="shared" si="1"/>
        <v>4247</v>
      </c>
      <c r="J24" s="13">
        <f t="shared" si="2"/>
        <v>-4247</v>
      </c>
    </row>
    <row r="25" spans="1:10" x14ac:dyDescent="0.2">
      <c r="A25" s="10" t="s">
        <v>24</v>
      </c>
      <c r="B25" s="11"/>
      <c r="C25" s="2">
        <v>0</v>
      </c>
      <c r="D25" s="2"/>
      <c r="E25" s="30">
        <f t="shared" si="0"/>
        <v>0</v>
      </c>
      <c r="F25" s="11"/>
      <c r="G25" s="3">
        <v>64</v>
      </c>
      <c r="H25" s="3"/>
      <c r="I25" s="30">
        <f t="shared" si="1"/>
        <v>64</v>
      </c>
      <c r="J25" s="25"/>
    </row>
    <row r="26" spans="1:10" x14ac:dyDescent="0.2">
      <c r="A26" s="29" t="s">
        <v>25</v>
      </c>
      <c r="B26" s="21">
        <v>7048</v>
      </c>
      <c r="C26" s="22">
        <v>478</v>
      </c>
      <c r="D26" s="34"/>
      <c r="E26" s="31">
        <f>SUM(B26:D26)</f>
        <v>7526</v>
      </c>
      <c r="F26" s="21">
        <v>6076</v>
      </c>
      <c r="G26" s="21">
        <v>11794</v>
      </c>
      <c r="H26" s="35"/>
      <c r="I26" s="31">
        <f>SUM(F26:H26)</f>
        <v>17870</v>
      </c>
      <c r="J26" s="23"/>
    </row>
    <row r="27" spans="1:10" x14ac:dyDescent="0.2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5" thickBot="1" x14ac:dyDescent="0.25">
      <c r="A28" s="17" t="s">
        <v>37</v>
      </c>
      <c r="B28" s="18">
        <f>SUM(B2:B27)</f>
        <v>471155</v>
      </c>
      <c r="C28" s="19"/>
      <c r="D28" s="19"/>
      <c r="E28" s="33">
        <f>SUM(E2:E26)</f>
        <v>1937141</v>
      </c>
      <c r="F28" s="28">
        <f>SUM(F2:F27)</f>
        <v>461155</v>
      </c>
      <c r="G28" s="19"/>
      <c r="H28" s="19"/>
      <c r="I28" s="18">
        <f>SUM(I2:I26)</f>
        <v>2095622</v>
      </c>
      <c r="J28" s="20"/>
    </row>
    <row r="29" spans="1:10" x14ac:dyDescent="0.2">
      <c r="G29" s="5"/>
    </row>
    <row r="30" spans="1:10" x14ac:dyDescent="0.2">
      <c r="A30" t="s">
        <v>38</v>
      </c>
      <c r="D30" s="5"/>
    </row>
  </sheetData>
  <printOptions horizontalCentered="1"/>
  <pageMargins left="0.75" right="0.75" top="1" bottom="1" header="0.5" footer="0.5"/>
  <pageSetup orientation="landscape" r:id="rId1"/>
  <headerFooter alignWithMargins="0">
    <oddHeader>&amp;CJUNE 2000 PREBID THROUGHPUT</oddHeader>
    <oddFooter>&amp;Lo:\NAES\Texas Transport\Capacity\&amp;F &amp;A&amp;RUpdated &amp;D at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J12" sqref="J12"/>
    </sheetView>
  </sheetViews>
  <sheetFormatPr defaultRowHeight="12.75" x14ac:dyDescent="0.2"/>
  <cols>
    <col min="1" max="1" width="16.85546875" bestFit="1" customWidth="1"/>
  </cols>
  <sheetData>
    <row r="1" spans="1:10" ht="21.75" thickBot="1" x14ac:dyDescent="0.25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">
      <c r="A2" s="10" t="s">
        <v>1</v>
      </c>
      <c r="B2" s="11">
        <f>34690+74000</f>
        <v>108690</v>
      </c>
      <c r="C2" s="3">
        <v>201570</v>
      </c>
      <c r="D2" s="2">
        <v>15415</v>
      </c>
      <c r="E2" s="30">
        <f t="shared" ref="E2:E26" si="0">SUM(B2:D2)</f>
        <v>325675</v>
      </c>
      <c r="F2" s="11">
        <v>1144</v>
      </c>
      <c r="G2" s="3">
        <v>2</v>
      </c>
      <c r="H2" s="3">
        <v>0</v>
      </c>
      <c r="I2" s="30">
        <f t="shared" ref="I2:I26" si="1">SUM(F2:H2)</f>
        <v>1146</v>
      </c>
      <c r="J2" s="13">
        <f>+E2</f>
        <v>325675</v>
      </c>
    </row>
    <row r="3" spans="1:10" x14ac:dyDescent="0.2">
      <c r="A3" s="10" t="s">
        <v>2</v>
      </c>
      <c r="B3" s="11"/>
      <c r="C3" s="2">
        <v>12225</v>
      </c>
      <c r="D3" s="2">
        <v>0</v>
      </c>
      <c r="E3" s="30">
        <f t="shared" si="0"/>
        <v>12225</v>
      </c>
      <c r="F3" s="11">
        <v>46</v>
      </c>
      <c r="G3" s="3">
        <v>10344</v>
      </c>
      <c r="H3" s="3">
        <v>0</v>
      </c>
      <c r="I3" s="30">
        <f t="shared" si="1"/>
        <v>10390</v>
      </c>
      <c r="J3" s="13">
        <f>+E3</f>
        <v>12225</v>
      </c>
    </row>
    <row r="4" spans="1:10" x14ac:dyDescent="0.2">
      <c r="A4" s="10" t="s">
        <v>3</v>
      </c>
      <c r="B4" s="11">
        <v>814</v>
      </c>
      <c r="C4" s="2">
        <v>300</v>
      </c>
      <c r="D4" s="2"/>
      <c r="E4" s="30">
        <f t="shared" si="0"/>
        <v>1114</v>
      </c>
      <c r="F4" s="11"/>
      <c r="G4" s="3">
        <v>5238</v>
      </c>
      <c r="H4" s="3">
        <v>12318</v>
      </c>
      <c r="I4" s="30">
        <f t="shared" si="1"/>
        <v>17556</v>
      </c>
      <c r="J4" s="13">
        <f>+E4</f>
        <v>1114</v>
      </c>
    </row>
    <row r="5" spans="1:10" x14ac:dyDescent="0.2">
      <c r="A5" s="10" t="s">
        <v>4</v>
      </c>
      <c r="B5" s="11">
        <v>640</v>
      </c>
      <c r="C5" s="2">
        <v>0</v>
      </c>
      <c r="D5" s="2"/>
      <c r="E5" s="30">
        <f t="shared" si="0"/>
        <v>640</v>
      </c>
      <c r="F5" s="11"/>
      <c r="G5" s="3">
        <v>0</v>
      </c>
      <c r="H5" s="3">
        <v>30528</v>
      </c>
      <c r="I5" s="30">
        <f t="shared" si="1"/>
        <v>30528</v>
      </c>
      <c r="J5" s="13">
        <f>+E5</f>
        <v>640</v>
      </c>
    </row>
    <row r="6" spans="1:10" x14ac:dyDescent="0.2">
      <c r="A6" s="10" t="s">
        <v>5</v>
      </c>
      <c r="B6" s="11"/>
      <c r="C6" s="2">
        <v>0</v>
      </c>
      <c r="D6" s="2">
        <v>0</v>
      </c>
      <c r="E6" s="30">
        <f t="shared" si="0"/>
        <v>0</v>
      </c>
      <c r="F6" s="11"/>
      <c r="G6" s="3">
        <v>7502</v>
      </c>
      <c r="H6" s="3">
        <v>50</v>
      </c>
      <c r="I6" s="30">
        <f t="shared" si="1"/>
        <v>7552</v>
      </c>
      <c r="J6" s="13">
        <f>-I6</f>
        <v>-7552</v>
      </c>
    </row>
    <row r="7" spans="1:10" x14ac:dyDescent="0.2">
      <c r="A7" s="10" t="s">
        <v>6</v>
      </c>
      <c r="B7" s="11">
        <v>5096</v>
      </c>
      <c r="C7" s="3">
        <v>133122</v>
      </c>
      <c r="D7" s="2">
        <v>42001</v>
      </c>
      <c r="E7" s="30">
        <f t="shared" si="0"/>
        <v>180219</v>
      </c>
      <c r="F7" s="11">
        <v>14899</v>
      </c>
      <c r="G7" s="3">
        <v>3333</v>
      </c>
      <c r="H7" s="3">
        <v>49938</v>
      </c>
      <c r="I7" s="30">
        <f t="shared" si="1"/>
        <v>68170</v>
      </c>
      <c r="J7" s="13">
        <f>+E7</f>
        <v>180219</v>
      </c>
    </row>
    <row r="8" spans="1:10" x14ac:dyDescent="0.2">
      <c r="A8" s="10" t="s">
        <v>7</v>
      </c>
      <c r="B8" s="11">
        <v>113915</v>
      </c>
      <c r="C8" s="2">
        <v>0</v>
      </c>
      <c r="D8" s="2"/>
      <c r="E8" s="30">
        <f t="shared" si="0"/>
        <v>113915</v>
      </c>
      <c r="F8" s="11">
        <v>113915</v>
      </c>
      <c r="G8" s="3">
        <v>0</v>
      </c>
      <c r="H8" s="3">
        <v>6115</v>
      </c>
      <c r="I8" s="30">
        <f t="shared" si="1"/>
        <v>120030</v>
      </c>
      <c r="J8" s="13">
        <f>-I8</f>
        <v>-120030</v>
      </c>
    </row>
    <row r="9" spans="1:10" x14ac:dyDescent="0.2">
      <c r="A9" s="10" t="s">
        <v>8</v>
      </c>
      <c r="B9" s="11">
        <f>45692+60000+40000</f>
        <v>145692</v>
      </c>
      <c r="C9" s="3">
        <v>110322</v>
      </c>
      <c r="D9" s="2">
        <v>0</v>
      </c>
      <c r="E9" s="30">
        <f t="shared" si="0"/>
        <v>256014</v>
      </c>
      <c r="F9" s="11">
        <v>47500</v>
      </c>
      <c r="G9" s="3">
        <v>21350</v>
      </c>
      <c r="H9" s="3">
        <v>0</v>
      </c>
      <c r="I9" s="30">
        <f t="shared" si="1"/>
        <v>68850</v>
      </c>
      <c r="J9" s="13">
        <f>+E9</f>
        <v>256014</v>
      </c>
    </row>
    <row r="10" spans="1:10" x14ac:dyDescent="0.2">
      <c r="A10" s="10" t="s">
        <v>9</v>
      </c>
      <c r="B10" s="11"/>
      <c r="C10" s="2">
        <v>0</v>
      </c>
      <c r="D10" s="2">
        <v>0</v>
      </c>
      <c r="E10" s="30">
        <f t="shared" si="0"/>
        <v>0</v>
      </c>
      <c r="F10" s="11">
        <v>35000</v>
      </c>
      <c r="G10" s="3">
        <v>192650</v>
      </c>
      <c r="H10" s="3"/>
      <c r="I10" s="30">
        <f t="shared" si="1"/>
        <v>227650</v>
      </c>
      <c r="J10" s="13">
        <f>-I10</f>
        <v>-227650</v>
      </c>
    </row>
    <row r="11" spans="1:10" x14ac:dyDescent="0.2">
      <c r="A11" s="10" t="s">
        <v>10</v>
      </c>
      <c r="B11" s="11">
        <v>5250</v>
      </c>
      <c r="C11" s="3">
        <v>140692</v>
      </c>
      <c r="D11" s="2">
        <v>50</v>
      </c>
      <c r="E11" s="30">
        <f t="shared" si="0"/>
        <v>145992</v>
      </c>
      <c r="F11" s="11">
        <f>15321+20000</f>
        <v>35321</v>
      </c>
      <c r="G11" s="3">
        <v>64110</v>
      </c>
      <c r="H11" s="3">
        <v>60</v>
      </c>
      <c r="I11" s="30">
        <f t="shared" si="1"/>
        <v>99491</v>
      </c>
      <c r="J11" s="13"/>
    </row>
    <row r="12" spans="1:10" x14ac:dyDescent="0.2">
      <c r="A12" s="10" t="s">
        <v>11</v>
      </c>
      <c r="B12" s="11">
        <v>1179</v>
      </c>
      <c r="C12" s="3">
        <v>12748</v>
      </c>
      <c r="D12" s="3">
        <v>25274</v>
      </c>
      <c r="E12" s="30">
        <f t="shared" si="0"/>
        <v>39201</v>
      </c>
      <c r="F12" s="11">
        <v>1072</v>
      </c>
      <c r="G12" s="3">
        <v>139660</v>
      </c>
      <c r="H12" s="3"/>
      <c r="I12" s="30">
        <f t="shared" si="1"/>
        <v>140732</v>
      </c>
      <c r="J12" s="13">
        <f>-I12</f>
        <v>-140732</v>
      </c>
    </row>
    <row r="13" spans="1:10" x14ac:dyDescent="0.2">
      <c r="A13" s="10" t="s">
        <v>12</v>
      </c>
      <c r="B13" s="11"/>
      <c r="C13" s="3">
        <v>64990</v>
      </c>
      <c r="D13" s="2">
        <v>0</v>
      </c>
      <c r="E13" s="30">
        <f t="shared" si="0"/>
        <v>64990</v>
      </c>
      <c r="F13" s="11">
        <f>35000+49000</f>
        <v>84000</v>
      </c>
      <c r="G13" s="3">
        <v>371692</v>
      </c>
      <c r="H13" s="3">
        <v>400</v>
      </c>
      <c r="I13" s="30">
        <f t="shared" si="1"/>
        <v>456092</v>
      </c>
      <c r="J13" s="13">
        <f>-I13</f>
        <v>-456092</v>
      </c>
    </row>
    <row r="14" spans="1:10" x14ac:dyDescent="0.2">
      <c r="A14" s="10" t="s">
        <v>13</v>
      </c>
      <c r="B14" s="11">
        <f>5735+5000</f>
        <v>10735</v>
      </c>
      <c r="C14" s="3">
        <v>211771</v>
      </c>
      <c r="D14" s="2">
        <v>1056</v>
      </c>
      <c r="E14" s="30">
        <f t="shared" si="0"/>
        <v>223562</v>
      </c>
      <c r="F14" s="11"/>
      <c r="G14" s="3">
        <v>108231</v>
      </c>
      <c r="H14" s="3">
        <v>600</v>
      </c>
      <c r="I14" s="30">
        <f t="shared" si="1"/>
        <v>108831</v>
      </c>
      <c r="J14" s="13">
        <f>+E14</f>
        <v>223562</v>
      </c>
    </row>
    <row r="15" spans="1:10" x14ac:dyDescent="0.2">
      <c r="A15" s="10" t="s">
        <v>14</v>
      </c>
      <c r="B15" s="11">
        <v>40663</v>
      </c>
      <c r="C15" s="3">
        <v>150150</v>
      </c>
      <c r="D15" s="2">
        <v>15161</v>
      </c>
      <c r="E15" s="30">
        <f t="shared" si="0"/>
        <v>205974</v>
      </c>
      <c r="F15" s="11"/>
      <c r="G15" s="3">
        <v>10001</v>
      </c>
      <c r="H15" s="3">
        <v>0</v>
      </c>
      <c r="I15" s="30">
        <f t="shared" si="1"/>
        <v>10001</v>
      </c>
      <c r="J15" s="13">
        <f>+E15</f>
        <v>205974</v>
      </c>
    </row>
    <row r="16" spans="1:10" x14ac:dyDescent="0.2">
      <c r="A16" s="10" t="s">
        <v>15</v>
      </c>
      <c r="B16" s="11"/>
      <c r="C16" s="3">
        <v>3833</v>
      </c>
      <c r="D16" s="2">
        <v>0</v>
      </c>
      <c r="E16" s="30">
        <f t="shared" si="0"/>
        <v>3833</v>
      </c>
      <c r="F16" s="11"/>
      <c r="G16" s="3">
        <v>42668</v>
      </c>
      <c r="H16" s="3"/>
      <c r="I16" s="30">
        <f t="shared" si="1"/>
        <v>42668</v>
      </c>
      <c r="J16" s="13">
        <f>-I16</f>
        <v>-42668</v>
      </c>
    </row>
    <row r="17" spans="1:10" x14ac:dyDescent="0.2">
      <c r="A17" s="10" t="s">
        <v>16</v>
      </c>
      <c r="B17" s="11"/>
      <c r="D17">
        <v>0</v>
      </c>
      <c r="E17" s="30">
        <f t="shared" si="0"/>
        <v>0</v>
      </c>
      <c r="F17" s="11"/>
      <c r="G17" s="5"/>
      <c r="H17" s="3">
        <v>65000</v>
      </c>
      <c r="I17" s="30">
        <f t="shared" si="1"/>
        <v>65000</v>
      </c>
      <c r="J17" s="13">
        <f>+E17</f>
        <v>0</v>
      </c>
    </row>
    <row r="18" spans="1:10" x14ac:dyDescent="0.2">
      <c r="A18" s="10" t="s">
        <v>17</v>
      </c>
      <c r="B18" s="11"/>
      <c r="C18" s="3">
        <v>52287</v>
      </c>
      <c r="D18" s="2">
        <v>0</v>
      </c>
      <c r="E18" s="30">
        <f t="shared" si="0"/>
        <v>52287</v>
      </c>
      <c r="F18" s="11">
        <v>8815</v>
      </c>
      <c r="G18" s="3">
        <v>57908</v>
      </c>
      <c r="H18" s="3">
        <v>0</v>
      </c>
      <c r="I18" s="30">
        <f t="shared" si="1"/>
        <v>66723</v>
      </c>
      <c r="J18" s="13"/>
    </row>
    <row r="19" spans="1:10" x14ac:dyDescent="0.2">
      <c r="A19" s="10" t="s">
        <v>18</v>
      </c>
      <c r="B19" s="11"/>
      <c r="C19" s="3">
        <v>11942</v>
      </c>
      <c r="D19" s="2">
        <v>0</v>
      </c>
      <c r="E19" s="30">
        <f t="shared" si="0"/>
        <v>11942</v>
      </c>
      <c r="F19" s="11">
        <v>17500</v>
      </c>
      <c r="G19" s="3">
        <v>30048</v>
      </c>
      <c r="H19" s="3">
        <v>0</v>
      </c>
      <c r="I19" s="30">
        <f t="shared" si="1"/>
        <v>47548</v>
      </c>
      <c r="J19" s="13">
        <f t="shared" ref="J19:J24" si="2">-I19</f>
        <v>-47548</v>
      </c>
    </row>
    <row r="20" spans="1:10" x14ac:dyDescent="0.2">
      <c r="A20" s="10" t="s">
        <v>19</v>
      </c>
      <c r="B20" s="11">
        <v>2703</v>
      </c>
      <c r="C20" s="3">
        <v>234356</v>
      </c>
      <c r="D20" s="3">
        <v>45000</v>
      </c>
      <c r="E20" s="30">
        <f t="shared" si="0"/>
        <v>282059</v>
      </c>
      <c r="F20" s="11">
        <f>30246+20000</f>
        <v>50246</v>
      </c>
      <c r="G20" s="3">
        <v>187251</v>
      </c>
      <c r="H20" s="3">
        <v>5466</v>
      </c>
      <c r="I20" s="30">
        <f t="shared" si="1"/>
        <v>242963</v>
      </c>
      <c r="J20" s="13">
        <f t="shared" si="2"/>
        <v>-242963</v>
      </c>
    </row>
    <row r="21" spans="1:10" x14ac:dyDescent="0.2">
      <c r="A21" s="10" t="s">
        <v>20</v>
      </c>
      <c r="B21" s="11"/>
      <c r="C21" s="3">
        <v>4491</v>
      </c>
      <c r="D21" s="2">
        <v>0</v>
      </c>
      <c r="E21" s="30">
        <f t="shared" si="0"/>
        <v>4491</v>
      </c>
      <c r="F21" s="11">
        <v>863</v>
      </c>
      <c r="G21" s="3">
        <v>21501</v>
      </c>
      <c r="H21" s="3"/>
      <c r="I21" s="30">
        <f t="shared" si="1"/>
        <v>22364</v>
      </c>
      <c r="J21" s="13">
        <f t="shared" si="2"/>
        <v>-22364</v>
      </c>
    </row>
    <row r="22" spans="1:10" x14ac:dyDescent="0.2">
      <c r="A22" s="10" t="s">
        <v>21</v>
      </c>
      <c r="B22" s="11">
        <v>15000</v>
      </c>
      <c r="C22" s="3">
        <v>1020</v>
      </c>
      <c r="D22" s="2">
        <v>0</v>
      </c>
      <c r="E22" s="30">
        <f t="shared" si="0"/>
        <v>16020</v>
      </c>
      <c r="F22" s="11">
        <f>15000+25000</f>
        <v>40000</v>
      </c>
      <c r="G22" s="3">
        <v>55040</v>
      </c>
      <c r="H22" s="3"/>
      <c r="I22" s="30">
        <f t="shared" si="1"/>
        <v>95040</v>
      </c>
      <c r="J22" s="13">
        <f t="shared" si="2"/>
        <v>-95040</v>
      </c>
    </row>
    <row r="23" spans="1:10" x14ac:dyDescent="0.2">
      <c r="A23" s="10" t="s">
        <v>22</v>
      </c>
      <c r="B23" s="11"/>
      <c r="C23" s="3">
        <v>20228</v>
      </c>
      <c r="D23" s="2">
        <v>0</v>
      </c>
      <c r="E23" s="30">
        <f t="shared" si="0"/>
        <v>20228</v>
      </c>
      <c r="F23" s="11"/>
      <c r="G23" s="3">
        <v>5101</v>
      </c>
      <c r="H23" s="3">
        <v>0</v>
      </c>
      <c r="I23" s="30">
        <f t="shared" si="1"/>
        <v>5101</v>
      </c>
      <c r="J23" s="13">
        <f t="shared" si="2"/>
        <v>-5101</v>
      </c>
    </row>
    <row r="24" spans="1:10" x14ac:dyDescent="0.2">
      <c r="A24" s="10" t="s">
        <v>23</v>
      </c>
      <c r="B24" s="11"/>
      <c r="C24" s="2"/>
      <c r="D24" s="2">
        <v>0</v>
      </c>
      <c r="E24" s="30">
        <f t="shared" si="0"/>
        <v>0</v>
      </c>
      <c r="F24" s="11">
        <v>583</v>
      </c>
      <c r="G24" s="3">
        <v>3201</v>
      </c>
      <c r="H24" s="3"/>
      <c r="I24" s="30">
        <f t="shared" si="1"/>
        <v>3784</v>
      </c>
      <c r="J24" s="13">
        <f t="shared" si="2"/>
        <v>-3784</v>
      </c>
    </row>
    <row r="25" spans="1:10" x14ac:dyDescent="0.2">
      <c r="A25" s="10" t="s">
        <v>24</v>
      </c>
      <c r="B25" s="11"/>
      <c r="C25" s="2">
        <v>0</v>
      </c>
      <c r="D25" s="2"/>
      <c r="E25" s="30">
        <f t="shared" si="0"/>
        <v>0</v>
      </c>
      <c r="F25" s="11"/>
      <c r="G25" s="3">
        <v>1130</v>
      </c>
      <c r="H25" s="3"/>
      <c r="I25" s="30">
        <f t="shared" si="1"/>
        <v>1130</v>
      </c>
      <c r="J25" s="25"/>
    </row>
    <row r="26" spans="1:10" x14ac:dyDescent="0.2">
      <c r="A26" s="29" t="s">
        <v>25</v>
      </c>
      <c r="B26" s="21">
        <v>7376</v>
      </c>
      <c r="C26" s="22">
        <v>413</v>
      </c>
      <c r="D26" s="34"/>
      <c r="E26" s="31">
        <f t="shared" si="0"/>
        <v>7789</v>
      </c>
      <c r="F26" s="21">
        <v>6849</v>
      </c>
      <c r="G26" s="21">
        <v>11564</v>
      </c>
      <c r="H26" s="35"/>
      <c r="I26" s="31">
        <f t="shared" si="1"/>
        <v>18413</v>
      </c>
      <c r="J26" s="23"/>
    </row>
    <row r="27" spans="1:10" x14ac:dyDescent="0.2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5" thickBot="1" x14ac:dyDescent="0.25">
      <c r="A28" s="17" t="s">
        <v>37</v>
      </c>
      <c r="B28" s="18">
        <f>SUM(B2:B27)</f>
        <v>457753</v>
      </c>
      <c r="C28" s="19"/>
      <c r="D28" s="19"/>
      <c r="E28" s="33">
        <f>SUM(E2:E26)</f>
        <v>1968170</v>
      </c>
      <c r="F28" s="28">
        <f>SUM(F2:F27)</f>
        <v>457753</v>
      </c>
      <c r="G28" s="19"/>
      <c r="H28" s="19"/>
      <c r="I28" s="18">
        <f>SUM(I2:I26)</f>
        <v>1977753</v>
      </c>
      <c r="J28" s="20"/>
    </row>
    <row r="29" spans="1:10" x14ac:dyDescent="0.2">
      <c r="G29" s="5"/>
    </row>
    <row r="30" spans="1:10" x14ac:dyDescent="0.2">
      <c r="A30" t="s">
        <v>38</v>
      </c>
      <c r="D30" s="5"/>
    </row>
  </sheetData>
  <printOptions horizontalCentered="1"/>
  <pageMargins left="0.75" right="0.75" top="1" bottom="1" header="0.5" footer="0.5"/>
  <pageSetup orientation="landscape" r:id="rId1"/>
  <headerFooter alignWithMargins="0">
    <oddHeader>&amp;CJULY 2000 PREBID THROUGHPUT</oddHeader>
    <oddFooter>&amp;Lo:\NAES\Texas Transport\Capacity\&amp;F &amp;A&amp;RUpdated &amp;D at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workbookViewId="0">
      <selection activeCell="F21" sqref="F21"/>
    </sheetView>
  </sheetViews>
  <sheetFormatPr defaultRowHeight="12.75" x14ac:dyDescent="0.2"/>
  <cols>
    <col min="1" max="1" width="16.85546875" bestFit="1" customWidth="1"/>
  </cols>
  <sheetData>
    <row r="1" spans="1:10" ht="21.75" thickBot="1" x14ac:dyDescent="0.25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">
      <c r="A2" s="10" t="s">
        <v>1</v>
      </c>
      <c r="B2" s="11">
        <v>33700</v>
      </c>
      <c r="C2" s="3">
        <v>148780</v>
      </c>
      <c r="D2" s="2">
        <v>1127</v>
      </c>
      <c r="E2" s="30">
        <f t="shared" ref="E2:E26" si="0">SUM(B2:D2)</f>
        <v>183607</v>
      </c>
      <c r="F2" s="11"/>
      <c r="G2" s="3">
        <v>3</v>
      </c>
      <c r="H2" s="3">
        <v>0</v>
      </c>
      <c r="I2" s="30">
        <f t="shared" ref="I2:I26" si="1">SUM(F2:H2)</f>
        <v>3</v>
      </c>
      <c r="J2" s="13">
        <f>+E2</f>
        <v>183607</v>
      </c>
    </row>
    <row r="3" spans="1:10" x14ac:dyDescent="0.2">
      <c r="A3" s="10" t="s">
        <v>2</v>
      </c>
      <c r="B3" s="11"/>
      <c r="C3" s="2">
        <v>11057</v>
      </c>
      <c r="D3" s="2">
        <v>0</v>
      </c>
      <c r="E3" s="30">
        <f t="shared" si="0"/>
        <v>11057</v>
      </c>
      <c r="F3" s="11">
        <v>50</v>
      </c>
      <c r="G3" s="3">
        <v>1906</v>
      </c>
      <c r="H3" s="3">
        <v>0</v>
      </c>
      <c r="I3" s="30">
        <f t="shared" si="1"/>
        <v>1956</v>
      </c>
      <c r="J3" s="13">
        <f>+E3</f>
        <v>11057</v>
      </c>
    </row>
    <row r="4" spans="1:10" x14ac:dyDescent="0.2">
      <c r="A4" s="10" t="s">
        <v>3</v>
      </c>
      <c r="B4" s="11">
        <v>660</v>
      </c>
      <c r="C4" s="2">
        <v>300</v>
      </c>
      <c r="D4" s="2"/>
      <c r="E4" s="30">
        <f t="shared" si="0"/>
        <v>960</v>
      </c>
      <c r="F4" s="11"/>
      <c r="G4" s="3">
        <v>947</v>
      </c>
      <c r="H4" s="3"/>
      <c r="I4" s="30">
        <f t="shared" si="1"/>
        <v>947</v>
      </c>
      <c r="J4" s="13">
        <f>+E4</f>
        <v>960</v>
      </c>
    </row>
    <row r="5" spans="1:10" x14ac:dyDescent="0.2">
      <c r="A5" s="10" t="s">
        <v>4</v>
      </c>
      <c r="B5" s="11">
        <v>640</v>
      </c>
      <c r="C5" s="2">
        <v>0</v>
      </c>
      <c r="D5" s="2"/>
      <c r="E5" s="30">
        <f t="shared" si="0"/>
        <v>640</v>
      </c>
      <c r="F5" s="11"/>
      <c r="G5" s="3">
        <v>0</v>
      </c>
      <c r="H5" s="3">
        <v>1</v>
      </c>
      <c r="I5" s="30">
        <f t="shared" si="1"/>
        <v>1</v>
      </c>
      <c r="J5" s="13">
        <f>+E5</f>
        <v>640</v>
      </c>
    </row>
    <row r="6" spans="1:10" x14ac:dyDescent="0.2">
      <c r="A6" s="10" t="s">
        <v>5</v>
      </c>
      <c r="B6" s="11"/>
      <c r="C6" s="2">
        <v>0</v>
      </c>
      <c r="D6" s="2"/>
      <c r="E6" s="30">
        <f t="shared" si="0"/>
        <v>0</v>
      </c>
      <c r="F6" s="11"/>
      <c r="G6" s="3">
        <v>7501</v>
      </c>
      <c r="H6" s="3">
        <v>50</v>
      </c>
      <c r="I6" s="30">
        <f t="shared" si="1"/>
        <v>7551</v>
      </c>
      <c r="J6" s="13">
        <f>-I6</f>
        <v>-7551</v>
      </c>
    </row>
    <row r="7" spans="1:10" x14ac:dyDescent="0.2">
      <c r="A7" s="10" t="s">
        <v>6</v>
      </c>
      <c r="B7" s="11">
        <v>4727</v>
      </c>
      <c r="C7" s="3">
        <v>134008</v>
      </c>
      <c r="D7" s="2">
        <v>1</v>
      </c>
      <c r="E7" s="30">
        <f t="shared" si="0"/>
        <v>138736</v>
      </c>
      <c r="F7" s="11">
        <v>14430</v>
      </c>
      <c r="G7" s="3">
        <v>3217</v>
      </c>
      <c r="H7" s="3">
        <v>49938</v>
      </c>
      <c r="I7" s="30">
        <f t="shared" si="1"/>
        <v>67585</v>
      </c>
      <c r="J7" s="13">
        <f>+E7</f>
        <v>138736</v>
      </c>
    </row>
    <row r="8" spans="1:10" x14ac:dyDescent="0.2">
      <c r="A8" s="10" t="s">
        <v>7</v>
      </c>
      <c r="B8" s="11">
        <v>102882</v>
      </c>
      <c r="C8" s="2">
        <v>0</v>
      </c>
      <c r="D8" s="2"/>
      <c r="E8" s="30">
        <f t="shared" si="0"/>
        <v>102882</v>
      </c>
      <c r="F8" s="11">
        <v>102882</v>
      </c>
      <c r="G8" s="3">
        <v>0</v>
      </c>
      <c r="H8" s="3">
        <v>0</v>
      </c>
      <c r="I8" s="30">
        <f t="shared" si="1"/>
        <v>102882</v>
      </c>
      <c r="J8" s="13">
        <f>-I8</f>
        <v>-102882</v>
      </c>
    </row>
    <row r="9" spans="1:10" x14ac:dyDescent="0.2">
      <c r="A9" s="10" t="s">
        <v>8</v>
      </c>
      <c r="B9" s="11">
        <v>21892</v>
      </c>
      <c r="C9" s="3">
        <v>80822</v>
      </c>
      <c r="D9" s="2"/>
      <c r="E9" s="30">
        <f t="shared" si="0"/>
        <v>102714</v>
      </c>
      <c r="F9" s="11"/>
      <c r="G9" s="3">
        <v>20099</v>
      </c>
      <c r="H9" s="3"/>
      <c r="I9" s="30">
        <f t="shared" si="1"/>
        <v>20099</v>
      </c>
      <c r="J9" s="13">
        <f>+E9</f>
        <v>102714</v>
      </c>
    </row>
    <row r="10" spans="1:10" x14ac:dyDescent="0.2">
      <c r="A10" s="10" t="s">
        <v>9</v>
      </c>
      <c r="B10" s="11"/>
      <c r="C10" s="2">
        <v>0</v>
      </c>
      <c r="D10" s="2"/>
      <c r="E10" s="30">
        <f t="shared" si="0"/>
        <v>0</v>
      </c>
      <c r="F10" s="11">
        <v>35400</v>
      </c>
      <c r="G10" s="3">
        <v>177853</v>
      </c>
      <c r="H10" s="3"/>
      <c r="I10" s="30">
        <f t="shared" si="1"/>
        <v>213253</v>
      </c>
      <c r="J10" s="13">
        <f>-I10</f>
        <v>-213253</v>
      </c>
    </row>
    <row r="11" spans="1:10" x14ac:dyDescent="0.2">
      <c r="A11" s="10" t="s">
        <v>10</v>
      </c>
      <c r="B11" s="11">
        <v>5250</v>
      </c>
      <c r="C11" s="3">
        <v>148418</v>
      </c>
      <c r="D11" s="2">
        <v>50</v>
      </c>
      <c r="E11" s="30">
        <f t="shared" si="0"/>
        <v>153718</v>
      </c>
      <c r="F11" s="11">
        <v>15321</v>
      </c>
      <c r="G11" s="3">
        <v>24107</v>
      </c>
      <c r="H11" s="3">
        <v>0</v>
      </c>
      <c r="I11" s="30">
        <f t="shared" si="1"/>
        <v>39428</v>
      </c>
      <c r="J11" s="13"/>
    </row>
    <row r="12" spans="1:10" x14ac:dyDescent="0.2">
      <c r="A12" s="10" t="s">
        <v>11</v>
      </c>
      <c r="B12" s="11">
        <v>1235</v>
      </c>
      <c r="C12" s="3">
        <v>11350</v>
      </c>
      <c r="D12" s="3">
        <v>10158</v>
      </c>
      <c r="E12" s="30">
        <f t="shared" si="0"/>
        <v>22743</v>
      </c>
      <c r="F12" s="11">
        <v>888</v>
      </c>
      <c r="G12" s="3">
        <v>156160</v>
      </c>
      <c r="H12" s="3"/>
      <c r="I12" s="30">
        <f t="shared" si="1"/>
        <v>157048</v>
      </c>
      <c r="J12" s="13">
        <f>-I12</f>
        <v>-157048</v>
      </c>
    </row>
    <row r="13" spans="1:10" x14ac:dyDescent="0.2">
      <c r="A13" s="10" t="s">
        <v>12</v>
      </c>
      <c r="B13" s="11"/>
      <c r="C13" s="3">
        <v>54250</v>
      </c>
      <c r="D13" s="2">
        <v>0</v>
      </c>
      <c r="E13" s="30">
        <f t="shared" si="0"/>
        <v>54250</v>
      </c>
      <c r="F13" s="11">
        <v>35000</v>
      </c>
      <c r="G13" s="3">
        <v>312545</v>
      </c>
      <c r="H13" s="3">
        <v>400</v>
      </c>
      <c r="I13" s="30">
        <f t="shared" si="1"/>
        <v>347945</v>
      </c>
      <c r="J13" s="13">
        <f>-I13</f>
        <v>-347945</v>
      </c>
    </row>
    <row r="14" spans="1:10" x14ac:dyDescent="0.2">
      <c r="A14" s="10" t="s">
        <v>13</v>
      </c>
      <c r="B14" s="11">
        <v>5735</v>
      </c>
      <c r="C14" s="3">
        <v>114608</v>
      </c>
      <c r="D14" s="2">
        <v>1084</v>
      </c>
      <c r="E14" s="30">
        <f t="shared" si="0"/>
        <v>121427</v>
      </c>
      <c r="F14" s="11"/>
      <c r="G14" s="3">
        <v>30131</v>
      </c>
      <c r="H14" s="3"/>
      <c r="I14" s="30">
        <f t="shared" si="1"/>
        <v>30131</v>
      </c>
      <c r="J14" s="13">
        <f>+E14</f>
        <v>121427</v>
      </c>
    </row>
    <row r="15" spans="1:10" x14ac:dyDescent="0.2">
      <c r="A15" s="10" t="s">
        <v>14</v>
      </c>
      <c r="B15" s="11">
        <v>45923</v>
      </c>
      <c r="C15" s="3">
        <v>90000</v>
      </c>
      <c r="D15" s="2">
        <v>0</v>
      </c>
      <c r="E15" s="30">
        <f t="shared" si="0"/>
        <v>135923</v>
      </c>
      <c r="F15" s="11"/>
      <c r="G15" s="3">
        <v>40001</v>
      </c>
      <c r="H15" s="3">
        <v>0</v>
      </c>
      <c r="I15" s="30">
        <f t="shared" si="1"/>
        <v>40001</v>
      </c>
      <c r="J15" s="13">
        <f>+E15</f>
        <v>135923</v>
      </c>
    </row>
    <row r="16" spans="1:10" x14ac:dyDescent="0.2">
      <c r="A16" s="10" t="s">
        <v>15</v>
      </c>
      <c r="B16" s="11"/>
      <c r="C16" s="3">
        <v>3820</v>
      </c>
      <c r="D16" s="2"/>
      <c r="E16" s="30">
        <f t="shared" si="0"/>
        <v>3820</v>
      </c>
      <c r="F16" s="11"/>
      <c r="G16" s="3">
        <v>38822</v>
      </c>
      <c r="H16" s="3"/>
      <c r="I16" s="30">
        <f t="shared" si="1"/>
        <v>38822</v>
      </c>
      <c r="J16" s="13">
        <f>-I16</f>
        <v>-38822</v>
      </c>
    </row>
    <row r="17" spans="1:10" x14ac:dyDescent="0.2">
      <c r="A17" s="10" t="s">
        <v>16</v>
      </c>
      <c r="B17" s="11"/>
      <c r="E17" s="30">
        <f t="shared" si="0"/>
        <v>0</v>
      </c>
      <c r="F17" s="11"/>
      <c r="G17" s="5"/>
      <c r="H17" s="3">
        <v>65000</v>
      </c>
      <c r="I17" s="30">
        <f t="shared" si="1"/>
        <v>65000</v>
      </c>
      <c r="J17" s="13">
        <f>+E17</f>
        <v>0</v>
      </c>
    </row>
    <row r="18" spans="1:10" x14ac:dyDescent="0.2">
      <c r="A18" s="10" t="s">
        <v>17</v>
      </c>
      <c r="B18" s="11"/>
      <c r="C18" s="3">
        <v>52287</v>
      </c>
      <c r="D18" s="2"/>
      <c r="E18" s="30">
        <f t="shared" si="0"/>
        <v>52287</v>
      </c>
      <c r="F18" s="11">
        <v>9052</v>
      </c>
      <c r="G18" s="3">
        <v>55525</v>
      </c>
      <c r="H18" s="3"/>
      <c r="I18" s="30">
        <f t="shared" si="1"/>
        <v>64577</v>
      </c>
      <c r="J18" s="13"/>
    </row>
    <row r="19" spans="1:10" x14ac:dyDescent="0.2">
      <c r="A19" s="10" t="s">
        <v>18</v>
      </c>
      <c r="B19" s="11"/>
      <c r="C19" s="3">
        <v>11942</v>
      </c>
      <c r="D19" s="2"/>
      <c r="E19" s="30">
        <f t="shared" si="0"/>
        <v>11942</v>
      </c>
      <c r="F19" s="11"/>
      <c r="G19" s="3">
        <v>48</v>
      </c>
      <c r="H19" s="3"/>
      <c r="I19" s="30">
        <f t="shared" si="1"/>
        <v>48</v>
      </c>
      <c r="J19" s="13">
        <f t="shared" ref="J19:J24" si="2">-I19</f>
        <v>-48</v>
      </c>
    </row>
    <row r="20" spans="1:10" x14ac:dyDescent="0.2">
      <c r="A20" s="10" t="s">
        <v>19</v>
      </c>
      <c r="B20" s="11">
        <v>1500</v>
      </c>
      <c r="C20" s="3">
        <v>218232</v>
      </c>
      <c r="D20" s="3">
        <v>50000</v>
      </c>
      <c r="E20" s="30">
        <f t="shared" si="0"/>
        <v>269732</v>
      </c>
      <c r="F20" s="11">
        <v>10256</v>
      </c>
      <c r="G20" s="3">
        <v>185251</v>
      </c>
      <c r="H20" s="3">
        <v>5466</v>
      </c>
      <c r="I20" s="30">
        <f t="shared" si="1"/>
        <v>200973</v>
      </c>
      <c r="J20" s="13">
        <f t="shared" si="2"/>
        <v>-200973</v>
      </c>
    </row>
    <row r="21" spans="1:10" x14ac:dyDescent="0.2">
      <c r="A21" s="10" t="s">
        <v>20</v>
      </c>
      <c r="B21" s="11"/>
      <c r="C21" s="3">
        <v>4473</v>
      </c>
      <c r="D21" s="2"/>
      <c r="E21" s="30">
        <f t="shared" si="0"/>
        <v>4473</v>
      </c>
      <c r="F21" s="11">
        <v>823</v>
      </c>
      <c r="G21" s="3">
        <v>16965</v>
      </c>
      <c r="H21" s="3"/>
      <c r="I21" s="30">
        <f t="shared" si="1"/>
        <v>17788</v>
      </c>
      <c r="J21" s="13">
        <f t="shared" si="2"/>
        <v>-17788</v>
      </c>
    </row>
    <row r="22" spans="1:10" x14ac:dyDescent="0.2">
      <c r="A22" s="10" t="s">
        <v>21</v>
      </c>
      <c r="B22" s="11"/>
      <c r="C22" s="3">
        <v>1020</v>
      </c>
      <c r="D22" s="2"/>
      <c r="E22" s="30">
        <f t="shared" si="0"/>
        <v>1020</v>
      </c>
      <c r="F22" s="11"/>
      <c r="G22" s="3">
        <v>35040</v>
      </c>
      <c r="H22" s="3"/>
      <c r="I22" s="30">
        <f t="shared" si="1"/>
        <v>35040</v>
      </c>
      <c r="J22" s="13">
        <f t="shared" si="2"/>
        <v>-35040</v>
      </c>
    </row>
    <row r="23" spans="1:10" x14ac:dyDescent="0.2">
      <c r="A23" s="10" t="s">
        <v>22</v>
      </c>
      <c r="B23" s="11"/>
      <c r="C23" s="3">
        <v>20228</v>
      </c>
      <c r="D23" s="2"/>
      <c r="E23" s="30">
        <f t="shared" si="0"/>
        <v>20228</v>
      </c>
      <c r="F23" s="11"/>
      <c r="G23" s="3">
        <v>5186</v>
      </c>
      <c r="H23" s="3"/>
      <c r="I23" s="30">
        <f t="shared" si="1"/>
        <v>5186</v>
      </c>
      <c r="J23" s="13">
        <f t="shared" si="2"/>
        <v>-5186</v>
      </c>
    </row>
    <row r="24" spans="1:10" x14ac:dyDescent="0.2">
      <c r="A24" s="10" t="s">
        <v>23</v>
      </c>
      <c r="B24" s="11"/>
      <c r="C24" s="2"/>
      <c r="D24" s="2"/>
      <c r="E24" s="30">
        <f t="shared" si="0"/>
        <v>0</v>
      </c>
      <c r="F24" s="11">
        <v>257</v>
      </c>
      <c r="G24" s="3">
        <v>3201</v>
      </c>
      <c r="H24" s="3"/>
      <c r="I24" s="30">
        <f t="shared" si="1"/>
        <v>3458</v>
      </c>
      <c r="J24" s="13">
        <f t="shared" si="2"/>
        <v>-3458</v>
      </c>
    </row>
    <row r="25" spans="1:10" x14ac:dyDescent="0.2">
      <c r="A25" s="10" t="s">
        <v>24</v>
      </c>
      <c r="B25" s="11"/>
      <c r="C25" s="2">
        <v>0</v>
      </c>
      <c r="D25" s="2"/>
      <c r="E25" s="30">
        <f t="shared" si="0"/>
        <v>0</v>
      </c>
      <c r="F25" s="11"/>
      <c r="G25" s="3">
        <v>1251</v>
      </c>
      <c r="H25" s="3"/>
      <c r="I25" s="30">
        <f t="shared" si="1"/>
        <v>1251</v>
      </c>
      <c r="J25" s="25"/>
    </row>
    <row r="26" spans="1:10" x14ac:dyDescent="0.2">
      <c r="A26" s="29" t="s">
        <v>25</v>
      </c>
      <c r="B26" s="21">
        <v>4064</v>
      </c>
      <c r="C26" s="22">
        <v>628</v>
      </c>
      <c r="D26" s="34"/>
      <c r="E26" s="31">
        <f t="shared" si="0"/>
        <v>4692</v>
      </c>
      <c r="F26" s="21">
        <v>3849</v>
      </c>
      <c r="G26" s="21">
        <v>11749</v>
      </c>
      <c r="H26" s="35"/>
      <c r="I26" s="31">
        <f t="shared" si="1"/>
        <v>15598</v>
      </c>
      <c r="J26" s="23"/>
    </row>
    <row r="27" spans="1:10" x14ac:dyDescent="0.2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5" thickBot="1" x14ac:dyDescent="0.25">
      <c r="A28" s="17" t="s">
        <v>37</v>
      </c>
      <c r="B28" s="18">
        <f>SUM(B2:B27)</f>
        <v>228208</v>
      </c>
      <c r="C28" s="19"/>
      <c r="D28" s="19"/>
      <c r="E28" s="33">
        <f>SUM(E2:E26)</f>
        <v>1396851</v>
      </c>
      <c r="F28" s="28">
        <f>SUM(F2:F27)</f>
        <v>228208</v>
      </c>
      <c r="G28" s="19"/>
      <c r="H28" s="19"/>
      <c r="I28" s="18">
        <f>SUM(I2:I26)</f>
        <v>1476571</v>
      </c>
      <c r="J28" s="20"/>
    </row>
    <row r="29" spans="1:10" x14ac:dyDescent="0.2">
      <c r="G29" s="5"/>
    </row>
    <row r="30" spans="1:10" x14ac:dyDescent="0.2">
      <c r="A30" t="s">
        <v>38</v>
      </c>
      <c r="D30" s="5"/>
    </row>
  </sheetData>
  <printOptions horizontalCentered="1"/>
  <pageMargins left="0.75" right="0.75" top="1" bottom="1" header="0.5" footer="0.5"/>
  <pageSetup orientation="landscape" r:id="rId1"/>
  <headerFooter alignWithMargins="0">
    <oddHeader>&amp;CJULY 2000 PREBID THROUGHPUT</oddHeader>
    <oddFooter>&amp;Lo:\NAES\Texas Transport\Capacity\&amp;F &amp;A&amp;RUpdated &amp;D at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2" sqref="J2"/>
    </sheetView>
  </sheetViews>
  <sheetFormatPr defaultRowHeight="12.75" x14ac:dyDescent="0.2"/>
  <cols>
    <col min="1" max="1" width="16.85546875" bestFit="1" customWidth="1"/>
    <col min="2" max="3" width="8" bestFit="1" customWidth="1"/>
    <col min="4" max="4" width="7.85546875" bestFit="1" customWidth="1"/>
    <col min="5" max="5" width="8" bestFit="1" customWidth="1"/>
    <col min="6" max="6" width="7.5703125" bestFit="1" customWidth="1"/>
    <col min="8" max="8" width="7.85546875" bestFit="1" customWidth="1"/>
    <col min="9" max="9" width="8" bestFit="1" customWidth="1"/>
  </cols>
  <sheetData>
    <row r="1" spans="1:10" ht="21" x14ac:dyDescent="0.2">
      <c r="A1" s="1" t="s">
        <v>0</v>
      </c>
      <c r="B1" s="4" t="s">
        <v>28</v>
      </c>
      <c r="C1" s="1" t="s">
        <v>26</v>
      </c>
      <c r="D1" s="4" t="s">
        <v>31</v>
      </c>
      <c r="E1" s="4" t="s">
        <v>32</v>
      </c>
      <c r="F1" s="4" t="s">
        <v>29</v>
      </c>
      <c r="G1" s="1" t="s">
        <v>27</v>
      </c>
      <c r="H1" s="4" t="s">
        <v>31</v>
      </c>
      <c r="I1" s="4" t="s">
        <v>33</v>
      </c>
      <c r="J1" s="4" t="s">
        <v>30</v>
      </c>
    </row>
    <row r="2" spans="1:10" x14ac:dyDescent="0.2">
      <c r="A2" s="1" t="s">
        <v>1</v>
      </c>
      <c r="B2" s="3">
        <f>+(8480+8300+3500+15180)/30+15000+25000+15000</f>
        <v>56182</v>
      </c>
      <c r="C2" s="3">
        <v>151543</v>
      </c>
      <c r="D2" s="3">
        <v>2309</v>
      </c>
      <c r="E2" s="3">
        <f t="shared" ref="E2:E26" si="0">+B2+C2+D2</f>
        <v>210034</v>
      </c>
      <c r="F2" s="3">
        <f>40590/30</f>
        <v>1353</v>
      </c>
      <c r="G2" s="3">
        <v>18000</v>
      </c>
      <c r="H2" s="2"/>
      <c r="I2" s="3">
        <f t="shared" ref="I2:I26" si="1">+F2+G2+H2</f>
        <v>19353</v>
      </c>
      <c r="J2" s="3">
        <f>+E2</f>
        <v>210034</v>
      </c>
    </row>
    <row r="3" spans="1:10" x14ac:dyDescent="0.2">
      <c r="A3" s="1" t="s">
        <v>2</v>
      </c>
      <c r="B3" s="3"/>
      <c r="C3" s="3">
        <v>26971</v>
      </c>
      <c r="D3" s="2"/>
      <c r="E3" s="3">
        <f t="shared" si="0"/>
        <v>26971</v>
      </c>
      <c r="F3" s="3">
        <v>125</v>
      </c>
      <c r="G3" s="3">
        <v>14804</v>
      </c>
      <c r="H3" s="2"/>
      <c r="I3" s="3">
        <f t="shared" si="1"/>
        <v>14929</v>
      </c>
      <c r="J3" s="3">
        <f>+E3</f>
        <v>26971</v>
      </c>
    </row>
    <row r="4" spans="1:10" x14ac:dyDescent="0.2">
      <c r="A4" s="1" t="s">
        <v>3</v>
      </c>
      <c r="B4" s="3">
        <v>171</v>
      </c>
      <c r="C4" s="3">
        <v>19223</v>
      </c>
      <c r="D4" s="2"/>
      <c r="E4" s="3">
        <f t="shared" si="0"/>
        <v>19394</v>
      </c>
      <c r="F4" s="3"/>
      <c r="G4" s="3">
        <v>4028</v>
      </c>
      <c r="H4" s="3">
        <v>23700</v>
      </c>
      <c r="I4" s="3">
        <f t="shared" si="1"/>
        <v>27728</v>
      </c>
      <c r="J4" s="3">
        <f>+E4</f>
        <v>19394</v>
      </c>
    </row>
    <row r="5" spans="1:10" x14ac:dyDescent="0.2">
      <c r="A5" s="1" t="s">
        <v>4</v>
      </c>
      <c r="B5" s="3"/>
      <c r="C5" s="3">
        <v>15449</v>
      </c>
      <c r="D5" s="2"/>
      <c r="E5" s="3">
        <f t="shared" si="0"/>
        <v>15449</v>
      </c>
      <c r="F5" s="3"/>
      <c r="G5" s="2">
        <v>0</v>
      </c>
      <c r="H5" s="3">
        <v>38826</v>
      </c>
      <c r="I5" s="3">
        <f t="shared" si="1"/>
        <v>38826</v>
      </c>
      <c r="J5" s="3"/>
    </row>
    <row r="6" spans="1:10" x14ac:dyDescent="0.2">
      <c r="A6" s="1" t="s">
        <v>5</v>
      </c>
      <c r="B6" s="3"/>
      <c r="C6" s="3">
        <v>5900</v>
      </c>
      <c r="D6" s="2"/>
      <c r="E6" s="3">
        <f t="shared" si="0"/>
        <v>5900</v>
      </c>
      <c r="F6" s="3"/>
      <c r="G6" s="2">
        <v>1</v>
      </c>
      <c r="H6" s="2">
        <v>50</v>
      </c>
      <c r="I6" s="3">
        <f t="shared" si="1"/>
        <v>51</v>
      </c>
      <c r="J6" s="3"/>
    </row>
    <row r="7" spans="1:10" x14ac:dyDescent="0.2">
      <c r="A7" s="1" t="s">
        <v>6</v>
      </c>
      <c r="B7" s="3">
        <v>300</v>
      </c>
      <c r="C7" s="3">
        <v>40964</v>
      </c>
      <c r="D7" s="3">
        <v>85264</v>
      </c>
      <c r="E7" s="3">
        <f t="shared" si="0"/>
        <v>126528</v>
      </c>
      <c r="F7" s="3">
        <f>+(275100+24900)/30</f>
        <v>10000</v>
      </c>
      <c r="G7" s="2">
        <v>563</v>
      </c>
      <c r="H7" s="2"/>
      <c r="I7" s="3">
        <f t="shared" si="1"/>
        <v>10563</v>
      </c>
      <c r="J7" s="3">
        <f>+E7</f>
        <v>126528</v>
      </c>
    </row>
    <row r="8" spans="1:10" x14ac:dyDescent="0.2">
      <c r="A8" s="1" t="s">
        <v>7</v>
      </c>
      <c r="B8" s="3">
        <f>36267/30</f>
        <v>1208.9000000000001</v>
      </c>
      <c r="C8" s="3">
        <v>49993</v>
      </c>
      <c r="D8" s="2"/>
      <c r="E8" s="3">
        <f t="shared" si="0"/>
        <v>51201.9</v>
      </c>
      <c r="F8" s="3"/>
      <c r="G8" s="3">
        <v>1501</v>
      </c>
      <c r="H8" s="3">
        <v>18988</v>
      </c>
      <c r="I8" s="3">
        <f t="shared" si="1"/>
        <v>20489</v>
      </c>
      <c r="J8" s="3"/>
    </row>
    <row r="9" spans="1:10" x14ac:dyDescent="0.2">
      <c r="A9" s="1" t="s">
        <v>8</v>
      </c>
      <c r="B9" s="3">
        <f>+(125370+556400+43500+12900+600000+806346+27880+6863+743714)/30+15000</f>
        <v>112432.43333333333</v>
      </c>
      <c r="C9" s="3">
        <v>86803</v>
      </c>
      <c r="D9" s="2"/>
      <c r="E9" s="3">
        <f t="shared" si="0"/>
        <v>199235.43333333335</v>
      </c>
      <c r="F9" s="3">
        <f>+(960277+32766)/30</f>
        <v>33101.433333333334</v>
      </c>
      <c r="G9" s="3">
        <v>20351</v>
      </c>
      <c r="H9" s="2">
        <v>140</v>
      </c>
      <c r="I9" s="3">
        <f t="shared" si="1"/>
        <v>53592.433333333334</v>
      </c>
      <c r="J9" s="3">
        <f>+E9</f>
        <v>199235.43333333335</v>
      </c>
    </row>
    <row r="10" spans="1:10" x14ac:dyDescent="0.2">
      <c r="A10" s="1" t="s">
        <v>9</v>
      </c>
      <c r="B10" s="3">
        <f>1228173/30+9000</f>
        <v>49939.1</v>
      </c>
      <c r="C10" s="3">
        <v>30413</v>
      </c>
      <c r="D10" s="2"/>
      <c r="E10" s="3">
        <f t="shared" si="0"/>
        <v>80352.100000000006</v>
      </c>
      <c r="F10" s="3">
        <f>333.333333333333+15000</f>
        <v>15333.333333333332</v>
      </c>
      <c r="G10" s="3">
        <v>177790</v>
      </c>
      <c r="H10" s="2"/>
      <c r="I10" s="3">
        <f t="shared" si="1"/>
        <v>193123.33333333334</v>
      </c>
      <c r="J10" s="3">
        <f>-I10</f>
        <v>-193123.33333333334</v>
      </c>
    </row>
    <row r="11" spans="1:10" x14ac:dyDescent="0.2">
      <c r="A11" s="1" t="s">
        <v>10</v>
      </c>
      <c r="B11" s="3">
        <f>+(15000+360000)/30</f>
        <v>12500</v>
      </c>
      <c r="C11" s="3">
        <v>168387</v>
      </c>
      <c r="D11" s="2">
        <v>50</v>
      </c>
      <c r="E11" s="3">
        <f t="shared" si="0"/>
        <v>180937</v>
      </c>
      <c r="F11" s="3">
        <f>+(270000+30000+375000)/30+10000</f>
        <v>32500</v>
      </c>
      <c r="G11" s="3">
        <v>60270</v>
      </c>
      <c r="H11" s="2">
        <v>60</v>
      </c>
      <c r="I11" s="3">
        <f t="shared" si="1"/>
        <v>92830</v>
      </c>
      <c r="J11" s="3"/>
    </row>
    <row r="12" spans="1:10" x14ac:dyDescent="0.2">
      <c r="A12" s="1" t="s">
        <v>11</v>
      </c>
      <c r="B12" s="3"/>
      <c r="C12" s="3">
        <v>14812</v>
      </c>
      <c r="D12" s="2">
        <v>5867</v>
      </c>
      <c r="E12" s="3">
        <f t="shared" si="0"/>
        <v>20679</v>
      </c>
      <c r="F12" s="3"/>
      <c r="G12" s="3">
        <v>148071</v>
      </c>
      <c r="H12" s="2"/>
      <c r="I12" s="3">
        <f t="shared" si="1"/>
        <v>148071</v>
      </c>
      <c r="J12" s="3">
        <f>-I12</f>
        <v>-148071</v>
      </c>
    </row>
    <row r="13" spans="1:10" x14ac:dyDescent="0.2">
      <c r="A13" s="1" t="s">
        <v>12</v>
      </c>
      <c r="B13" s="3"/>
      <c r="C13" s="3">
        <v>24168</v>
      </c>
      <c r="D13" s="2"/>
      <c r="E13" s="3">
        <f t="shared" si="0"/>
        <v>24168</v>
      </c>
      <c r="F13" s="3">
        <v>18000</v>
      </c>
      <c r="G13" s="3">
        <v>386497</v>
      </c>
      <c r="H13" s="2"/>
      <c r="I13" s="3">
        <f t="shared" si="1"/>
        <v>404497</v>
      </c>
      <c r="J13" s="3">
        <f>-I13</f>
        <v>-404497</v>
      </c>
    </row>
    <row r="14" spans="1:10" x14ac:dyDescent="0.2">
      <c r="A14" s="1" t="s">
        <v>13</v>
      </c>
      <c r="B14" s="3">
        <f>+(25000+19350)/30+10000</f>
        <v>11478.333333333334</v>
      </c>
      <c r="C14" s="3">
        <v>106396</v>
      </c>
      <c r="D14" s="2">
        <v>959</v>
      </c>
      <c r="E14" s="3">
        <f t="shared" si="0"/>
        <v>118833.33333333333</v>
      </c>
      <c r="F14" s="3"/>
      <c r="G14" s="3">
        <v>59452</v>
      </c>
      <c r="H14" s="2"/>
      <c r="I14" s="3">
        <f t="shared" si="1"/>
        <v>59452</v>
      </c>
      <c r="J14" s="3">
        <f>+E14</f>
        <v>118833.33333333333</v>
      </c>
    </row>
    <row r="15" spans="1:10" x14ac:dyDescent="0.2">
      <c r="A15" s="1" t="s">
        <v>14</v>
      </c>
      <c r="B15" s="3">
        <f>+(53730+6750)/30+10000</f>
        <v>12016</v>
      </c>
      <c r="C15" s="3">
        <v>82680</v>
      </c>
      <c r="D15" s="3">
        <v>1152</v>
      </c>
      <c r="E15" s="3">
        <f t="shared" si="0"/>
        <v>95848</v>
      </c>
      <c r="F15" s="3"/>
      <c r="G15" s="3">
        <v>49001</v>
      </c>
      <c r="H15" s="2">
        <v>0</v>
      </c>
      <c r="I15" s="3">
        <f t="shared" si="1"/>
        <v>49001</v>
      </c>
      <c r="J15" s="3">
        <f>+E15</f>
        <v>95848</v>
      </c>
    </row>
    <row r="16" spans="1:10" x14ac:dyDescent="0.2">
      <c r="A16" s="1" t="s">
        <v>15</v>
      </c>
      <c r="B16" s="3"/>
      <c r="C16" s="3">
        <v>18907</v>
      </c>
      <c r="D16" s="2"/>
      <c r="E16" s="3">
        <f t="shared" si="0"/>
        <v>18907</v>
      </c>
      <c r="F16" s="3">
        <v>124</v>
      </c>
      <c r="G16" s="3">
        <v>57460</v>
      </c>
      <c r="H16" s="2"/>
      <c r="I16" s="3">
        <f t="shared" si="1"/>
        <v>57584</v>
      </c>
      <c r="J16" s="3"/>
    </row>
    <row r="17" spans="1:10" x14ac:dyDescent="0.2">
      <c r="A17" s="1" t="s">
        <v>16</v>
      </c>
      <c r="B17" s="3"/>
      <c r="C17" s="3">
        <v>1039</v>
      </c>
      <c r="D17" s="2"/>
      <c r="E17" s="3">
        <f t="shared" si="0"/>
        <v>1039</v>
      </c>
      <c r="F17" s="3"/>
      <c r="G17" s="2">
        <v>0</v>
      </c>
      <c r="H17" s="2"/>
      <c r="I17" s="3">
        <f t="shared" si="1"/>
        <v>0</v>
      </c>
      <c r="J17" s="3">
        <f>+E17</f>
        <v>1039</v>
      </c>
    </row>
    <row r="18" spans="1:10" x14ac:dyDescent="0.2">
      <c r="A18" s="1" t="s">
        <v>17</v>
      </c>
      <c r="B18" s="3"/>
      <c r="C18" s="3">
        <v>0</v>
      </c>
      <c r="D18" s="2"/>
      <c r="E18" s="3">
        <f t="shared" si="0"/>
        <v>0</v>
      </c>
      <c r="F18" s="3"/>
      <c r="G18" s="3">
        <v>25627</v>
      </c>
      <c r="H18" s="2"/>
      <c r="I18" s="3">
        <f t="shared" si="1"/>
        <v>25627</v>
      </c>
      <c r="J18" s="3"/>
    </row>
    <row r="19" spans="1:10" x14ac:dyDescent="0.2">
      <c r="A19" s="1" t="s">
        <v>18</v>
      </c>
      <c r="B19" s="3"/>
      <c r="C19" s="3">
        <v>3787</v>
      </c>
      <c r="D19" s="2"/>
      <c r="E19" s="3">
        <f t="shared" si="0"/>
        <v>3787</v>
      </c>
      <c r="F19" s="3">
        <f>1302500/30</f>
        <v>43416.666666666664</v>
      </c>
      <c r="G19" s="2">
        <v>50</v>
      </c>
      <c r="H19" s="2"/>
      <c r="I19" s="3">
        <f t="shared" si="1"/>
        <v>43466.666666666664</v>
      </c>
      <c r="J19" s="3"/>
    </row>
    <row r="20" spans="1:10" x14ac:dyDescent="0.2">
      <c r="A20" s="1" t="s">
        <v>19</v>
      </c>
      <c r="B20" s="3">
        <f>+(96000+30+30+3900)/30+12000</f>
        <v>15332</v>
      </c>
      <c r="C20" s="3">
        <v>206439</v>
      </c>
      <c r="D20" s="2"/>
      <c r="E20" s="3">
        <f t="shared" si="0"/>
        <v>221771</v>
      </c>
      <c r="F20" s="3">
        <f>+(600000+2460)/30+12000+10000+9000</f>
        <v>51082</v>
      </c>
      <c r="G20" s="3">
        <v>155121</v>
      </c>
      <c r="H20" s="3">
        <v>6595</v>
      </c>
      <c r="I20" s="3">
        <f t="shared" si="1"/>
        <v>212798</v>
      </c>
      <c r="J20" s="3"/>
    </row>
    <row r="21" spans="1:10" x14ac:dyDescent="0.2">
      <c r="A21" s="1" t="s">
        <v>20</v>
      </c>
      <c r="B21" s="3"/>
      <c r="C21" s="3">
        <v>6550</v>
      </c>
      <c r="D21" s="2"/>
      <c r="E21" s="3">
        <f t="shared" si="0"/>
        <v>6550</v>
      </c>
      <c r="F21" s="3">
        <f>+(5400+7500+6750+19350)/30</f>
        <v>1300</v>
      </c>
      <c r="G21" s="3">
        <v>15351</v>
      </c>
      <c r="H21" s="2">
        <v>0</v>
      </c>
      <c r="I21" s="3">
        <f t="shared" si="1"/>
        <v>16651</v>
      </c>
      <c r="J21" s="3"/>
    </row>
    <row r="22" spans="1:10" x14ac:dyDescent="0.2">
      <c r="A22" s="1" t="s">
        <v>21</v>
      </c>
      <c r="B22" s="3"/>
      <c r="C22" s="3">
        <v>7208</v>
      </c>
      <c r="D22" s="2"/>
      <c r="E22" s="3">
        <f t="shared" si="0"/>
        <v>7208</v>
      </c>
      <c r="F22" s="3">
        <f>+(286500+13500)/30+15000+10000+10000+5000+15000</f>
        <v>65000</v>
      </c>
      <c r="G22" s="3">
        <v>45063</v>
      </c>
      <c r="H22" s="2"/>
      <c r="I22" s="3">
        <f t="shared" si="1"/>
        <v>110063</v>
      </c>
      <c r="J22" s="3">
        <f>-I22</f>
        <v>-110063</v>
      </c>
    </row>
    <row r="23" spans="1:10" x14ac:dyDescent="0.2">
      <c r="A23" s="1" t="s">
        <v>22</v>
      </c>
      <c r="B23" s="3"/>
      <c r="C23" s="3">
        <v>17137</v>
      </c>
      <c r="D23" s="2">
        <v>140</v>
      </c>
      <c r="E23" s="3">
        <f t="shared" si="0"/>
        <v>17277</v>
      </c>
      <c r="F23" s="3"/>
      <c r="G23" s="3">
        <v>11288</v>
      </c>
      <c r="H23" s="3">
        <v>1152</v>
      </c>
      <c r="I23" s="3">
        <f t="shared" si="1"/>
        <v>12440</v>
      </c>
      <c r="J23" s="3"/>
    </row>
    <row r="24" spans="1:10" x14ac:dyDescent="0.2">
      <c r="A24" s="1" t="s">
        <v>23</v>
      </c>
      <c r="B24" s="3"/>
      <c r="C24" s="3">
        <v>719</v>
      </c>
      <c r="D24" s="2"/>
      <c r="E24" s="3">
        <f t="shared" si="0"/>
        <v>719</v>
      </c>
      <c r="F24" s="3">
        <f>+(6750)/30</f>
        <v>225</v>
      </c>
      <c r="G24" s="3">
        <v>1501</v>
      </c>
      <c r="H24" s="2"/>
      <c r="I24" s="3">
        <f t="shared" si="1"/>
        <v>1726</v>
      </c>
      <c r="J24" s="2"/>
    </row>
    <row r="25" spans="1:10" x14ac:dyDescent="0.2">
      <c r="A25" s="1" t="s">
        <v>24</v>
      </c>
      <c r="B25" s="2"/>
      <c r="C25" s="2">
        <v>23</v>
      </c>
      <c r="D25" s="2"/>
      <c r="E25" s="2">
        <f t="shared" si="0"/>
        <v>23</v>
      </c>
      <c r="F25" s="2"/>
      <c r="G25" s="2">
        <v>841</v>
      </c>
      <c r="H25" s="2"/>
      <c r="I25" s="3">
        <f t="shared" si="1"/>
        <v>841</v>
      </c>
      <c r="J25" s="2"/>
    </row>
    <row r="26" spans="1:10" x14ac:dyDescent="0.2">
      <c r="A26" s="1" t="s">
        <v>25</v>
      </c>
      <c r="B26" s="3"/>
      <c r="C26" s="3">
        <v>2812</v>
      </c>
      <c r="D26" s="2"/>
      <c r="E26" s="3">
        <f t="shared" si="0"/>
        <v>2812</v>
      </c>
      <c r="F26" s="3"/>
      <c r="G26" s="3">
        <v>11773</v>
      </c>
      <c r="H26" s="2"/>
      <c r="I26" s="3">
        <f t="shared" si="1"/>
        <v>11773</v>
      </c>
      <c r="J26" s="3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31" sqref="B31"/>
    </sheetView>
  </sheetViews>
  <sheetFormatPr defaultRowHeight="12.75" x14ac:dyDescent="0.2"/>
  <cols>
    <col min="1" max="1" width="16.85546875" bestFit="1" customWidth="1"/>
    <col min="2" max="4" width="8" bestFit="1" customWidth="1"/>
    <col min="5" max="5" width="7.5703125" bestFit="1" customWidth="1"/>
    <col min="7" max="7" width="8" bestFit="1" customWidth="1"/>
  </cols>
  <sheetData>
    <row r="1" spans="1:8" ht="21" x14ac:dyDescent="0.2">
      <c r="A1" s="1" t="s">
        <v>0</v>
      </c>
      <c r="B1" s="4" t="s">
        <v>28</v>
      </c>
      <c r="C1" s="1" t="s">
        <v>26</v>
      </c>
      <c r="D1" s="4" t="s">
        <v>32</v>
      </c>
      <c r="E1" s="4" t="s">
        <v>29</v>
      </c>
      <c r="F1" s="1" t="s">
        <v>27</v>
      </c>
      <c r="G1" s="4" t="s">
        <v>33</v>
      </c>
      <c r="H1" s="4" t="s">
        <v>30</v>
      </c>
    </row>
    <row r="2" spans="1:8" x14ac:dyDescent="0.2">
      <c r="A2" s="1" t="s">
        <v>1</v>
      </c>
      <c r="B2" s="3">
        <f>55159+7500+35000+45000</f>
        <v>142659</v>
      </c>
      <c r="C2" s="3">
        <v>165065</v>
      </c>
      <c r="D2" s="3">
        <f>+B2+C2</f>
        <v>307724</v>
      </c>
      <c r="E2" s="3">
        <v>1430</v>
      </c>
      <c r="F2" s="3">
        <v>10125</v>
      </c>
      <c r="G2" s="3">
        <f>+E2+F2</f>
        <v>11555</v>
      </c>
      <c r="H2" s="3">
        <f>+D2</f>
        <v>307724</v>
      </c>
    </row>
    <row r="3" spans="1:8" x14ac:dyDescent="0.2">
      <c r="A3" s="1" t="s">
        <v>2</v>
      </c>
      <c r="B3" s="3">
        <v>150</v>
      </c>
      <c r="C3" s="3">
        <v>4582</v>
      </c>
      <c r="D3" s="3">
        <f t="shared" ref="D3:D26" si="0">+B3+C3</f>
        <v>4732</v>
      </c>
      <c r="E3" s="3">
        <v>125</v>
      </c>
      <c r="F3" s="3">
        <v>14199</v>
      </c>
      <c r="G3" s="3">
        <f t="shared" ref="G3:G26" si="1">+E3+F3</f>
        <v>14324</v>
      </c>
      <c r="H3" s="3">
        <f>+D3</f>
        <v>4732</v>
      </c>
    </row>
    <row r="4" spans="1:8" x14ac:dyDescent="0.2">
      <c r="A4" s="1" t="s">
        <v>3</v>
      </c>
      <c r="B4" s="3"/>
      <c r="C4" s="3">
        <v>9278</v>
      </c>
      <c r="D4" s="3">
        <f t="shared" si="0"/>
        <v>9278</v>
      </c>
      <c r="E4" s="3"/>
      <c r="F4" s="3">
        <v>4617</v>
      </c>
      <c r="G4" s="3">
        <f t="shared" si="1"/>
        <v>4617</v>
      </c>
      <c r="H4" s="3">
        <f>+D4</f>
        <v>9278</v>
      </c>
    </row>
    <row r="5" spans="1:8" x14ac:dyDescent="0.2">
      <c r="A5" s="1" t="s">
        <v>4</v>
      </c>
      <c r="B5" s="3">
        <v>550</v>
      </c>
      <c r="C5" s="2">
        <v>632</v>
      </c>
      <c r="D5" s="3">
        <f t="shared" si="0"/>
        <v>1182</v>
      </c>
      <c r="E5" s="3"/>
      <c r="F5" s="2">
        <v>0</v>
      </c>
      <c r="G5" s="3">
        <f t="shared" si="1"/>
        <v>0</v>
      </c>
      <c r="H5" s="3"/>
    </row>
    <row r="6" spans="1:8" x14ac:dyDescent="0.2">
      <c r="A6" s="1" t="s">
        <v>5</v>
      </c>
      <c r="B6" s="3"/>
      <c r="C6" s="2">
        <v>0</v>
      </c>
      <c r="D6" s="3">
        <f t="shared" si="0"/>
        <v>0</v>
      </c>
      <c r="E6" s="3">
        <v>3465</v>
      </c>
      <c r="F6" s="3">
        <v>5000</v>
      </c>
      <c r="G6" s="3">
        <f t="shared" si="1"/>
        <v>8465</v>
      </c>
      <c r="H6" s="3"/>
    </row>
    <row r="7" spans="1:8" x14ac:dyDescent="0.2">
      <c r="A7" s="1" t="s">
        <v>6</v>
      </c>
      <c r="B7" s="3">
        <v>16071</v>
      </c>
      <c r="C7" s="3">
        <v>138988</v>
      </c>
      <c r="D7" s="3">
        <f t="shared" si="0"/>
        <v>155059</v>
      </c>
      <c r="E7" s="3">
        <f>5771+10000</f>
        <v>15771</v>
      </c>
      <c r="F7" s="2">
        <v>617</v>
      </c>
      <c r="G7" s="3">
        <f t="shared" si="1"/>
        <v>16388</v>
      </c>
      <c r="H7" s="3">
        <f>+D7</f>
        <v>155059</v>
      </c>
    </row>
    <row r="8" spans="1:8" x14ac:dyDescent="0.2">
      <c r="A8" s="1" t="s">
        <v>7</v>
      </c>
      <c r="B8" s="3">
        <v>23600</v>
      </c>
      <c r="C8" s="2">
        <v>0</v>
      </c>
      <c r="D8" s="3">
        <f t="shared" si="0"/>
        <v>23600</v>
      </c>
      <c r="E8" s="3">
        <v>22880</v>
      </c>
      <c r="F8" s="3">
        <v>1500</v>
      </c>
      <c r="G8" s="3">
        <f t="shared" si="1"/>
        <v>24380</v>
      </c>
      <c r="H8" s="3"/>
    </row>
    <row r="9" spans="1:8" x14ac:dyDescent="0.2">
      <c r="A9" s="1" t="s">
        <v>8</v>
      </c>
      <c r="B9" s="3">
        <f>48212</f>
        <v>48212</v>
      </c>
      <c r="C9" s="3">
        <v>159017</v>
      </c>
      <c r="D9" s="3">
        <f t="shared" si="0"/>
        <v>207229</v>
      </c>
      <c r="E9" s="3">
        <v>10000</v>
      </c>
      <c r="F9" s="2">
        <v>301</v>
      </c>
      <c r="G9" s="3">
        <f t="shared" si="1"/>
        <v>10301</v>
      </c>
      <c r="H9" s="3">
        <f>+D9</f>
        <v>207229</v>
      </c>
    </row>
    <row r="10" spans="1:8" x14ac:dyDescent="0.2">
      <c r="A10" s="1" t="s">
        <v>9</v>
      </c>
      <c r="B10" s="3">
        <f>3400+7300+15000</f>
        <v>25700</v>
      </c>
      <c r="C10" s="3">
        <v>23030</v>
      </c>
      <c r="D10" s="3">
        <f t="shared" si="0"/>
        <v>48730</v>
      </c>
      <c r="E10" s="3">
        <f>7000+10000</f>
        <v>17000</v>
      </c>
      <c r="F10" s="3">
        <v>177855</v>
      </c>
      <c r="G10" s="3">
        <f t="shared" si="1"/>
        <v>194855</v>
      </c>
      <c r="H10" s="3">
        <f>-G10</f>
        <v>-194855</v>
      </c>
    </row>
    <row r="11" spans="1:8" x14ac:dyDescent="0.2">
      <c r="A11" s="1" t="s">
        <v>10</v>
      </c>
      <c r="B11" s="3">
        <f>12500+5000+7500+13000+40000</f>
        <v>78000</v>
      </c>
      <c r="C11" s="3">
        <v>167181</v>
      </c>
      <c r="D11" s="3">
        <f t="shared" si="0"/>
        <v>245181</v>
      </c>
      <c r="E11" s="3">
        <f>12500+10000</f>
        <v>22500</v>
      </c>
      <c r="F11" s="3">
        <v>68249</v>
      </c>
      <c r="G11" s="3">
        <f t="shared" si="1"/>
        <v>90749</v>
      </c>
      <c r="H11" s="3"/>
    </row>
    <row r="12" spans="1:8" x14ac:dyDescent="0.2">
      <c r="A12" s="1" t="s">
        <v>11</v>
      </c>
      <c r="B12" s="3">
        <v>1555</v>
      </c>
      <c r="C12" s="3">
        <v>7671</v>
      </c>
      <c r="D12" s="3">
        <f t="shared" si="0"/>
        <v>9226</v>
      </c>
      <c r="E12" s="3">
        <v>26098</v>
      </c>
      <c r="F12" s="3">
        <v>148689</v>
      </c>
      <c r="G12" s="3">
        <f t="shared" si="1"/>
        <v>174787</v>
      </c>
      <c r="H12" s="3">
        <f>-G12</f>
        <v>-174787</v>
      </c>
    </row>
    <row r="13" spans="1:8" x14ac:dyDescent="0.2">
      <c r="A13" s="1" t="s">
        <v>12</v>
      </c>
      <c r="B13" s="3"/>
      <c r="C13" s="3">
        <v>48316</v>
      </c>
      <c r="D13" s="3">
        <f t="shared" si="0"/>
        <v>48316</v>
      </c>
      <c r="E13" s="3">
        <f>25000+1000+10000</f>
        <v>36000</v>
      </c>
      <c r="F13" s="3">
        <v>500848</v>
      </c>
      <c r="G13" s="3">
        <f t="shared" si="1"/>
        <v>536848</v>
      </c>
      <c r="H13" s="3">
        <f>-G13</f>
        <v>-536848</v>
      </c>
    </row>
    <row r="14" spans="1:8" x14ac:dyDescent="0.2">
      <c r="A14" s="1" t="s">
        <v>13</v>
      </c>
      <c r="B14" s="3">
        <v>11550</v>
      </c>
      <c r="C14" s="3">
        <v>123348</v>
      </c>
      <c r="D14" s="3">
        <f t="shared" si="0"/>
        <v>134898</v>
      </c>
      <c r="E14" s="3"/>
      <c r="F14" s="3">
        <v>59472</v>
      </c>
      <c r="G14" s="3">
        <f t="shared" si="1"/>
        <v>59472</v>
      </c>
      <c r="H14" s="3">
        <f>+D14</f>
        <v>134898</v>
      </c>
    </row>
    <row r="15" spans="1:8" x14ac:dyDescent="0.2">
      <c r="A15" s="1" t="s">
        <v>14</v>
      </c>
      <c r="B15" s="3">
        <f>236+10000</f>
        <v>10236</v>
      </c>
      <c r="C15" s="3">
        <v>92500</v>
      </c>
      <c r="D15" s="3">
        <f t="shared" si="0"/>
        <v>102736</v>
      </c>
      <c r="E15" s="3"/>
      <c r="F15" s="3">
        <v>34001</v>
      </c>
      <c r="G15" s="3">
        <f t="shared" si="1"/>
        <v>34001</v>
      </c>
      <c r="H15" s="3">
        <f>+D15</f>
        <v>102736</v>
      </c>
    </row>
    <row r="16" spans="1:8" x14ac:dyDescent="0.2">
      <c r="A16" s="1" t="s">
        <v>15</v>
      </c>
      <c r="B16" s="3"/>
      <c r="C16" s="3">
        <v>5000</v>
      </c>
      <c r="D16" s="3">
        <f t="shared" si="0"/>
        <v>5000</v>
      </c>
      <c r="E16" s="3">
        <v>5000</v>
      </c>
      <c r="F16" s="3">
        <v>97260</v>
      </c>
      <c r="G16" s="3">
        <f t="shared" si="1"/>
        <v>102260</v>
      </c>
      <c r="H16" s="3"/>
    </row>
    <row r="17" spans="1:8" x14ac:dyDescent="0.2">
      <c r="A17" s="1" t="s">
        <v>16</v>
      </c>
      <c r="B17" s="3"/>
      <c r="C17" s="2"/>
      <c r="D17" s="3">
        <f t="shared" si="0"/>
        <v>0</v>
      </c>
      <c r="E17" s="3"/>
      <c r="F17" s="2"/>
      <c r="G17" s="3">
        <f t="shared" si="1"/>
        <v>0</v>
      </c>
      <c r="H17" s="3">
        <f>+D17</f>
        <v>0</v>
      </c>
    </row>
    <row r="18" spans="1:8" x14ac:dyDescent="0.2">
      <c r="A18" s="1" t="s">
        <v>17</v>
      </c>
      <c r="B18" s="3"/>
      <c r="C18" s="3">
        <v>68799</v>
      </c>
      <c r="D18" s="3">
        <f t="shared" si="0"/>
        <v>68799</v>
      </c>
      <c r="E18" s="3">
        <v>7095</v>
      </c>
      <c r="F18" s="3">
        <v>130085</v>
      </c>
      <c r="G18" s="3">
        <f t="shared" si="1"/>
        <v>137180</v>
      </c>
      <c r="H18" s="3"/>
    </row>
    <row r="19" spans="1:8" x14ac:dyDescent="0.2">
      <c r="A19" s="1" t="s">
        <v>18</v>
      </c>
      <c r="B19" s="3"/>
      <c r="C19" s="2">
        <v>115</v>
      </c>
      <c r="D19" s="3">
        <f t="shared" si="0"/>
        <v>115</v>
      </c>
      <c r="E19" s="3"/>
      <c r="F19" s="2">
        <v>48</v>
      </c>
      <c r="G19" s="3">
        <f t="shared" si="1"/>
        <v>48</v>
      </c>
      <c r="H19" s="3"/>
    </row>
    <row r="20" spans="1:8" x14ac:dyDescent="0.2">
      <c r="A20" s="1" t="s">
        <v>19</v>
      </c>
      <c r="B20" s="3">
        <f>130+1000</f>
        <v>1130</v>
      </c>
      <c r="C20" s="3">
        <v>254946</v>
      </c>
      <c r="D20" s="3">
        <f t="shared" si="0"/>
        <v>256076</v>
      </c>
      <c r="E20" s="3">
        <f>10237+9000+20000+60000</f>
        <v>99237</v>
      </c>
      <c r="F20" s="3">
        <v>150120</v>
      </c>
      <c r="G20" s="3">
        <f t="shared" si="1"/>
        <v>249357</v>
      </c>
      <c r="H20" s="3"/>
    </row>
    <row r="21" spans="1:8" x14ac:dyDescent="0.2">
      <c r="A21" s="1" t="s">
        <v>20</v>
      </c>
      <c r="B21" s="3"/>
      <c r="C21" s="3">
        <v>5713</v>
      </c>
      <c r="D21" s="3">
        <f t="shared" si="0"/>
        <v>5713</v>
      </c>
      <c r="E21" s="3">
        <v>20708</v>
      </c>
      <c r="F21" s="3">
        <v>15351</v>
      </c>
      <c r="G21" s="3">
        <f t="shared" si="1"/>
        <v>36059</v>
      </c>
      <c r="H21" s="3"/>
    </row>
    <row r="22" spans="1:8" x14ac:dyDescent="0.2">
      <c r="A22" s="1" t="s">
        <v>21</v>
      </c>
      <c r="B22" s="3">
        <v>1121</v>
      </c>
      <c r="C22" s="3">
        <v>1118</v>
      </c>
      <c r="D22" s="3">
        <f t="shared" si="0"/>
        <v>2239</v>
      </c>
      <c r="E22" s="3">
        <f>20000+15000+25000+13000</f>
        <v>73000</v>
      </c>
      <c r="F22" s="3">
        <v>40063</v>
      </c>
      <c r="G22" s="3">
        <f t="shared" si="1"/>
        <v>113063</v>
      </c>
      <c r="H22" s="3">
        <f>-G22</f>
        <v>-113063</v>
      </c>
    </row>
    <row r="23" spans="1:8" x14ac:dyDescent="0.2">
      <c r="A23" s="1" t="s">
        <v>22</v>
      </c>
      <c r="B23" s="3"/>
      <c r="C23" s="3">
        <v>15105</v>
      </c>
      <c r="D23" s="3">
        <f t="shared" si="0"/>
        <v>15105</v>
      </c>
      <c r="E23" s="3"/>
      <c r="F23" s="3">
        <v>11294</v>
      </c>
      <c r="G23" s="3">
        <f t="shared" si="1"/>
        <v>11294</v>
      </c>
      <c r="H23" s="3"/>
    </row>
    <row r="24" spans="1:8" x14ac:dyDescent="0.2">
      <c r="A24" s="1" t="s">
        <v>23</v>
      </c>
      <c r="B24" s="3"/>
      <c r="C24" s="2">
        <v>1</v>
      </c>
      <c r="D24" s="3">
        <f t="shared" si="0"/>
        <v>1</v>
      </c>
      <c r="E24" s="3">
        <v>2249</v>
      </c>
      <c r="F24" s="3">
        <v>1501</v>
      </c>
      <c r="G24" s="3">
        <f t="shared" si="1"/>
        <v>3750</v>
      </c>
      <c r="H24" s="2"/>
    </row>
    <row r="25" spans="1:8" x14ac:dyDescent="0.2">
      <c r="A25" s="1" t="s">
        <v>24</v>
      </c>
      <c r="B25" s="2"/>
      <c r="C25" s="2">
        <v>1</v>
      </c>
      <c r="D25" s="3">
        <f t="shared" si="0"/>
        <v>1</v>
      </c>
      <c r="E25" s="2"/>
      <c r="F25" s="3">
        <v>2303</v>
      </c>
      <c r="G25" s="3">
        <f t="shared" si="1"/>
        <v>2303</v>
      </c>
      <c r="H25" s="2"/>
    </row>
    <row r="26" spans="1:8" x14ac:dyDescent="0.2">
      <c r="A26" s="1" t="s">
        <v>25</v>
      </c>
      <c r="B26" s="3">
        <v>2024</v>
      </c>
      <c r="C26" s="3"/>
      <c r="D26" s="3">
        <f t="shared" si="0"/>
        <v>2024</v>
      </c>
      <c r="E26" s="3"/>
      <c r="F26" s="3">
        <v>11833</v>
      </c>
      <c r="G26" s="3">
        <f t="shared" si="1"/>
        <v>11833</v>
      </c>
      <c r="H26" s="3"/>
    </row>
    <row r="28" spans="1:8" x14ac:dyDescent="0.2">
      <c r="B28" s="5">
        <f>SUM(B2:B27)</f>
        <v>362558</v>
      </c>
      <c r="E28" s="5">
        <f>SUM(E2:E27)</f>
        <v>362558</v>
      </c>
    </row>
    <row r="30" spans="1:8" x14ac:dyDescent="0.2">
      <c r="B30" t="s">
        <v>34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J34"/>
    </sheetView>
  </sheetViews>
  <sheetFormatPr defaultRowHeight="12.75" x14ac:dyDescent="0.2"/>
  <cols>
    <col min="1" max="1" width="16.85546875" bestFit="1" customWidth="1"/>
    <col min="2" max="2" width="9.7109375" customWidth="1"/>
    <col min="3" max="3" width="8" bestFit="1" customWidth="1"/>
    <col min="4" max="4" width="8" customWidth="1"/>
    <col min="5" max="5" width="8" bestFit="1" customWidth="1"/>
    <col min="6" max="6" width="7.5703125" bestFit="1" customWidth="1"/>
    <col min="9" max="9" width="8" bestFit="1" customWidth="1"/>
  </cols>
  <sheetData>
    <row r="1" spans="1:10" ht="21" x14ac:dyDescent="0.2">
      <c r="A1" s="1" t="s">
        <v>0</v>
      </c>
      <c r="B1" s="4" t="s">
        <v>28</v>
      </c>
      <c r="C1" s="1" t="s">
        <v>26</v>
      </c>
      <c r="D1" s="4" t="s">
        <v>35</v>
      </c>
      <c r="E1" s="4" t="s">
        <v>32</v>
      </c>
      <c r="F1" s="4" t="s">
        <v>29</v>
      </c>
      <c r="G1" s="1" t="s">
        <v>27</v>
      </c>
      <c r="H1" s="4" t="s">
        <v>35</v>
      </c>
      <c r="I1" s="4" t="s">
        <v>33</v>
      </c>
      <c r="J1" s="4" t="s">
        <v>30</v>
      </c>
    </row>
    <row r="2" spans="1:10" x14ac:dyDescent="0.2">
      <c r="A2" s="1" t="s">
        <v>1</v>
      </c>
      <c r="B2" s="3">
        <f>55159+7500+35000+5000+34197+1423</f>
        <v>138279</v>
      </c>
      <c r="C2" s="3">
        <v>172764</v>
      </c>
      <c r="D2" s="3"/>
      <c r="E2" s="3">
        <f>SUM(B2:D2)</f>
        <v>311043</v>
      </c>
      <c r="F2" s="3">
        <v>1430</v>
      </c>
      <c r="G2" s="3">
        <v>10125</v>
      </c>
      <c r="H2" s="3">
        <v>162639</v>
      </c>
      <c r="I2" s="3">
        <f>SUM(F2:H2)</f>
        <v>174194</v>
      </c>
      <c r="J2" s="3">
        <f>+E2</f>
        <v>311043</v>
      </c>
    </row>
    <row r="3" spans="1:10" x14ac:dyDescent="0.2">
      <c r="A3" s="1" t="s">
        <v>2</v>
      </c>
      <c r="B3" s="3">
        <f>150+1764</f>
        <v>1914</v>
      </c>
      <c r="C3" s="3">
        <v>4582</v>
      </c>
      <c r="D3" s="3">
        <v>9617</v>
      </c>
      <c r="E3" s="3">
        <f t="shared" ref="E3:E26" si="0">SUM(B3:D3)</f>
        <v>16113</v>
      </c>
      <c r="F3" s="3">
        <v>125</v>
      </c>
      <c r="G3" s="3">
        <v>14199</v>
      </c>
      <c r="H3" s="2">
        <v>0</v>
      </c>
      <c r="I3" s="3">
        <f t="shared" ref="I3:I26" si="1">SUM(F3:H3)</f>
        <v>14324</v>
      </c>
      <c r="J3" s="3">
        <f>+E3</f>
        <v>16113</v>
      </c>
    </row>
    <row r="4" spans="1:10" x14ac:dyDescent="0.2">
      <c r="A4" s="1" t="s">
        <v>3</v>
      </c>
      <c r="B4" s="3"/>
      <c r="C4" s="3">
        <v>9278</v>
      </c>
      <c r="D4" s="3"/>
      <c r="E4" s="3">
        <f t="shared" si="0"/>
        <v>9278</v>
      </c>
      <c r="F4" s="3"/>
      <c r="G4" s="3">
        <v>4617</v>
      </c>
      <c r="H4" s="2">
        <v>0</v>
      </c>
      <c r="I4" s="3">
        <f t="shared" si="1"/>
        <v>4617</v>
      </c>
      <c r="J4" s="3">
        <f>+E4</f>
        <v>9278</v>
      </c>
    </row>
    <row r="5" spans="1:10" x14ac:dyDescent="0.2">
      <c r="A5" s="1" t="s">
        <v>4</v>
      </c>
      <c r="B5" s="3">
        <v>550</v>
      </c>
      <c r="C5" s="2">
        <v>632</v>
      </c>
      <c r="D5" s="2"/>
      <c r="E5" s="3">
        <f t="shared" si="0"/>
        <v>1182</v>
      </c>
      <c r="F5" s="3"/>
      <c r="G5" s="2">
        <v>0</v>
      </c>
      <c r="H5" s="2"/>
      <c r="I5" s="3">
        <f t="shared" si="1"/>
        <v>0</v>
      </c>
      <c r="J5" s="3"/>
    </row>
    <row r="6" spans="1:10" x14ac:dyDescent="0.2">
      <c r="A6" s="1" t="s">
        <v>5</v>
      </c>
      <c r="B6" s="3"/>
      <c r="C6" s="2">
        <v>0</v>
      </c>
      <c r="D6" s="2">
        <v>5000</v>
      </c>
      <c r="E6" s="3">
        <f t="shared" si="0"/>
        <v>5000</v>
      </c>
      <c r="F6" s="3">
        <v>3465</v>
      </c>
      <c r="G6" s="3">
        <v>5000</v>
      </c>
      <c r="H6" s="2">
        <v>0</v>
      </c>
      <c r="I6" s="3">
        <f t="shared" si="1"/>
        <v>8465</v>
      </c>
      <c r="J6" s="3"/>
    </row>
    <row r="7" spans="1:10" x14ac:dyDescent="0.2">
      <c r="A7" s="1" t="s">
        <v>6</v>
      </c>
      <c r="B7" s="3">
        <v>16071</v>
      </c>
      <c r="C7" s="3">
        <v>150906</v>
      </c>
      <c r="D7" s="3"/>
      <c r="E7" s="3">
        <f t="shared" si="0"/>
        <v>166977</v>
      </c>
      <c r="F7" s="3">
        <f>5771+10000+6000</f>
        <v>21771</v>
      </c>
      <c r="G7" s="2">
        <v>617</v>
      </c>
      <c r="H7" s="3">
        <v>150289</v>
      </c>
      <c r="I7" s="3">
        <f t="shared" si="1"/>
        <v>172677</v>
      </c>
      <c r="J7" s="3">
        <f>+E7</f>
        <v>166977</v>
      </c>
    </row>
    <row r="8" spans="1:10" x14ac:dyDescent="0.2">
      <c r="A8" s="1" t="s">
        <v>7</v>
      </c>
      <c r="B8" s="3">
        <v>23600</v>
      </c>
      <c r="C8" s="2">
        <v>0</v>
      </c>
      <c r="D8" s="2"/>
      <c r="E8" s="3">
        <f t="shared" si="0"/>
        <v>23600</v>
      </c>
      <c r="F8" s="3">
        <v>22880</v>
      </c>
      <c r="G8" s="3">
        <v>1500</v>
      </c>
      <c r="H8" s="2"/>
      <c r="I8" s="3">
        <f t="shared" si="1"/>
        <v>24380</v>
      </c>
      <c r="J8" s="3"/>
    </row>
    <row r="9" spans="1:10" x14ac:dyDescent="0.2">
      <c r="A9" s="1" t="s">
        <v>8</v>
      </c>
      <c r="B9" s="3">
        <f>48212+15000+18896+20000</f>
        <v>102108</v>
      </c>
      <c r="C9" s="3">
        <v>159017</v>
      </c>
      <c r="D9" s="3">
        <v>0</v>
      </c>
      <c r="E9" s="3">
        <f t="shared" si="0"/>
        <v>261125</v>
      </c>
      <c r="F9" s="3">
        <f>10000+7000</f>
        <v>17000</v>
      </c>
      <c r="G9" s="3">
        <v>25301</v>
      </c>
      <c r="H9" s="3">
        <v>163716</v>
      </c>
      <c r="I9" s="3">
        <f t="shared" si="1"/>
        <v>206017</v>
      </c>
      <c r="J9" s="3">
        <f>+E9</f>
        <v>261125</v>
      </c>
    </row>
    <row r="10" spans="1:10" x14ac:dyDescent="0.2">
      <c r="A10" s="1" t="s">
        <v>9</v>
      </c>
      <c r="B10" s="3">
        <f>3400+7300+15000</f>
        <v>25700</v>
      </c>
      <c r="C10" s="3">
        <v>23030</v>
      </c>
      <c r="D10" s="3">
        <v>154825</v>
      </c>
      <c r="E10" s="3">
        <f t="shared" si="0"/>
        <v>203555</v>
      </c>
      <c r="F10" s="3">
        <f>7000+10000+11701</f>
        <v>28701</v>
      </c>
      <c r="G10" s="3">
        <v>177855</v>
      </c>
      <c r="H10" s="2"/>
      <c r="I10" s="3">
        <f t="shared" si="1"/>
        <v>206556</v>
      </c>
      <c r="J10" s="3">
        <f>-I10</f>
        <v>-206556</v>
      </c>
    </row>
    <row r="11" spans="1:10" x14ac:dyDescent="0.2">
      <c r="A11" s="1" t="s">
        <v>10</v>
      </c>
      <c r="B11" s="3">
        <f>12500+5000+7500+13000+40000</f>
        <v>78000</v>
      </c>
      <c r="C11" s="3">
        <v>168002</v>
      </c>
      <c r="D11" s="3"/>
      <c r="E11" s="3">
        <f t="shared" si="0"/>
        <v>246002</v>
      </c>
      <c r="F11" s="3">
        <f>12500+10000+10000+10000</f>
        <v>42500</v>
      </c>
      <c r="G11" s="3">
        <v>68249</v>
      </c>
      <c r="H11" s="3">
        <v>99753</v>
      </c>
      <c r="I11" s="3">
        <f t="shared" si="1"/>
        <v>210502</v>
      </c>
      <c r="J11" s="3"/>
    </row>
    <row r="12" spans="1:10" x14ac:dyDescent="0.2">
      <c r="A12" s="1" t="s">
        <v>11</v>
      </c>
      <c r="B12" s="3">
        <v>1555</v>
      </c>
      <c r="C12" s="3">
        <v>7671</v>
      </c>
      <c r="D12" s="3">
        <v>141018</v>
      </c>
      <c r="E12" s="3">
        <f t="shared" si="0"/>
        <v>150244</v>
      </c>
      <c r="F12" s="3">
        <v>26098</v>
      </c>
      <c r="G12" s="3">
        <v>148689</v>
      </c>
      <c r="H12" s="2"/>
      <c r="I12" s="3">
        <f t="shared" si="1"/>
        <v>174787</v>
      </c>
      <c r="J12" s="3">
        <f>-I12</f>
        <v>-174787</v>
      </c>
    </row>
    <row r="13" spans="1:10" x14ac:dyDescent="0.2">
      <c r="A13" s="1" t="s">
        <v>12</v>
      </c>
      <c r="B13" s="3"/>
      <c r="C13" s="3">
        <v>48816</v>
      </c>
      <c r="D13" s="3">
        <v>413633</v>
      </c>
      <c r="E13" s="3">
        <f t="shared" si="0"/>
        <v>462449</v>
      </c>
      <c r="F13" s="3">
        <f>25000+1000+10000+30000</f>
        <v>66000</v>
      </c>
      <c r="G13" s="3">
        <v>469074</v>
      </c>
      <c r="H13" s="2">
        <v>400</v>
      </c>
      <c r="I13" s="3">
        <f t="shared" si="1"/>
        <v>535474</v>
      </c>
      <c r="J13" s="3">
        <f>-I13</f>
        <v>-535474</v>
      </c>
    </row>
    <row r="14" spans="1:10" x14ac:dyDescent="0.2">
      <c r="A14" s="1" t="s">
        <v>13</v>
      </c>
      <c r="B14" s="3">
        <f>11550+17705</f>
        <v>29255</v>
      </c>
      <c r="C14" s="3">
        <v>126558</v>
      </c>
      <c r="D14" s="3">
        <v>0</v>
      </c>
      <c r="E14" s="3">
        <f t="shared" si="0"/>
        <v>155813</v>
      </c>
      <c r="F14" s="3"/>
      <c r="G14" s="3">
        <v>59472</v>
      </c>
      <c r="H14" s="3">
        <v>67086</v>
      </c>
      <c r="I14" s="3">
        <f t="shared" si="1"/>
        <v>126558</v>
      </c>
      <c r="J14" s="3">
        <f>+E14</f>
        <v>155813</v>
      </c>
    </row>
    <row r="15" spans="1:10" x14ac:dyDescent="0.2">
      <c r="A15" s="1" t="s">
        <v>14</v>
      </c>
      <c r="B15" s="3">
        <f>236+10000+580</f>
        <v>10816</v>
      </c>
      <c r="C15" s="3">
        <v>100525</v>
      </c>
      <c r="D15" s="3">
        <v>12236</v>
      </c>
      <c r="E15" s="3">
        <f t="shared" si="0"/>
        <v>123577</v>
      </c>
      <c r="F15" s="3"/>
      <c r="G15" s="3">
        <v>4001</v>
      </c>
      <c r="H15" s="3">
        <v>108760</v>
      </c>
      <c r="I15" s="3">
        <f t="shared" si="1"/>
        <v>112761</v>
      </c>
      <c r="J15" s="3">
        <f>+E15</f>
        <v>123577</v>
      </c>
    </row>
    <row r="16" spans="1:10" x14ac:dyDescent="0.2">
      <c r="A16" s="1" t="s">
        <v>15</v>
      </c>
      <c r="B16" s="3"/>
      <c r="C16" s="3">
        <v>5000</v>
      </c>
      <c r="D16" s="3">
        <v>92260</v>
      </c>
      <c r="E16" s="3">
        <f t="shared" si="0"/>
        <v>97260</v>
      </c>
      <c r="F16" s="3">
        <v>5000</v>
      </c>
      <c r="G16" s="3">
        <v>97260</v>
      </c>
      <c r="H16" s="2"/>
      <c r="I16" s="3">
        <f t="shared" si="1"/>
        <v>102260</v>
      </c>
      <c r="J16" s="3"/>
    </row>
    <row r="17" spans="1:10" x14ac:dyDescent="0.2">
      <c r="A17" s="1" t="s">
        <v>16</v>
      </c>
      <c r="B17" s="3"/>
      <c r="C17" s="2"/>
      <c r="D17" s="2">
        <v>0</v>
      </c>
      <c r="E17" s="3">
        <f t="shared" si="0"/>
        <v>0</v>
      </c>
      <c r="F17" s="3"/>
      <c r="G17" s="2">
        <v>0</v>
      </c>
      <c r="H17" s="2">
        <v>0</v>
      </c>
      <c r="I17" s="3">
        <f t="shared" si="1"/>
        <v>0</v>
      </c>
      <c r="J17" s="3">
        <f>+E17</f>
        <v>0</v>
      </c>
    </row>
    <row r="18" spans="1:10" x14ac:dyDescent="0.2">
      <c r="A18" s="1" t="s">
        <v>17</v>
      </c>
      <c r="B18" s="3"/>
      <c r="C18" s="3">
        <v>20934</v>
      </c>
      <c r="D18" s="3">
        <v>17207</v>
      </c>
      <c r="E18" s="3">
        <f t="shared" si="0"/>
        <v>38141</v>
      </c>
      <c r="F18" s="3">
        <v>7095</v>
      </c>
      <c r="G18" s="3">
        <v>35085</v>
      </c>
      <c r="H18" s="3">
        <v>12236</v>
      </c>
      <c r="I18" s="3">
        <f t="shared" si="1"/>
        <v>54416</v>
      </c>
      <c r="J18" s="3"/>
    </row>
    <row r="19" spans="1:10" x14ac:dyDescent="0.2">
      <c r="A19" s="1" t="s">
        <v>18</v>
      </c>
      <c r="B19" s="3"/>
      <c r="C19" s="2">
        <v>115</v>
      </c>
      <c r="D19" s="2">
        <v>0</v>
      </c>
      <c r="E19" s="3">
        <f t="shared" si="0"/>
        <v>115</v>
      </c>
      <c r="F19" s="3">
        <v>15000</v>
      </c>
      <c r="G19" s="2">
        <v>48</v>
      </c>
      <c r="H19" s="2">
        <v>67</v>
      </c>
      <c r="I19" s="3">
        <f t="shared" si="1"/>
        <v>15115</v>
      </c>
      <c r="J19" s="3"/>
    </row>
    <row r="20" spans="1:10" x14ac:dyDescent="0.2">
      <c r="A20" s="1" t="s">
        <v>19</v>
      </c>
      <c r="B20" s="3">
        <f>130+1000+8000+3000</f>
        <v>12130</v>
      </c>
      <c r="C20" s="3">
        <v>266961</v>
      </c>
      <c r="D20" s="3">
        <v>9000</v>
      </c>
      <c r="E20" s="3">
        <f t="shared" si="0"/>
        <v>288091</v>
      </c>
      <c r="F20" s="3">
        <f>10237+9000+20000+35864+10000</f>
        <v>85101</v>
      </c>
      <c r="G20" s="3">
        <v>145120</v>
      </c>
      <c r="H20" s="3">
        <v>130841</v>
      </c>
      <c r="I20" s="3">
        <f t="shared" si="1"/>
        <v>361062</v>
      </c>
      <c r="J20" s="3"/>
    </row>
    <row r="21" spans="1:10" x14ac:dyDescent="0.2">
      <c r="A21" s="1" t="s">
        <v>20</v>
      </c>
      <c r="B21" s="3"/>
      <c r="C21" s="3">
        <v>5713</v>
      </c>
      <c r="D21" s="3">
        <v>9638</v>
      </c>
      <c r="E21" s="3">
        <f t="shared" si="0"/>
        <v>15351</v>
      </c>
      <c r="F21" s="3">
        <v>20708</v>
      </c>
      <c r="G21" s="3">
        <v>15351</v>
      </c>
      <c r="H21" s="2"/>
      <c r="I21" s="3">
        <f t="shared" si="1"/>
        <v>36059</v>
      </c>
      <c r="J21" s="3"/>
    </row>
    <row r="22" spans="1:10" x14ac:dyDescent="0.2">
      <c r="A22" s="1" t="s">
        <v>21</v>
      </c>
      <c r="B22" s="3">
        <v>1121</v>
      </c>
      <c r="C22" s="3">
        <v>1118</v>
      </c>
      <c r="D22" s="3">
        <v>38945</v>
      </c>
      <c r="E22" s="3">
        <f t="shared" si="0"/>
        <v>41184</v>
      </c>
      <c r="F22" s="3">
        <f>20000+15000+25000+13000+5000</f>
        <v>78000</v>
      </c>
      <c r="G22" s="3">
        <v>40063</v>
      </c>
      <c r="H22" s="2">
        <v>0</v>
      </c>
      <c r="I22" s="3">
        <f t="shared" si="1"/>
        <v>118063</v>
      </c>
      <c r="J22" s="3">
        <f>-I22</f>
        <v>-118063</v>
      </c>
    </row>
    <row r="23" spans="1:10" x14ac:dyDescent="0.2">
      <c r="A23" s="1" t="s">
        <v>22</v>
      </c>
      <c r="B23" s="3"/>
      <c r="C23" s="3">
        <v>15105</v>
      </c>
      <c r="D23" s="3">
        <v>0</v>
      </c>
      <c r="E23" s="3">
        <f t="shared" si="0"/>
        <v>15105</v>
      </c>
      <c r="F23" s="3"/>
      <c r="G23" s="3">
        <v>11294</v>
      </c>
      <c r="H23" s="3">
        <v>3811</v>
      </c>
      <c r="I23" s="3">
        <f t="shared" si="1"/>
        <v>15105</v>
      </c>
      <c r="J23" s="3"/>
    </row>
    <row r="24" spans="1:10" x14ac:dyDescent="0.2">
      <c r="A24" s="1" t="s">
        <v>23</v>
      </c>
      <c r="B24" s="3"/>
      <c r="C24" s="2">
        <v>1</v>
      </c>
      <c r="D24" s="2">
        <v>1500</v>
      </c>
      <c r="E24" s="3">
        <f t="shared" si="0"/>
        <v>1501</v>
      </c>
      <c r="F24" s="3">
        <v>2249</v>
      </c>
      <c r="G24" s="3">
        <v>1501</v>
      </c>
      <c r="H24" s="2">
        <v>0</v>
      </c>
      <c r="I24" s="3">
        <f t="shared" si="1"/>
        <v>3750</v>
      </c>
      <c r="J24" s="2"/>
    </row>
    <row r="25" spans="1:10" x14ac:dyDescent="0.2">
      <c r="A25" s="1" t="s">
        <v>24</v>
      </c>
      <c r="B25" s="2"/>
      <c r="C25" s="2">
        <v>1</v>
      </c>
      <c r="D25" s="2"/>
      <c r="E25" s="3">
        <f t="shared" si="0"/>
        <v>1</v>
      </c>
      <c r="F25" s="2"/>
      <c r="G25" s="3">
        <v>2303</v>
      </c>
      <c r="H25" s="2"/>
      <c r="I25" s="3">
        <f t="shared" si="1"/>
        <v>2303</v>
      </c>
      <c r="J25" s="2"/>
    </row>
    <row r="26" spans="1:10" x14ac:dyDescent="0.2">
      <c r="A26" s="1" t="s">
        <v>25</v>
      </c>
      <c r="B26" s="3">
        <v>2024</v>
      </c>
      <c r="C26" s="3"/>
      <c r="D26" s="3"/>
      <c r="E26" s="3">
        <f t="shared" si="0"/>
        <v>2024</v>
      </c>
      <c r="F26" s="3"/>
      <c r="G26" s="3">
        <v>11833</v>
      </c>
      <c r="H26" s="2"/>
      <c r="I26" s="3">
        <f t="shared" si="1"/>
        <v>11833</v>
      </c>
      <c r="J26" s="3"/>
    </row>
    <row r="28" spans="1:10" x14ac:dyDescent="0.2">
      <c r="B28" s="5">
        <f>SUM(B2:B27)</f>
        <v>443123</v>
      </c>
      <c r="F28" s="5">
        <f>SUM(F2:F27)</f>
        <v>443123</v>
      </c>
    </row>
    <row r="30" spans="1:10" x14ac:dyDescent="0.2">
      <c r="B30" t="s">
        <v>34</v>
      </c>
    </row>
    <row r="31" spans="1:10" x14ac:dyDescent="0.2">
      <c r="B31" t="s">
        <v>36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29" sqref="A29"/>
    </sheetView>
  </sheetViews>
  <sheetFormatPr defaultRowHeight="12.75" x14ac:dyDescent="0.2"/>
  <cols>
    <col min="1" max="1" width="16.85546875" bestFit="1" customWidth="1"/>
  </cols>
  <sheetData>
    <row r="1" spans="1:10" ht="21.75" thickBot="1" x14ac:dyDescent="0.25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">
      <c r="A2" s="10" t="s">
        <v>1</v>
      </c>
      <c r="B2" s="11">
        <f>26260+55000</f>
        <v>81260</v>
      </c>
      <c r="C2" s="11">
        <v>189089</v>
      </c>
      <c r="D2" s="12"/>
      <c r="E2" s="30">
        <f>SUM(B2:D2)</f>
        <v>270349</v>
      </c>
      <c r="F2" s="24">
        <v>1423</v>
      </c>
      <c r="G2" s="11">
        <v>10120</v>
      </c>
      <c r="H2" s="12">
        <v>0</v>
      </c>
      <c r="I2" s="30">
        <f>SUM(F2:H2)</f>
        <v>11543</v>
      </c>
      <c r="J2" s="13">
        <f>+E2</f>
        <v>270349</v>
      </c>
    </row>
    <row r="3" spans="1:10" x14ac:dyDescent="0.2">
      <c r="A3" s="10" t="s">
        <v>2</v>
      </c>
      <c r="B3" s="11">
        <v>17000</v>
      </c>
      <c r="C3" s="11">
        <v>12168</v>
      </c>
      <c r="D3" s="12">
        <v>2</v>
      </c>
      <c r="E3" s="30">
        <f t="shared" ref="E3:E26" si="0">SUM(B3:D3)</f>
        <v>29170</v>
      </c>
      <c r="F3" s="24">
        <v>125</v>
      </c>
      <c r="G3" s="11">
        <v>14544</v>
      </c>
      <c r="H3" s="12">
        <v>3</v>
      </c>
      <c r="I3" s="30">
        <f t="shared" ref="I3:I26" si="1">SUM(F3:H3)</f>
        <v>14672</v>
      </c>
      <c r="J3" s="13">
        <f>+E3</f>
        <v>29170</v>
      </c>
    </row>
    <row r="4" spans="1:10" x14ac:dyDescent="0.2">
      <c r="A4" s="10" t="s">
        <v>3</v>
      </c>
      <c r="B4" s="11">
        <v>163</v>
      </c>
      <c r="C4" s="12">
        <v>852</v>
      </c>
      <c r="D4" s="12"/>
      <c r="E4" s="30">
        <f t="shared" si="0"/>
        <v>1015</v>
      </c>
      <c r="F4" s="24"/>
      <c r="G4" s="11">
        <v>4115</v>
      </c>
      <c r="H4" s="12">
        <v>0</v>
      </c>
      <c r="I4" s="30">
        <f t="shared" si="1"/>
        <v>4115</v>
      </c>
      <c r="J4" s="13">
        <f>+E4</f>
        <v>1015</v>
      </c>
    </row>
    <row r="5" spans="1:10" x14ac:dyDescent="0.2">
      <c r="A5" s="10" t="s">
        <v>4</v>
      </c>
      <c r="B5" s="11"/>
      <c r="C5" s="12">
        <v>521</v>
      </c>
      <c r="D5" s="12"/>
      <c r="E5" s="30">
        <f t="shared" si="0"/>
        <v>521</v>
      </c>
      <c r="F5" s="24"/>
      <c r="G5" s="12">
        <v>0</v>
      </c>
      <c r="H5" s="11">
        <v>10812</v>
      </c>
      <c r="I5" s="30">
        <f t="shared" si="1"/>
        <v>10812</v>
      </c>
      <c r="J5" s="13"/>
    </row>
    <row r="6" spans="1:10" x14ac:dyDescent="0.2">
      <c r="A6" s="10" t="s">
        <v>5</v>
      </c>
      <c r="B6" s="11"/>
      <c r="C6" s="12">
        <v>0</v>
      </c>
      <c r="D6" s="12">
        <v>0</v>
      </c>
      <c r="E6" s="30">
        <f t="shared" si="0"/>
        <v>0</v>
      </c>
      <c r="F6" s="24">
        <v>29427</v>
      </c>
      <c r="G6" s="11">
        <v>5000</v>
      </c>
      <c r="H6" s="12">
        <v>0</v>
      </c>
      <c r="I6" s="30">
        <f t="shared" si="1"/>
        <v>34427</v>
      </c>
      <c r="J6" s="13"/>
    </row>
    <row r="7" spans="1:10" x14ac:dyDescent="0.2">
      <c r="A7" s="10" t="s">
        <v>6</v>
      </c>
      <c r="B7" s="11">
        <f>5984+26000</f>
        <v>31984</v>
      </c>
      <c r="C7" s="11">
        <v>155540</v>
      </c>
      <c r="D7" s="12"/>
      <c r="E7" s="30">
        <f t="shared" si="0"/>
        <v>187524</v>
      </c>
      <c r="F7" s="24">
        <f>5684+10000</f>
        <v>15684</v>
      </c>
      <c r="G7" s="12">
        <v>704</v>
      </c>
      <c r="H7" s="12">
        <v>0</v>
      </c>
      <c r="I7" s="30">
        <f t="shared" si="1"/>
        <v>16388</v>
      </c>
      <c r="J7" s="13">
        <f>+E7</f>
        <v>187524</v>
      </c>
    </row>
    <row r="8" spans="1:10" x14ac:dyDescent="0.2">
      <c r="A8" s="10" t="s">
        <v>7</v>
      </c>
      <c r="B8" s="11">
        <v>26729</v>
      </c>
      <c r="C8" s="12">
        <v>0</v>
      </c>
      <c r="D8" s="12"/>
      <c r="E8" s="30">
        <f t="shared" si="0"/>
        <v>26729</v>
      </c>
      <c r="F8" s="24">
        <v>26729</v>
      </c>
      <c r="G8" s="11">
        <v>1500</v>
      </c>
      <c r="H8" s="12"/>
      <c r="I8" s="30">
        <f t="shared" si="1"/>
        <v>28229</v>
      </c>
      <c r="J8" s="13"/>
    </row>
    <row r="9" spans="1:10" x14ac:dyDescent="0.2">
      <c r="A9" s="10" t="s">
        <v>8</v>
      </c>
      <c r="B9" s="11">
        <f>1814+91500</f>
        <v>93314</v>
      </c>
      <c r="C9" s="11">
        <v>159691</v>
      </c>
      <c r="D9" s="12">
        <v>0</v>
      </c>
      <c r="E9" s="30">
        <f t="shared" si="0"/>
        <v>253005</v>
      </c>
      <c r="F9" s="24"/>
      <c r="G9" s="12">
        <v>300</v>
      </c>
      <c r="H9" s="12">
        <v>0</v>
      </c>
      <c r="I9" s="30">
        <f t="shared" si="1"/>
        <v>300</v>
      </c>
      <c r="J9" s="13">
        <f>+E9</f>
        <v>253005</v>
      </c>
    </row>
    <row r="10" spans="1:10" x14ac:dyDescent="0.2">
      <c r="A10" s="10" t="s">
        <v>9</v>
      </c>
      <c r="B10" s="11">
        <f>2840+6300</f>
        <v>9140</v>
      </c>
      <c r="C10" s="11">
        <v>39563</v>
      </c>
      <c r="D10" s="12">
        <v>0</v>
      </c>
      <c r="E10" s="30">
        <f t="shared" si="0"/>
        <v>48703</v>
      </c>
      <c r="F10" s="24">
        <v>49500</v>
      </c>
      <c r="G10" s="11">
        <v>143455</v>
      </c>
      <c r="H10" s="12"/>
      <c r="I10" s="30">
        <f t="shared" si="1"/>
        <v>192955</v>
      </c>
      <c r="J10" s="13">
        <f>-I10</f>
        <v>-192955</v>
      </c>
    </row>
    <row r="11" spans="1:10" x14ac:dyDescent="0.2">
      <c r="A11" s="10" t="s">
        <v>10</v>
      </c>
      <c r="B11" s="11">
        <v>9900</v>
      </c>
      <c r="C11" s="11">
        <v>170184</v>
      </c>
      <c r="D11" s="12">
        <v>2</v>
      </c>
      <c r="E11" s="30">
        <f t="shared" si="0"/>
        <v>180086</v>
      </c>
      <c r="F11" s="24">
        <f>9900+20000</f>
        <v>29900</v>
      </c>
      <c r="G11" s="11">
        <v>65326</v>
      </c>
      <c r="H11" s="12">
        <v>63</v>
      </c>
      <c r="I11" s="30">
        <f t="shared" si="1"/>
        <v>95289</v>
      </c>
      <c r="J11" s="13"/>
    </row>
    <row r="12" spans="1:10" x14ac:dyDescent="0.2">
      <c r="A12" s="10" t="s">
        <v>11</v>
      </c>
      <c r="B12" s="11">
        <v>1534</v>
      </c>
      <c r="C12" s="11">
        <v>12788</v>
      </c>
      <c r="D12" s="12">
        <v>0</v>
      </c>
      <c r="E12" s="30">
        <f t="shared" si="0"/>
        <v>14322</v>
      </c>
      <c r="F12" s="24">
        <v>1790</v>
      </c>
      <c r="G12" s="11">
        <v>148345</v>
      </c>
      <c r="H12" s="12"/>
      <c r="I12" s="30">
        <f t="shared" si="1"/>
        <v>150135</v>
      </c>
      <c r="J12" s="13">
        <f>-I12</f>
        <v>-150135</v>
      </c>
    </row>
    <row r="13" spans="1:10" x14ac:dyDescent="0.2">
      <c r="A13" s="10" t="s">
        <v>12</v>
      </c>
      <c r="B13" s="11"/>
      <c r="C13" s="11">
        <v>58256</v>
      </c>
      <c r="D13" s="12">
        <v>0</v>
      </c>
      <c r="E13" s="30">
        <f t="shared" si="0"/>
        <v>58256</v>
      </c>
      <c r="F13" s="24">
        <f>25000+62500</f>
        <v>87500</v>
      </c>
      <c r="G13" s="11">
        <v>447325</v>
      </c>
      <c r="H13" s="12">
        <v>400</v>
      </c>
      <c r="I13" s="30">
        <f t="shared" si="1"/>
        <v>535225</v>
      </c>
      <c r="J13" s="13">
        <f>-I13</f>
        <v>-535225</v>
      </c>
    </row>
    <row r="14" spans="1:10" x14ac:dyDescent="0.2">
      <c r="A14" s="10" t="s">
        <v>13</v>
      </c>
      <c r="B14" s="11">
        <v>25000</v>
      </c>
      <c r="C14" s="11">
        <v>139310</v>
      </c>
      <c r="D14" s="12">
        <v>0</v>
      </c>
      <c r="E14" s="30">
        <f t="shared" si="0"/>
        <v>164310</v>
      </c>
      <c r="F14" s="24">
        <v>60000</v>
      </c>
      <c r="G14" s="11">
        <v>109495</v>
      </c>
      <c r="H14" s="12">
        <v>0</v>
      </c>
      <c r="I14" s="30">
        <f t="shared" si="1"/>
        <v>169495</v>
      </c>
      <c r="J14" s="13">
        <f>+E14</f>
        <v>164310</v>
      </c>
    </row>
    <row r="15" spans="1:10" x14ac:dyDescent="0.2">
      <c r="A15" s="10" t="s">
        <v>14</v>
      </c>
      <c r="B15" s="11">
        <f>409+51000</f>
        <v>51409</v>
      </c>
      <c r="C15" s="11">
        <v>122000</v>
      </c>
      <c r="D15" s="12">
        <v>0</v>
      </c>
      <c r="E15" s="30">
        <f t="shared" si="0"/>
        <v>173409</v>
      </c>
      <c r="F15" s="24"/>
      <c r="G15" s="11">
        <v>30001</v>
      </c>
      <c r="H15" s="12">
        <v>0</v>
      </c>
      <c r="I15" s="30">
        <f t="shared" si="1"/>
        <v>30001</v>
      </c>
      <c r="J15" s="13">
        <f>+E15</f>
        <v>173409</v>
      </c>
    </row>
    <row r="16" spans="1:10" x14ac:dyDescent="0.2">
      <c r="A16" s="10" t="s">
        <v>15</v>
      </c>
      <c r="B16" s="11"/>
      <c r="C16" s="12">
        <v>0</v>
      </c>
      <c r="D16" s="12">
        <v>0</v>
      </c>
      <c r="E16" s="30">
        <f t="shared" si="0"/>
        <v>0</v>
      </c>
      <c r="F16" s="24">
        <v>25000</v>
      </c>
      <c r="G16" s="11">
        <v>71260</v>
      </c>
      <c r="H16" s="12"/>
      <c r="I16" s="30">
        <f t="shared" si="1"/>
        <v>96260</v>
      </c>
      <c r="J16" s="13"/>
    </row>
    <row r="17" spans="1:10" x14ac:dyDescent="0.2">
      <c r="A17" s="10" t="s">
        <v>16</v>
      </c>
      <c r="B17" s="11"/>
      <c r="C17" s="12"/>
      <c r="D17" s="12">
        <v>0</v>
      </c>
      <c r="E17" s="30">
        <f t="shared" si="0"/>
        <v>0</v>
      </c>
      <c r="F17" s="24"/>
      <c r="G17" s="11">
        <v>25000</v>
      </c>
      <c r="H17" s="12">
        <v>0</v>
      </c>
      <c r="I17" s="30">
        <f t="shared" si="1"/>
        <v>25000</v>
      </c>
      <c r="J17" s="13">
        <f>+E17</f>
        <v>0</v>
      </c>
    </row>
    <row r="18" spans="1:10" x14ac:dyDescent="0.2">
      <c r="A18" s="10" t="s">
        <v>17</v>
      </c>
      <c r="B18" s="11">
        <v>87781</v>
      </c>
      <c r="C18" s="11">
        <v>402153</v>
      </c>
      <c r="D18" s="12">
        <v>0</v>
      </c>
      <c r="E18" s="30">
        <f t="shared" si="0"/>
        <v>489934</v>
      </c>
      <c r="F18" s="24">
        <f>1248+8000</f>
        <v>9248</v>
      </c>
      <c r="G18" s="11">
        <v>33766</v>
      </c>
      <c r="H18" s="12">
        <v>0</v>
      </c>
      <c r="I18" s="30">
        <f t="shared" si="1"/>
        <v>43014</v>
      </c>
      <c r="J18" s="13"/>
    </row>
    <row r="19" spans="1:10" x14ac:dyDescent="0.2">
      <c r="A19" s="10" t="s">
        <v>18</v>
      </c>
      <c r="B19" s="11"/>
      <c r="C19" s="12">
        <v>0</v>
      </c>
      <c r="D19" s="12">
        <v>0</v>
      </c>
      <c r="E19" s="30">
        <f t="shared" si="0"/>
        <v>0</v>
      </c>
      <c r="F19" s="24">
        <v>10000</v>
      </c>
      <c r="G19" s="12">
        <v>48</v>
      </c>
      <c r="H19" s="12">
        <v>0</v>
      </c>
      <c r="I19" s="30">
        <f t="shared" si="1"/>
        <v>10048</v>
      </c>
      <c r="J19" s="13"/>
    </row>
    <row r="20" spans="1:10" x14ac:dyDescent="0.2">
      <c r="A20" s="10" t="s">
        <v>19</v>
      </c>
      <c r="B20" s="11">
        <f>132+3000</f>
        <v>3132</v>
      </c>
      <c r="C20" s="11">
        <v>217134</v>
      </c>
      <c r="D20" s="12"/>
      <c r="E20" s="30">
        <f t="shared" si="0"/>
        <v>220266</v>
      </c>
      <c r="F20" s="24">
        <f>512+38800</f>
        <v>39312</v>
      </c>
      <c r="G20" s="11">
        <v>154120</v>
      </c>
      <c r="H20" s="12">
        <v>0</v>
      </c>
      <c r="I20" s="30">
        <f t="shared" si="1"/>
        <v>193432</v>
      </c>
      <c r="J20" s="13"/>
    </row>
    <row r="21" spans="1:10" x14ac:dyDescent="0.2">
      <c r="A21" s="10" t="s">
        <v>20</v>
      </c>
      <c r="B21" s="11"/>
      <c r="C21" s="11">
        <v>4154</v>
      </c>
      <c r="D21" s="12">
        <v>0</v>
      </c>
      <c r="E21" s="30">
        <f t="shared" si="0"/>
        <v>4154</v>
      </c>
      <c r="F21" s="24">
        <v>769</v>
      </c>
      <c r="G21" s="11">
        <v>20351</v>
      </c>
      <c r="H21" s="12"/>
      <c r="I21" s="30">
        <f t="shared" si="1"/>
        <v>21120</v>
      </c>
      <c r="J21" s="13"/>
    </row>
    <row r="22" spans="1:10" x14ac:dyDescent="0.2">
      <c r="A22" s="10" t="s">
        <v>21</v>
      </c>
      <c r="B22" s="11">
        <v>1067</v>
      </c>
      <c r="C22" s="11">
        <v>2081</v>
      </c>
      <c r="D22" s="12">
        <v>0</v>
      </c>
      <c r="E22" s="30">
        <f t="shared" si="0"/>
        <v>3148</v>
      </c>
      <c r="F22" s="24">
        <v>51000</v>
      </c>
      <c r="G22" s="11">
        <v>36063</v>
      </c>
      <c r="H22" s="12">
        <v>0</v>
      </c>
      <c r="I22" s="30">
        <f t="shared" si="1"/>
        <v>87063</v>
      </c>
      <c r="J22" s="13">
        <f>-I22</f>
        <v>-87063</v>
      </c>
    </row>
    <row r="23" spans="1:10" x14ac:dyDescent="0.2">
      <c r="A23" s="10" t="s">
        <v>22</v>
      </c>
      <c r="B23" s="11"/>
      <c r="C23" s="11">
        <v>17872</v>
      </c>
      <c r="D23" s="12">
        <v>0</v>
      </c>
      <c r="E23" s="30">
        <f t="shared" si="0"/>
        <v>17872</v>
      </c>
      <c r="F23" s="24"/>
      <c r="G23" s="11">
        <v>14805</v>
      </c>
      <c r="H23" s="12">
        <v>0</v>
      </c>
      <c r="I23" s="30">
        <f t="shared" si="1"/>
        <v>14805</v>
      </c>
      <c r="J23" s="13"/>
    </row>
    <row r="24" spans="1:10" x14ac:dyDescent="0.2">
      <c r="A24" s="10" t="s">
        <v>23</v>
      </c>
      <c r="B24" s="11"/>
      <c r="C24" s="12">
        <v>1</v>
      </c>
      <c r="D24" s="12">
        <v>0</v>
      </c>
      <c r="E24" s="30">
        <f t="shared" si="0"/>
        <v>1</v>
      </c>
      <c r="F24" s="24">
        <v>2006</v>
      </c>
      <c r="G24" s="11">
        <v>1501</v>
      </c>
      <c r="H24" s="12">
        <v>0</v>
      </c>
      <c r="I24" s="30">
        <f t="shared" si="1"/>
        <v>3507</v>
      </c>
      <c r="J24" s="25"/>
    </row>
    <row r="25" spans="1:10" x14ac:dyDescent="0.2">
      <c r="A25" s="10" t="s">
        <v>24</v>
      </c>
      <c r="B25" s="12"/>
      <c r="C25" s="12">
        <v>1</v>
      </c>
      <c r="D25" s="12"/>
      <c r="E25" s="30">
        <f t="shared" si="0"/>
        <v>1</v>
      </c>
      <c r="F25" s="26"/>
      <c r="G25" s="12">
        <v>311</v>
      </c>
      <c r="H25" s="12"/>
      <c r="I25" s="30">
        <f t="shared" si="1"/>
        <v>311</v>
      </c>
      <c r="J25" s="25"/>
    </row>
    <row r="26" spans="1:10" x14ac:dyDescent="0.2">
      <c r="A26" s="29" t="s">
        <v>25</v>
      </c>
      <c r="B26" s="21"/>
      <c r="C26" s="22"/>
      <c r="D26" s="22"/>
      <c r="E26" s="31">
        <f t="shared" si="0"/>
        <v>0</v>
      </c>
      <c r="F26" s="27"/>
      <c r="G26" s="21">
        <v>11618</v>
      </c>
      <c r="H26" s="22"/>
      <c r="I26" s="31">
        <f t="shared" si="1"/>
        <v>11618</v>
      </c>
      <c r="J26" s="23"/>
    </row>
    <row r="27" spans="1:10" x14ac:dyDescent="0.2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5" thickBot="1" x14ac:dyDescent="0.25">
      <c r="A28" s="17" t="s">
        <v>37</v>
      </c>
      <c r="B28" s="18">
        <f>SUM(B2:B27)</f>
        <v>439413</v>
      </c>
      <c r="C28" s="19"/>
      <c r="D28" s="19"/>
      <c r="E28" s="20"/>
      <c r="F28" s="28">
        <f>SUM(F2:F27)</f>
        <v>439413</v>
      </c>
      <c r="G28" s="19"/>
      <c r="H28" s="19"/>
      <c r="I28" s="19"/>
      <c r="J28" s="20"/>
    </row>
    <row r="29" spans="1:10" x14ac:dyDescent="0.2">
      <c r="G29" s="5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F11" sqref="F11"/>
    </sheetView>
  </sheetViews>
  <sheetFormatPr defaultRowHeight="12.75" x14ac:dyDescent="0.2"/>
  <cols>
    <col min="1" max="1" width="16.85546875" bestFit="1" customWidth="1"/>
  </cols>
  <sheetData>
    <row r="1" spans="1:10" ht="21.75" thickBot="1" x14ac:dyDescent="0.25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">
      <c r="A2" s="10" t="s">
        <v>1</v>
      </c>
      <c r="B2" s="11">
        <f>26260+55000</f>
        <v>81260</v>
      </c>
      <c r="C2" s="11">
        <v>189089</v>
      </c>
      <c r="D2" s="12"/>
      <c r="E2" s="30">
        <f t="shared" ref="E2:E26" si="0">SUM(B2:D2)</f>
        <v>270349</v>
      </c>
      <c r="F2" s="24">
        <v>1423</v>
      </c>
      <c r="G2" s="11">
        <v>10120</v>
      </c>
      <c r="H2" s="12">
        <v>0</v>
      </c>
      <c r="I2" s="30">
        <f t="shared" ref="I2:I26" si="1">SUM(F2:H2)</f>
        <v>11543</v>
      </c>
      <c r="J2" s="13">
        <f>+E2</f>
        <v>270349</v>
      </c>
    </row>
    <row r="3" spans="1:10" x14ac:dyDescent="0.2">
      <c r="A3" s="10" t="s">
        <v>2</v>
      </c>
      <c r="B3" s="11">
        <v>17000</v>
      </c>
      <c r="C3" s="11">
        <v>12168</v>
      </c>
      <c r="D3" s="12">
        <v>2</v>
      </c>
      <c r="E3" s="30">
        <f t="shared" si="0"/>
        <v>29170</v>
      </c>
      <c r="F3" s="24">
        <v>125</v>
      </c>
      <c r="G3" s="11">
        <v>14544</v>
      </c>
      <c r="H3" s="12">
        <v>3</v>
      </c>
      <c r="I3" s="30">
        <f t="shared" si="1"/>
        <v>14672</v>
      </c>
      <c r="J3" s="13">
        <f>+E3</f>
        <v>29170</v>
      </c>
    </row>
    <row r="4" spans="1:10" x14ac:dyDescent="0.2">
      <c r="A4" s="10" t="s">
        <v>3</v>
      </c>
      <c r="B4" s="11">
        <v>163</v>
      </c>
      <c r="C4" s="12">
        <v>852</v>
      </c>
      <c r="D4" s="12"/>
      <c r="E4" s="30">
        <f t="shared" si="0"/>
        <v>1015</v>
      </c>
      <c r="F4" s="24"/>
      <c r="G4" s="11">
        <v>4115</v>
      </c>
      <c r="H4" s="12">
        <v>0</v>
      </c>
      <c r="I4" s="30">
        <f t="shared" si="1"/>
        <v>4115</v>
      </c>
      <c r="J4" s="13">
        <f>+E4</f>
        <v>1015</v>
      </c>
    </row>
    <row r="5" spans="1:10" x14ac:dyDescent="0.2">
      <c r="A5" s="10" t="s">
        <v>4</v>
      </c>
      <c r="B5" s="11"/>
      <c r="C5" s="12">
        <v>521</v>
      </c>
      <c r="D5" s="12"/>
      <c r="E5" s="30">
        <f t="shared" si="0"/>
        <v>521</v>
      </c>
      <c r="F5" s="24"/>
      <c r="G5" s="12">
        <v>0</v>
      </c>
      <c r="H5" s="11">
        <v>10812</v>
      </c>
      <c r="I5" s="30">
        <f t="shared" si="1"/>
        <v>10812</v>
      </c>
      <c r="J5" s="13"/>
    </row>
    <row r="6" spans="1:10" x14ac:dyDescent="0.2">
      <c r="A6" s="10" t="s">
        <v>5</v>
      </c>
      <c r="B6" s="11"/>
      <c r="C6" s="12">
        <v>0</v>
      </c>
      <c r="D6" s="12">
        <v>0</v>
      </c>
      <c r="E6" s="30">
        <f t="shared" si="0"/>
        <v>0</v>
      </c>
      <c r="F6" s="24">
        <v>29427</v>
      </c>
      <c r="G6" s="11">
        <v>5000</v>
      </c>
      <c r="H6" s="12">
        <v>0</v>
      </c>
      <c r="I6" s="30">
        <f t="shared" si="1"/>
        <v>34427</v>
      </c>
      <c r="J6" s="13"/>
    </row>
    <row r="7" spans="1:10" x14ac:dyDescent="0.2">
      <c r="A7" s="10" t="s">
        <v>6</v>
      </c>
      <c r="B7" s="11">
        <f>5984+26000</f>
        <v>31984</v>
      </c>
      <c r="C7" s="11">
        <v>155540</v>
      </c>
      <c r="D7" s="12"/>
      <c r="E7" s="30">
        <f t="shared" si="0"/>
        <v>187524</v>
      </c>
      <c r="F7" s="24">
        <f>5684+10000+10500</f>
        <v>26184</v>
      </c>
      <c r="G7" s="12">
        <v>704</v>
      </c>
      <c r="H7" s="12">
        <v>0</v>
      </c>
      <c r="I7" s="30">
        <f t="shared" si="1"/>
        <v>26888</v>
      </c>
      <c r="J7" s="13">
        <f>+E7</f>
        <v>187524</v>
      </c>
    </row>
    <row r="8" spans="1:10" x14ac:dyDescent="0.2">
      <c r="A8" s="10" t="s">
        <v>7</v>
      </c>
      <c r="B8" s="11">
        <v>26729</v>
      </c>
      <c r="C8" s="12">
        <v>0</v>
      </c>
      <c r="D8" s="12"/>
      <c r="E8" s="30">
        <f t="shared" si="0"/>
        <v>26729</v>
      </c>
      <c r="F8" s="24">
        <v>26729</v>
      </c>
      <c r="G8" s="11">
        <v>1500</v>
      </c>
      <c r="H8" s="12"/>
      <c r="I8" s="30">
        <f t="shared" si="1"/>
        <v>28229</v>
      </c>
      <c r="J8" s="13"/>
    </row>
    <row r="9" spans="1:10" x14ac:dyDescent="0.2">
      <c r="A9" s="10" t="s">
        <v>8</v>
      </c>
      <c r="B9" s="11">
        <f>1814+91500+4500+15000</f>
        <v>112814</v>
      </c>
      <c r="C9" s="11">
        <v>159691</v>
      </c>
      <c r="D9" s="12">
        <v>0</v>
      </c>
      <c r="E9" s="30">
        <f t="shared" si="0"/>
        <v>272505</v>
      </c>
      <c r="F9" s="24">
        <v>15000</v>
      </c>
      <c r="G9" s="12">
        <v>300</v>
      </c>
      <c r="H9" s="12">
        <v>0</v>
      </c>
      <c r="I9" s="30">
        <f t="shared" si="1"/>
        <v>15300</v>
      </c>
      <c r="J9" s="13">
        <f>+E9</f>
        <v>272505</v>
      </c>
    </row>
    <row r="10" spans="1:10" x14ac:dyDescent="0.2">
      <c r="A10" s="10" t="s">
        <v>9</v>
      </c>
      <c r="B10" s="11">
        <f>2840+6300</f>
        <v>9140</v>
      </c>
      <c r="C10" s="11">
        <v>39563</v>
      </c>
      <c r="D10" s="12">
        <v>0</v>
      </c>
      <c r="E10" s="30">
        <f t="shared" si="0"/>
        <v>48703</v>
      </c>
      <c r="F10" s="24">
        <v>49500</v>
      </c>
      <c r="G10" s="11">
        <v>143455</v>
      </c>
      <c r="H10" s="12"/>
      <c r="I10" s="30">
        <f t="shared" si="1"/>
        <v>192955</v>
      </c>
      <c r="J10" s="13">
        <f>-I10</f>
        <v>-192955</v>
      </c>
    </row>
    <row r="11" spans="1:10" x14ac:dyDescent="0.2">
      <c r="A11" s="10" t="s">
        <v>10</v>
      </c>
      <c r="B11" s="11">
        <v>9900</v>
      </c>
      <c r="C11" s="11">
        <v>170184</v>
      </c>
      <c r="D11" s="12">
        <v>2</v>
      </c>
      <c r="E11" s="30">
        <f t="shared" si="0"/>
        <v>180086</v>
      </c>
      <c r="F11" s="24">
        <f>9900+20000+10000+4000</f>
        <v>43900</v>
      </c>
      <c r="G11" s="11">
        <v>65326</v>
      </c>
      <c r="H11" s="12">
        <v>63</v>
      </c>
      <c r="I11" s="30">
        <f t="shared" si="1"/>
        <v>109289</v>
      </c>
      <c r="J11" s="13"/>
    </row>
    <row r="12" spans="1:10" x14ac:dyDescent="0.2">
      <c r="A12" s="10" t="s">
        <v>11</v>
      </c>
      <c r="B12" s="11">
        <v>1534</v>
      </c>
      <c r="C12" s="11">
        <v>12788</v>
      </c>
      <c r="D12" s="12">
        <v>0</v>
      </c>
      <c r="E12" s="30">
        <f t="shared" si="0"/>
        <v>14322</v>
      </c>
      <c r="F12" s="24">
        <v>1790</v>
      </c>
      <c r="G12" s="11">
        <v>148345</v>
      </c>
      <c r="H12" s="12"/>
      <c r="I12" s="30">
        <f t="shared" si="1"/>
        <v>150135</v>
      </c>
      <c r="J12" s="13">
        <f>-I12</f>
        <v>-150135</v>
      </c>
    </row>
    <row r="13" spans="1:10" x14ac:dyDescent="0.2">
      <c r="A13" s="10" t="s">
        <v>12</v>
      </c>
      <c r="B13" s="11"/>
      <c r="C13" s="11">
        <v>58256</v>
      </c>
      <c r="D13" s="12">
        <v>0</v>
      </c>
      <c r="E13" s="30">
        <f t="shared" si="0"/>
        <v>58256</v>
      </c>
      <c r="F13" s="24">
        <f>25000+62500</f>
        <v>87500</v>
      </c>
      <c r="G13" s="11">
        <v>447325</v>
      </c>
      <c r="H13" s="12">
        <v>400</v>
      </c>
      <c r="I13" s="30">
        <f t="shared" si="1"/>
        <v>535225</v>
      </c>
      <c r="J13" s="13">
        <f>-I13</f>
        <v>-535225</v>
      </c>
    </row>
    <row r="14" spans="1:10" x14ac:dyDescent="0.2">
      <c r="A14" s="10" t="s">
        <v>13</v>
      </c>
      <c r="B14" s="11">
        <f>25000+20000</f>
        <v>45000</v>
      </c>
      <c r="C14" s="11">
        <v>139310</v>
      </c>
      <c r="D14" s="12">
        <v>0</v>
      </c>
      <c r="E14" s="30">
        <f t="shared" si="0"/>
        <v>184310</v>
      </c>
      <c r="F14" s="24">
        <v>60000</v>
      </c>
      <c r="G14" s="11">
        <v>109495</v>
      </c>
      <c r="H14" s="12">
        <v>0</v>
      </c>
      <c r="I14" s="30">
        <f t="shared" si="1"/>
        <v>169495</v>
      </c>
      <c r="J14" s="13">
        <f>+E14</f>
        <v>184310</v>
      </c>
    </row>
    <row r="15" spans="1:10" x14ac:dyDescent="0.2">
      <c r="A15" s="10" t="s">
        <v>14</v>
      </c>
      <c r="B15" s="11">
        <f>409+51000</f>
        <v>51409</v>
      </c>
      <c r="C15" s="11">
        <v>122000</v>
      </c>
      <c r="D15" s="12">
        <v>0</v>
      </c>
      <c r="E15" s="30">
        <f t="shared" si="0"/>
        <v>173409</v>
      </c>
      <c r="F15" s="24"/>
      <c r="G15" s="11">
        <v>30001</v>
      </c>
      <c r="H15" s="12">
        <v>0</v>
      </c>
      <c r="I15" s="30">
        <f t="shared" si="1"/>
        <v>30001</v>
      </c>
      <c r="J15" s="13">
        <f>+E15</f>
        <v>173409</v>
      </c>
    </row>
    <row r="16" spans="1:10" x14ac:dyDescent="0.2">
      <c r="A16" s="10" t="s">
        <v>15</v>
      </c>
      <c r="B16" s="11"/>
      <c r="C16" s="12">
        <v>0</v>
      </c>
      <c r="D16" s="12">
        <v>0</v>
      </c>
      <c r="E16" s="30">
        <f t="shared" si="0"/>
        <v>0</v>
      </c>
      <c r="F16" s="24">
        <v>25000</v>
      </c>
      <c r="G16" s="11">
        <v>81260</v>
      </c>
      <c r="H16" s="12"/>
      <c r="I16" s="30">
        <f t="shared" si="1"/>
        <v>106260</v>
      </c>
      <c r="J16" s="13"/>
    </row>
    <row r="17" spans="1:10" x14ac:dyDescent="0.2">
      <c r="A17" s="10" t="s">
        <v>16</v>
      </c>
      <c r="B17" s="11"/>
      <c r="C17" s="12"/>
      <c r="D17" s="12">
        <v>0</v>
      </c>
      <c r="E17" s="30">
        <f t="shared" si="0"/>
        <v>0</v>
      </c>
      <c r="F17" s="24"/>
      <c r="G17" s="11">
        <v>25000</v>
      </c>
      <c r="H17" s="12">
        <v>0</v>
      </c>
      <c r="I17" s="30">
        <f t="shared" si="1"/>
        <v>25000</v>
      </c>
      <c r="J17" s="13">
        <f>+E17</f>
        <v>0</v>
      </c>
    </row>
    <row r="18" spans="1:10" x14ac:dyDescent="0.2">
      <c r="A18" s="10" t="s">
        <v>17</v>
      </c>
      <c r="B18" s="11">
        <v>87781</v>
      </c>
      <c r="C18" s="11">
        <v>15480</v>
      </c>
      <c r="D18" s="12">
        <v>0</v>
      </c>
      <c r="E18" s="30">
        <f t="shared" si="0"/>
        <v>103261</v>
      </c>
      <c r="F18" s="24">
        <f>1248+8000+1000</f>
        <v>10248</v>
      </c>
      <c r="G18" s="11">
        <v>33766</v>
      </c>
      <c r="H18" s="12">
        <v>0</v>
      </c>
      <c r="I18" s="30">
        <f t="shared" si="1"/>
        <v>44014</v>
      </c>
      <c r="J18" s="13"/>
    </row>
    <row r="19" spans="1:10" x14ac:dyDescent="0.2">
      <c r="A19" s="10" t="s">
        <v>18</v>
      </c>
      <c r="B19" s="11"/>
      <c r="C19" s="12">
        <v>0</v>
      </c>
      <c r="D19" s="12">
        <v>0</v>
      </c>
      <c r="E19" s="30">
        <f t="shared" si="0"/>
        <v>0</v>
      </c>
      <c r="F19" s="24">
        <v>10000</v>
      </c>
      <c r="G19" s="12">
        <v>48</v>
      </c>
      <c r="H19" s="12">
        <v>0</v>
      </c>
      <c r="I19" s="30">
        <f t="shared" si="1"/>
        <v>10048</v>
      </c>
      <c r="J19" s="13"/>
    </row>
    <row r="20" spans="1:10" x14ac:dyDescent="0.2">
      <c r="A20" s="10" t="s">
        <v>19</v>
      </c>
      <c r="B20" s="11">
        <f>132+3000+1000</f>
        <v>4132</v>
      </c>
      <c r="C20" s="11">
        <v>217134</v>
      </c>
      <c r="D20" s="12"/>
      <c r="E20" s="30">
        <f t="shared" si="0"/>
        <v>221266</v>
      </c>
      <c r="F20" s="24">
        <f>512+38800</f>
        <v>39312</v>
      </c>
      <c r="G20" s="11">
        <v>154120</v>
      </c>
      <c r="H20" s="12">
        <v>0</v>
      </c>
      <c r="I20" s="30">
        <f t="shared" si="1"/>
        <v>193432</v>
      </c>
      <c r="J20" s="13"/>
    </row>
    <row r="21" spans="1:10" x14ac:dyDescent="0.2">
      <c r="A21" s="10" t="s">
        <v>20</v>
      </c>
      <c r="B21" s="11"/>
      <c r="C21" s="11">
        <v>4154</v>
      </c>
      <c r="D21" s="12">
        <v>0</v>
      </c>
      <c r="E21" s="30">
        <f t="shared" si="0"/>
        <v>4154</v>
      </c>
      <c r="F21" s="24">
        <f>769+200</f>
        <v>969</v>
      </c>
      <c r="G21" s="11">
        <v>20351</v>
      </c>
      <c r="H21" s="12"/>
      <c r="I21" s="30">
        <f t="shared" si="1"/>
        <v>21320</v>
      </c>
      <c r="J21" s="13"/>
    </row>
    <row r="22" spans="1:10" x14ac:dyDescent="0.2">
      <c r="A22" s="10" t="s">
        <v>21</v>
      </c>
      <c r="B22" s="11">
        <v>1067</v>
      </c>
      <c r="C22" s="11">
        <v>2081</v>
      </c>
      <c r="D22" s="12">
        <v>0</v>
      </c>
      <c r="E22" s="30">
        <f t="shared" si="0"/>
        <v>3148</v>
      </c>
      <c r="F22" s="24">
        <v>51000</v>
      </c>
      <c r="G22" s="11">
        <v>36063</v>
      </c>
      <c r="H22" s="12">
        <v>0</v>
      </c>
      <c r="I22" s="30">
        <f t="shared" si="1"/>
        <v>87063</v>
      </c>
      <c r="J22" s="13">
        <f>-I22</f>
        <v>-87063</v>
      </c>
    </row>
    <row r="23" spans="1:10" x14ac:dyDescent="0.2">
      <c r="A23" s="10" t="s">
        <v>22</v>
      </c>
      <c r="B23" s="11">
        <v>200</v>
      </c>
      <c r="C23" s="11">
        <v>17872</v>
      </c>
      <c r="D23" s="12">
        <v>0</v>
      </c>
      <c r="E23" s="30">
        <f t="shared" si="0"/>
        <v>18072</v>
      </c>
      <c r="F23" s="24"/>
      <c r="G23" s="11">
        <v>14805</v>
      </c>
      <c r="H23" s="12">
        <v>0</v>
      </c>
      <c r="I23" s="30">
        <f t="shared" si="1"/>
        <v>14805</v>
      </c>
      <c r="J23" s="13"/>
    </row>
    <row r="24" spans="1:10" x14ac:dyDescent="0.2">
      <c r="A24" s="10" t="s">
        <v>23</v>
      </c>
      <c r="B24" s="11"/>
      <c r="C24" s="12">
        <v>1</v>
      </c>
      <c r="D24" s="12">
        <v>0</v>
      </c>
      <c r="E24" s="30">
        <f t="shared" si="0"/>
        <v>1</v>
      </c>
      <c r="F24" s="24">
        <v>2006</v>
      </c>
      <c r="G24" s="11">
        <v>1501</v>
      </c>
      <c r="H24" s="12">
        <v>0</v>
      </c>
      <c r="I24" s="30">
        <f t="shared" si="1"/>
        <v>3507</v>
      </c>
      <c r="J24" s="25"/>
    </row>
    <row r="25" spans="1:10" x14ac:dyDescent="0.2">
      <c r="A25" s="10" t="s">
        <v>24</v>
      </c>
      <c r="B25" s="12"/>
      <c r="C25" s="12">
        <v>1</v>
      </c>
      <c r="D25" s="12"/>
      <c r="E25" s="30">
        <f t="shared" si="0"/>
        <v>1</v>
      </c>
      <c r="F25" s="26"/>
      <c r="G25" s="12">
        <v>311</v>
      </c>
      <c r="H25" s="12"/>
      <c r="I25" s="30">
        <f t="shared" si="1"/>
        <v>311</v>
      </c>
      <c r="J25" s="25"/>
    </row>
    <row r="26" spans="1:10" x14ac:dyDescent="0.2">
      <c r="A26" s="29" t="s">
        <v>25</v>
      </c>
      <c r="B26" s="21"/>
      <c r="C26" s="22"/>
      <c r="D26" s="22"/>
      <c r="E26" s="31">
        <f t="shared" si="0"/>
        <v>0</v>
      </c>
      <c r="F26" s="27"/>
      <c r="G26" s="21">
        <v>11618</v>
      </c>
      <c r="H26" s="22"/>
      <c r="I26" s="31">
        <f t="shared" si="1"/>
        <v>11618</v>
      </c>
      <c r="J26" s="23"/>
    </row>
    <row r="27" spans="1:10" x14ac:dyDescent="0.2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5" thickBot="1" x14ac:dyDescent="0.25">
      <c r="A28" s="17" t="s">
        <v>37</v>
      </c>
      <c r="B28" s="18">
        <f>SUM(B2:B27)</f>
        <v>480113</v>
      </c>
      <c r="C28" s="19"/>
      <c r="D28" s="19"/>
      <c r="E28" s="20"/>
      <c r="F28" s="28">
        <f>SUM(F2:F27)</f>
        <v>480113</v>
      </c>
      <c r="G28" s="19"/>
      <c r="H28" s="19"/>
      <c r="I28" s="19"/>
      <c r="J28" s="20"/>
    </row>
    <row r="29" spans="1:10" x14ac:dyDescent="0.2">
      <c r="G29" s="5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C26" sqref="C26"/>
    </sheetView>
  </sheetViews>
  <sheetFormatPr defaultRowHeight="12.75" x14ac:dyDescent="0.2"/>
  <cols>
    <col min="1" max="1" width="16.85546875" bestFit="1" customWidth="1"/>
  </cols>
  <sheetData>
    <row r="1" spans="1:10" ht="21.75" thickBot="1" x14ac:dyDescent="0.25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">
      <c r="A2" s="10" t="s">
        <v>1</v>
      </c>
      <c r="B2" s="11">
        <v>34880</v>
      </c>
      <c r="C2" s="11">
        <f>13127+108907</f>
        <v>122034</v>
      </c>
      <c r="D2" s="12"/>
      <c r="E2" s="30">
        <f t="shared" ref="E2:E26" si="0">SUM(B2:D2)</f>
        <v>156914</v>
      </c>
      <c r="F2" s="11">
        <f>1378</f>
        <v>1378</v>
      </c>
      <c r="G2" s="11">
        <f>10120</f>
        <v>10120</v>
      </c>
      <c r="H2" s="12"/>
      <c r="I2" s="30">
        <f t="shared" ref="I2:I26" si="1">SUM(F2:H2)</f>
        <v>11498</v>
      </c>
      <c r="J2" s="13">
        <f>+E2</f>
        <v>156914</v>
      </c>
    </row>
    <row r="3" spans="1:10" x14ac:dyDescent="0.2">
      <c r="A3" s="10" t="s">
        <v>2</v>
      </c>
      <c r="B3" s="11"/>
      <c r="C3" s="11">
        <f>2827+29400</f>
        <v>32227</v>
      </c>
      <c r="D3" s="12">
        <v>2</v>
      </c>
      <c r="E3" s="30">
        <f t="shared" si="0"/>
        <v>32229</v>
      </c>
      <c r="F3" s="11">
        <v>125</v>
      </c>
      <c r="G3" s="11">
        <v>11301</v>
      </c>
      <c r="H3" s="12">
        <v>3</v>
      </c>
      <c r="I3" s="30">
        <f t="shared" si="1"/>
        <v>11429</v>
      </c>
      <c r="J3" s="13">
        <f>+E3</f>
        <v>32229</v>
      </c>
    </row>
    <row r="4" spans="1:10" x14ac:dyDescent="0.2">
      <c r="A4" s="10" t="s">
        <v>3</v>
      </c>
      <c r="B4" s="12">
        <v>798</v>
      </c>
      <c r="C4" s="12">
        <f>612+19651</f>
        <v>20263</v>
      </c>
      <c r="D4" s="12"/>
      <c r="E4" s="30">
        <f t="shared" si="0"/>
        <v>21061</v>
      </c>
      <c r="F4" s="12"/>
      <c r="G4" s="11">
        <v>4563</v>
      </c>
      <c r="H4" s="12"/>
      <c r="I4" s="30">
        <f t="shared" si="1"/>
        <v>4563</v>
      </c>
      <c r="J4" s="13">
        <f>+E4</f>
        <v>21061</v>
      </c>
    </row>
    <row r="5" spans="1:10" x14ac:dyDescent="0.2">
      <c r="A5" s="10" t="s">
        <v>4</v>
      </c>
      <c r="B5" s="12">
        <v>700</v>
      </c>
      <c r="C5" s="12">
        <f>521+26974</f>
        <v>27495</v>
      </c>
      <c r="D5" s="12"/>
      <c r="E5" s="30">
        <f t="shared" si="0"/>
        <v>28195</v>
      </c>
      <c r="F5" s="12"/>
      <c r="G5" s="12">
        <v>0</v>
      </c>
      <c r="H5" s="11">
        <v>9700</v>
      </c>
      <c r="I5" s="30">
        <f t="shared" si="1"/>
        <v>9700</v>
      </c>
      <c r="J5" s="13">
        <f>+E5</f>
        <v>28195</v>
      </c>
    </row>
    <row r="6" spans="1:10" x14ac:dyDescent="0.2">
      <c r="A6" s="10" t="s">
        <v>5</v>
      </c>
      <c r="B6" s="12"/>
      <c r="C6" s="12">
        <v>3728</v>
      </c>
      <c r="D6" s="12"/>
      <c r="E6" s="30">
        <f t="shared" si="0"/>
        <v>3728</v>
      </c>
      <c r="F6" s="12">
        <v>3075</v>
      </c>
      <c r="G6" s="11">
        <v>5000</v>
      </c>
      <c r="H6" s="12"/>
      <c r="I6" s="30">
        <f t="shared" si="1"/>
        <v>8075</v>
      </c>
      <c r="J6" s="13">
        <f>-I6</f>
        <v>-8075</v>
      </c>
    </row>
    <row r="7" spans="1:10" x14ac:dyDescent="0.2">
      <c r="A7" s="10" t="s">
        <v>6</v>
      </c>
      <c r="B7" s="11">
        <f>5883</f>
        <v>5883</v>
      </c>
      <c r="C7" s="11">
        <f>9619+49538</f>
        <v>59157</v>
      </c>
      <c r="D7" s="12"/>
      <c r="E7" s="30">
        <f t="shared" si="0"/>
        <v>65040</v>
      </c>
      <c r="F7" s="11">
        <v>15521</v>
      </c>
      <c r="G7" s="12">
        <v>3126</v>
      </c>
      <c r="H7" s="12"/>
      <c r="I7" s="30">
        <f t="shared" si="1"/>
        <v>18647</v>
      </c>
      <c r="J7" s="13">
        <f>+E7</f>
        <v>65040</v>
      </c>
    </row>
    <row r="8" spans="1:10" x14ac:dyDescent="0.2">
      <c r="A8" s="10" t="s">
        <v>7</v>
      </c>
      <c r="B8" s="12">
        <v>25380</v>
      </c>
      <c r="C8" s="12">
        <v>62568</v>
      </c>
      <c r="D8" s="12"/>
      <c r="E8" s="30">
        <f t="shared" si="0"/>
        <v>87948</v>
      </c>
      <c r="F8" s="12">
        <v>25380</v>
      </c>
      <c r="G8" s="11">
        <v>1500</v>
      </c>
      <c r="H8" s="12"/>
      <c r="I8" s="30">
        <f t="shared" si="1"/>
        <v>26880</v>
      </c>
      <c r="J8" s="13">
        <f>-I8</f>
        <v>-26880</v>
      </c>
    </row>
    <row r="9" spans="1:10" x14ac:dyDescent="0.2">
      <c r="A9" s="10" t="s">
        <v>8</v>
      </c>
      <c r="B9" s="11">
        <f>1225+20000+425+16350</f>
        <v>38000</v>
      </c>
      <c r="C9" s="11">
        <f>81991+18212</f>
        <v>100203</v>
      </c>
      <c r="D9" s="12"/>
      <c r="E9" s="30">
        <f t="shared" si="0"/>
        <v>138203</v>
      </c>
      <c r="F9" s="11"/>
      <c r="G9" s="12">
        <v>49</v>
      </c>
      <c r="H9" s="12"/>
      <c r="I9" s="30">
        <f t="shared" si="1"/>
        <v>49</v>
      </c>
      <c r="J9" s="13">
        <f>+E9</f>
        <v>138203</v>
      </c>
    </row>
    <row r="10" spans="1:10" x14ac:dyDescent="0.2">
      <c r="A10" s="10" t="s">
        <v>9</v>
      </c>
      <c r="B10" s="11">
        <v>1220</v>
      </c>
      <c r="C10" s="11">
        <f>10000+7</f>
        <v>10007</v>
      </c>
      <c r="D10" s="12"/>
      <c r="E10" s="30">
        <f t="shared" si="0"/>
        <v>11227</v>
      </c>
      <c r="F10" s="11"/>
      <c r="G10" s="11">
        <v>182659</v>
      </c>
      <c r="H10" s="12"/>
      <c r="I10" s="30">
        <f t="shared" si="1"/>
        <v>182659</v>
      </c>
      <c r="J10" s="13">
        <f>-I10</f>
        <v>-182659</v>
      </c>
    </row>
    <row r="11" spans="1:10" x14ac:dyDescent="0.2">
      <c r="A11" s="10" t="s">
        <v>10</v>
      </c>
      <c r="B11" s="11">
        <v>8500</v>
      </c>
      <c r="C11" s="11">
        <f>2050+124400</f>
        <v>126450</v>
      </c>
      <c r="D11" s="12">
        <v>2</v>
      </c>
      <c r="E11" s="30">
        <f t="shared" si="0"/>
        <v>134952</v>
      </c>
      <c r="F11" s="11">
        <v>18500</v>
      </c>
      <c r="G11" s="11">
        <v>65308</v>
      </c>
      <c r="H11" s="12">
        <v>63</v>
      </c>
      <c r="I11" s="30">
        <f t="shared" si="1"/>
        <v>83871</v>
      </c>
      <c r="J11" s="13"/>
    </row>
    <row r="12" spans="1:10" x14ac:dyDescent="0.2">
      <c r="A12" s="10" t="s">
        <v>11</v>
      </c>
      <c r="B12" s="11">
        <v>1517</v>
      </c>
      <c r="C12" s="11">
        <f>5001+7132</f>
        <v>12133</v>
      </c>
      <c r="D12" s="12"/>
      <c r="E12" s="30">
        <f t="shared" si="0"/>
        <v>13650</v>
      </c>
      <c r="F12" s="11">
        <v>1866</v>
      </c>
      <c r="G12" s="11">
        <v>158835</v>
      </c>
      <c r="H12" s="12"/>
      <c r="I12" s="30">
        <f t="shared" si="1"/>
        <v>160701</v>
      </c>
      <c r="J12" s="13">
        <f>-I12</f>
        <v>-160701</v>
      </c>
    </row>
    <row r="13" spans="1:10" x14ac:dyDescent="0.2">
      <c r="A13" s="10" t="s">
        <v>12</v>
      </c>
      <c r="B13" s="11"/>
      <c r="C13" s="11">
        <f>5036+23650</f>
        <v>28686</v>
      </c>
      <c r="D13" s="12"/>
      <c r="E13" s="30">
        <f t="shared" si="0"/>
        <v>28686</v>
      </c>
      <c r="F13" s="11"/>
      <c r="G13" s="11">
        <f>290301</f>
        <v>290301</v>
      </c>
      <c r="H13" s="12">
        <v>400</v>
      </c>
      <c r="I13" s="30">
        <f t="shared" si="1"/>
        <v>290701</v>
      </c>
      <c r="J13" s="13">
        <f>-I13</f>
        <v>-290701</v>
      </c>
    </row>
    <row r="14" spans="1:10" x14ac:dyDescent="0.2">
      <c r="A14" s="10" t="s">
        <v>13</v>
      </c>
      <c r="B14" s="11">
        <v>250</v>
      </c>
      <c r="C14" s="11">
        <f>50001+702</f>
        <v>50703</v>
      </c>
      <c r="D14" s="12"/>
      <c r="E14" s="30">
        <f t="shared" si="0"/>
        <v>50953</v>
      </c>
      <c r="F14" s="11"/>
      <c r="G14" s="11">
        <v>99019</v>
      </c>
      <c r="H14" s="12"/>
      <c r="I14" s="30">
        <f t="shared" si="1"/>
        <v>99019</v>
      </c>
      <c r="J14" s="13">
        <f>+E14</f>
        <v>50953</v>
      </c>
    </row>
    <row r="15" spans="1:10" x14ac:dyDescent="0.2">
      <c r="A15" s="10" t="s">
        <v>14</v>
      </c>
      <c r="B15" s="11">
        <v>485</v>
      </c>
      <c r="C15" s="11">
        <f>55000+10220</f>
        <v>65220</v>
      </c>
      <c r="D15" s="12"/>
      <c r="E15" s="30">
        <f t="shared" si="0"/>
        <v>65705</v>
      </c>
      <c r="F15" s="11"/>
      <c r="G15" s="11">
        <v>1</v>
      </c>
      <c r="H15" s="12"/>
      <c r="I15" s="30">
        <f t="shared" si="1"/>
        <v>1</v>
      </c>
      <c r="J15" s="13">
        <f>+E15</f>
        <v>65705</v>
      </c>
    </row>
    <row r="16" spans="1:10" x14ac:dyDescent="0.2">
      <c r="A16" s="10" t="s">
        <v>15</v>
      </c>
      <c r="B16" s="12"/>
      <c r="C16" s="12">
        <f>100+13713</f>
        <v>13813</v>
      </c>
      <c r="D16" s="12"/>
      <c r="E16" s="30">
        <f t="shared" si="0"/>
        <v>13813</v>
      </c>
      <c r="F16" s="12"/>
      <c r="G16" s="11">
        <v>65111</v>
      </c>
      <c r="H16" s="12"/>
      <c r="I16" s="30">
        <f t="shared" si="1"/>
        <v>65111</v>
      </c>
      <c r="J16" s="13">
        <f>-I16</f>
        <v>-65111</v>
      </c>
    </row>
    <row r="17" spans="1:10" x14ac:dyDescent="0.2">
      <c r="A17" s="10" t="s">
        <v>16</v>
      </c>
      <c r="B17" s="12"/>
      <c r="C17" s="12">
        <v>954</v>
      </c>
      <c r="D17" s="12"/>
      <c r="E17" s="30">
        <f t="shared" si="0"/>
        <v>954</v>
      </c>
      <c r="F17" s="12"/>
      <c r="G17" s="11">
        <v>61258</v>
      </c>
      <c r="H17" s="12"/>
      <c r="I17" s="30">
        <f t="shared" si="1"/>
        <v>61258</v>
      </c>
      <c r="J17" s="13">
        <f>+E17</f>
        <v>954</v>
      </c>
    </row>
    <row r="18" spans="1:10" x14ac:dyDescent="0.2">
      <c r="A18" s="10" t="s">
        <v>17</v>
      </c>
      <c r="B18" s="11"/>
      <c r="C18" s="11">
        <f>1+12674</f>
        <v>12675</v>
      </c>
      <c r="D18" s="12"/>
      <c r="E18" s="30">
        <f t="shared" si="0"/>
        <v>12675</v>
      </c>
      <c r="F18" s="11"/>
      <c r="G18" s="11">
        <v>48</v>
      </c>
      <c r="H18" s="12"/>
      <c r="I18" s="30">
        <f t="shared" si="1"/>
        <v>48</v>
      </c>
      <c r="J18" s="13"/>
    </row>
    <row r="19" spans="1:10" x14ac:dyDescent="0.2">
      <c r="A19" s="10" t="s">
        <v>18</v>
      </c>
      <c r="B19" s="12"/>
      <c r="C19" s="11">
        <v>27411</v>
      </c>
      <c r="D19" s="11"/>
      <c r="E19" s="30">
        <f t="shared" si="0"/>
        <v>27411</v>
      </c>
      <c r="F19" s="11"/>
      <c r="G19" s="11">
        <v>171670</v>
      </c>
      <c r="H19" s="12"/>
      <c r="I19" s="30">
        <f t="shared" si="1"/>
        <v>171670</v>
      </c>
      <c r="J19" s="13">
        <f t="shared" ref="J19:J24" si="2">-I19</f>
        <v>-171670</v>
      </c>
    </row>
    <row r="20" spans="1:10" x14ac:dyDescent="0.2">
      <c r="A20" s="10" t="s">
        <v>19</v>
      </c>
      <c r="B20" s="11">
        <v>132</v>
      </c>
      <c r="C20" s="11">
        <f>1+129078</f>
        <v>129079</v>
      </c>
      <c r="D20" s="12"/>
      <c r="E20" s="30">
        <f t="shared" si="0"/>
        <v>129211</v>
      </c>
      <c r="F20" s="11">
        <v>26993</v>
      </c>
      <c r="G20" s="11">
        <v>15550</v>
      </c>
      <c r="H20" s="12"/>
      <c r="I20" s="30">
        <f t="shared" si="1"/>
        <v>42543</v>
      </c>
      <c r="J20" s="13">
        <f t="shared" si="2"/>
        <v>-42543</v>
      </c>
    </row>
    <row r="21" spans="1:10" x14ac:dyDescent="0.2">
      <c r="A21" s="10" t="s">
        <v>20</v>
      </c>
      <c r="B21" s="11"/>
      <c r="C21" s="11">
        <f>829+3534</f>
        <v>4363</v>
      </c>
      <c r="D21" s="12"/>
      <c r="E21" s="30">
        <f t="shared" si="0"/>
        <v>4363</v>
      </c>
      <c r="F21" s="11">
        <v>760</v>
      </c>
      <c r="G21" s="11">
        <v>20063</v>
      </c>
      <c r="H21" s="12"/>
      <c r="I21" s="30">
        <f t="shared" si="1"/>
        <v>20823</v>
      </c>
      <c r="J21" s="13">
        <f t="shared" si="2"/>
        <v>-20823</v>
      </c>
    </row>
    <row r="22" spans="1:10" x14ac:dyDescent="0.2">
      <c r="A22" s="10" t="s">
        <v>21</v>
      </c>
      <c r="B22" s="11">
        <v>1075</v>
      </c>
      <c r="C22" s="11">
        <f>1+2081</f>
        <v>2082</v>
      </c>
      <c r="D22" s="12"/>
      <c r="E22" s="30">
        <f t="shared" si="0"/>
        <v>3157</v>
      </c>
      <c r="F22" s="11">
        <v>25000</v>
      </c>
      <c r="G22" s="11">
        <v>1298</v>
      </c>
      <c r="H22" s="12"/>
      <c r="I22" s="30">
        <f t="shared" si="1"/>
        <v>26298</v>
      </c>
      <c r="J22" s="13">
        <f t="shared" si="2"/>
        <v>-26298</v>
      </c>
    </row>
    <row r="23" spans="1:10" x14ac:dyDescent="0.2">
      <c r="A23" s="10" t="s">
        <v>22</v>
      </c>
      <c r="B23" s="11"/>
      <c r="C23" s="11">
        <f>1+16701</f>
        <v>16702</v>
      </c>
      <c r="D23" s="12"/>
      <c r="E23" s="30">
        <f t="shared" si="0"/>
        <v>16702</v>
      </c>
      <c r="F23" s="11"/>
      <c r="G23" s="11">
        <f>1501</f>
        <v>1501</v>
      </c>
      <c r="H23" s="12"/>
      <c r="I23" s="30">
        <f t="shared" si="1"/>
        <v>1501</v>
      </c>
      <c r="J23" s="13">
        <f t="shared" si="2"/>
        <v>-1501</v>
      </c>
    </row>
    <row r="24" spans="1:10" x14ac:dyDescent="0.2">
      <c r="A24" s="10" t="s">
        <v>23</v>
      </c>
      <c r="B24" s="12"/>
      <c r="C24" s="12">
        <f>1+1645</f>
        <v>1646</v>
      </c>
      <c r="D24" s="12"/>
      <c r="E24" s="30">
        <f t="shared" si="0"/>
        <v>1646</v>
      </c>
      <c r="F24" s="12">
        <v>222</v>
      </c>
      <c r="G24" s="11">
        <v>11</v>
      </c>
      <c r="H24" s="12"/>
      <c r="I24" s="30">
        <f t="shared" si="1"/>
        <v>233</v>
      </c>
      <c r="J24" s="13">
        <f t="shared" si="2"/>
        <v>-233</v>
      </c>
    </row>
    <row r="25" spans="1:10" x14ac:dyDescent="0.2">
      <c r="A25" s="10" t="s">
        <v>24</v>
      </c>
      <c r="B25" s="12"/>
      <c r="C25" s="12">
        <v>660</v>
      </c>
      <c r="D25" s="12"/>
      <c r="E25" s="30">
        <f t="shared" si="0"/>
        <v>660</v>
      </c>
      <c r="F25" s="12"/>
      <c r="G25" s="11">
        <v>22588</v>
      </c>
      <c r="H25" s="12"/>
      <c r="I25" s="30">
        <f t="shared" si="1"/>
        <v>22588</v>
      </c>
      <c r="J25" s="25"/>
    </row>
    <row r="26" spans="1:10" x14ac:dyDescent="0.2">
      <c r="A26" s="29" t="s">
        <v>25</v>
      </c>
      <c r="B26" s="22">
        <v>6580</v>
      </c>
      <c r="C26" s="22">
        <v>9230</v>
      </c>
      <c r="D26" s="22"/>
      <c r="E26" s="31">
        <f t="shared" si="0"/>
        <v>15810</v>
      </c>
      <c r="F26" s="22">
        <v>6580</v>
      </c>
      <c r="G26" s="21"/>
      <c r="H26" s="22"/>
      <c r="I26" s="31">
        <f t="shared" si="1"/>
        <v>6580</v>
      </c>
      <c r="J26" s="23"/>
    </row>
    <row r="27" spans="1:10" x14ac:dyDescent="0.2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5" thickBot="1" x14ac:dyDescent="0.25">
      <c r="A28" s="17" t="s">
        <v>37</v>
      </c>
      <c r="B28" s="18">
        <f>SUM(B2:B27)</f>
        <v>125400</v>
      </c>
      <c r="C28" s="19"/>
      <c r="D28" s="19"/>
      <c r="E28" s="33">
        <f>SUM(E2:E26)</f>
        <v>1064893</v>
      </c>
      <c r="F28" s="28">
        <f>SUM(F2:F27)</f>
        <v>125400</v>
      </c>
      <c r="G28" s="19"/>
      <c r="H28" s="19"/>
      <c r="I28" s="18">
        <f>SUM(I2:I26)</f>
        <v>1326446</v>
      </c>
      <c r="J28" s="20"/>
    </row>
    <row r="29" spans="1:10" x14ac:dyDescent="0.2">
      <c r="G29" s="5"/>
    </row>
    <row r="30" spans="1:10" x14ac:dyDescent="0.2">
      <c r="A30" t="s">
        <v>38</v>
      </c>
      <c r="D30" s="5"/>
    </row>
  </sheetData>
  <pageMargins left="0.75" right="0.75" top="1" bottom="1" header="0.5" footer="0.5"/>
  <pageSetup orientation="landscape" horizontalDpi="0" r:id="rId1"/>
  <headerFooter alignWithMargins="0">
    <oddHeader>&amp;CMARCH 2000 PREBID THROUGHPUT</oddHeader>
    <oddFooter>&amp;Lo:\NAES\Texas Transport\Capacity\&amp;F &amp;A&amp;RUpdated &amp;D at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F14" sqref="F14"/>
    </sheetView>
  </sheetViews>
  <sheetFormatPr defaultRowHeight="12.75" x14ac:dyDescent="0.2"/>
  <cols>
    <col min="1" max="1" width="16.85546875" bestFit="1" customWidth="1"/>
  </cols>
  <sheetData>
    <row r="1" spans="1:10" ht="21.75" thickBot="1" x14ac:dyDescent="0.25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">
      <c r="A2" s="10" t="s">
        <v>1</v>
      </c>
      <c r="B2" s="11">
        <f>43320+50000</f>
        <v>93320</v>
      </c>
      <c r="C2" s="3">
        <v>216702</v>
      </c>
      <c r="D2" s="2"/>
      <c r="E2" s="30">
        <f t="shared" ref="E2:E26" si="0">SUM(B2:D2)</f>
        <v>310022</v>
      </c>
      <c r="F2" s="11">
        <v>1721</v>
      </c>
      <c r="G2" s="3">
        <v>6148</v>
      </c>
      <c r="H2" s="2">
        <v>0</v>
      </c>
      <c r="I2" s="30">
        <f t="shared" ref="I2:I26" si="1">SUM(F2:H2)</f>
        <v>7869</v>
      </c>
      <c r="J2" s="13">
        <f>+E2</f>
        <v>310022</v>
      </c>
    </row>
    <row r="3" spans="1:10" x14ac:dyDescent="0.2">
      <c r="A3" s="10" t="s">
        <v>2</v>
      </c>
      <c r="B3" s="11">
        <v>27</v>
      </c>
      <c r="C3" s="3">
        <v>2440</v>
      </c>
      <c r="D3" s="2">
        <v>2</v>
      </c>
      <c r="E3" s="30">
        <f t="shared" si="0"/>
        <v>2469</v>
      </c>
      <c r="F3" s="11">
        <v>125</v>
      </c>
      <c r="G3" s="3">
        <v>12343</v>
      </c>
      <c r="H3" s="2">
        <v>3</v>
      </c>
      <c r="I3" s="30">
        <f t="shared" si="1"/>
        <v>12471</v>
      </c>
      <c r="J3" s="13">
        <f>+E3</f>
        <v>2469</v>
      </c>
    </row>
    <row r="4" spans="1:10" x14ac:dyDescent="0.2">
      <c r="A4" s="10" t="s">
        <v>3</v>
      </c>
      <c r="B4" s="11">
        <v>751</v>
      </c>
      <c r="C4" s="3">
        <v>1381</v>
      </c>
      <c r="D4" s="2"/>
      <c r="E4" s="30">
        <f t="shared" si="0"/>
        <v>2132</v>
      </c>
      <c r="F4" s="11"/>
      <c r="G4" s="3">
        <v>4761</v>
      </c>
      <c r="H4" s="2"/>
      <c r="I4" s="30">
        <f t="shared" si="1"/>
        <v>4761</v>
      </c>
      <c r="J4" s="13">
        <f>+E4</f>
        <v>2132</v>
      </c>
    </row>
    <row r="5" spans="1:10" x14ac:dyDescent="0.2">
      <c r="A5" s="10" t="s">
        <v>4</v>
      </c>
      <c r="B5" s="11">
        <v>600</v>
      </c>
      <c r="C5" s="2">
        <v>596</v>
      </c>
      <c r="D5" s="2"/>
      <c r="E5" s="30">
        <f t="shared" si="0"/>
        <v>1196</v>
      </c>
      <c r="F5" s="11"/>
      <c r="G5" s="2">
        <v>0</v>
      </c>
      <c r="H5" s="3">
        <v>9700</v>
      </c>
      <c r="I5" s="30">
        <f t="shared" si="1"/>
        <v>9700</v>
      </c>
      <c r="J5" s="13">
        <f>+E5</f>
        <v>1196</v>
      </c>
    </row>
    <row r="6" spans="1:10" x14ac:dyDescent="0.2">
      <c r="A6" s="10" t="s">
        <v>5</v>
      </c>
      <c r="B6" s="11"/>
      <c r="C6" s="2">
        <v>0</v>
      </c>
      <c r="D6" s="2"/>
      <c r="E6" s="30">
        <f t="shared" si="0"/>
        <v>0</v>
      </c>
      <c r="F6" s="11">
        <v>7950</v>
      </c>
      <c r="G6" s="2">
        <v>1</v>
      </c>
      <c r="H6" s="2">
        <v>50</v>
      </c>
      <c r="I6" s="30">
        <f t="shared" si="1"/>
        <v>8001</v>
      </c>
      <c r="J6" s="13">
        <f>-I6</f>
        <v>-8001</v>
      </c>
    </row>
    <row r="7" spans="1:10" x14ac:dyDescent="0.2">
      <c r="A7" s="10" t="s">
        <v>6</v>
      </c>
      <c r="B7" s="11">
        <v>5668</v>
      </c>
      <c r="C7" s="3">
        <v>186284</v>
      </c>
      <c r="D7" s="2"/>
      <c r="E7" s="30">
        <f t="shared" si="0"/>
        <v>191952</v>
      </c>
      <c r="F7" s="11">
        <v>15293</v>
      </c>
      <c r="G7" s="3">
        <v>13622</v>
      </c>
      <c r="H7" s="2"/>
      <c r="I7" s="30">
        <f t="shared" si="1"/>
        <v>28915</v>
      </c>
      <c r="J7" s="13">
        <f>+E7</f>
        <v>191952</v>
      </c>
    </row>
    <row r="8" spans="1:10" x14ac:dyDescent="0.2">
      <c r="A8" s="10" t="s">
        <v>7</v>
      </c>
      <c r="B8" s="11">
        <v>72749</v>
      </c>
      <c r="C8" s="2">
        <v>0</v>
      </c>
      <c r="D8" s="2"/>
      <c r="E8" s="30">
        <f t="shared" si="0"/>
        <v>72749</v>
      </c>
      <c r="F8" s="11">
        <v>72749</v>
      </c>
      <c r="G8" s="3">
        <v>1500</v>
      </c>
      <c r="H8" s="2"/>
      <c r="I8" s="30">
        <f t="shared" si="1"/>
        <v>74249</v>
      </c>
      <c r="J8" s="13">
        <f>-I8</f>
        <v>-74249</v>
      </c>
    </row>
    <row r="9" spans="1:10" x14ac:dyDescent="0.2">
      <c r="A9" s="10" t="s">
        <v>8</v>
      </c>
      <c r="B9" s="11">
        <f>23265+20000+50000+13000+7500</f>
        <v>113765</v>
      </c>
      <c r="C9" s="3">
        <v>104350</v>
      </c>
      <c r="D9" s="2"/>
      <c r="E9" s="30">
        <f t="shared" si="0"/>
        <v>218115</v>
      </c>
      <c r="F9" s="11">
        <f>391+7500</f>
        <v>7891</v>
      </c>
      <c r="G9" s="2">
        <v>300</v>
      </c>
      <c r="H9" s="2"/>
      <c r="I9" s="30">
        <f t="shared" si="1"/>
        <v>8191</v>
      </c>
      <c r="J9" s="13">
        <f>+E9</f>
        <v>218115</v>
      </c>
    </row>
    <row r="10" spans="1:10" x14ac:dyDescent="0.2">
      <c r="A10" s="10" t="s">
        <v>9</v>
      </c>
      <c r="B10" s="11">
        <v>7000</v>
      </c>
      <c r="C10" s="3">
        <v>15000</v>
      </c>
      <c r="D10" s="2"/>
      <c r="E10" s="30">
        <f t="shared" si="0"/>
        <v>22000</v>
      </c>
      <c r="F10" s="11">
        <f>10000+31000</f>
        <v>41000</v>
      </c>
      <c r="G10" s="3">
        <v>164320</v>
      </c>
      <c r="H10" s="2"/>
      <c r="I10" s="30">
        <f t="shared" si="1"/>
        <v>205320</v>
      </c>
      <c r="J10" s="13">
        <f>-I10</f>
        <v>-205320</v>
      </c>
    </row>
    <row r="11" spans="1:10" x14ac:dyDescent="0.2">
      <c r="A11" s="10" t="s">
        <v>10</v>
      </c>
      <c r="B11" s="11">
        <v>8500</v>
      </c>
      <c r="C11" s="3">
        <v>166074</v>
      </c>
      <c r="D11" s="2">
        <v>52</v>
      </c>
      <c r="E11" s="30">
        <f t="shared" si="0"/>
        <v>174626</v>
      </c>
      <c r="F11" s="11">
        <f>18500+5000+15000</f>
        <v>38500</v>
      </c>
      <c r="G11" s="3">
        <v>55349</v>
      </c>
      <c r="H11" s="2">
        <v>3</v>
      </c>
      <c r="I11" s="30">
        <f t="shared" si="1"/>
        <v>93852</v>
      </c>
      <c r="J11" s="13"/>
    </row>
    <row r="12" spans="1:10" x14ac:dyDescent="0.2">
      <c r="A12" s="10" t="s">
        <v>11</v>
      </c>
      <c r="B12" s="11">
        <v>1539</v>
      </c>
      <c r="C12" s="3">
        <v>16462</v>
      </c>
      <c r="D12" s="3">
        <v>6465</v>
      </c>
      <c r="E12" s="30">
        <f t="shared" si="0"/>
        <v>24466</v>
      </c>
      <c r="F12" s="11">
        <v>1778</v>
      </c>
      <c r="G12" s="3">
        <v>166620</v>
      </c>
      <c r="H12" s="2"/>
      <c r="I12" s="30">
        <f t="shared" si="1"/>
        <v>168398</v>
      </c>
      <c r="J12" s="13">
        <f>-I12</f>
        <v>-168398</v>
      </c>
    </row>
    <row r="13" spans="1:10" x14ac:dyDescent="0.2">
      <c r="A13" s="10" t="s">
        <v>12</v>
      </c>
      <c r="B13" s="11"/>
      <c r="C13" s="3">
        <v>63949</v>
      </c>
      <c r="D13" s="2">
        <v>0</v>
      </c>
      <c r="E13" s="30">
        <f t="shared" si="0"/>
        <v>63949</v>
      </c>
      <c r="F13" s="11">
        <f>35000+15000+15000</f>
        <v>65000</v>
      </c>
      <c r="G13" s="3">
        <v>326331</v>
      </c>
      <c r="H13" s="2">
        <v>400</v>
      </c>
      <c r="I13" s="30">
        <f t="shared" si="1"/>
        <v>391731</v>
      </c>
      <c r="J13" s="13">
        <f>-I13</f>
        <v>-391731</v>
      </c>
    </row>
    <row r="14" spans="1:10" x14ac:dyDescent="0.2">
      <c r="A14" s="10" t="s">
        <v>13</v>
      </c>
      <c r="B14" s="11">
        <f>30500+22100</f>
        <v>52600</v>
      </c>
      <c r="C14" s="3">
        <v>90850</v>
      </c>
      <c r="D14" s="2"/>
      <c r="E14" s="30">
        <f t="shared" si="0"/>
        <v>143450</v>
      </c>
      <c r="F14" s="11"/>
      <c r="G14" s="3">
        <v>82019</v>
      </c>
      <c r="H14" s="2"/>
      <c r="I14" s="30">
        <f t="shared" si="1"/>
        <v>82019</v>
      </c>
      <c r="J14" s="13">
        <f>+E14</f>
        <v>143450</v>
      </c>
    </row>
    <row r="15" spans="1:10" x14ac:dyDescent="0.2">
      <c r="A15" s="10" t="s">
        <v>14</v>
      </c>
      <c r="B15" s="11">
        <f>10909+40000+1900</f>
        <v>52809</v>
      </c>
      <c r="C15" s="3">
        <v>167000</v>
      </c>
      <c r="D15" s="2"/>
      <c r="E15" s="30">
        <f t="shared" si="0"/>
        <v>219809</v>
      </c>
      <c r="F15" s="11"/>
      <c r="G15" s="3">
        <v>30001</v>
      </c>
      <c r="H15" s="2">
        <v>0</v>
      </c>
      <c r="I15" s="30">
        <f t="shared" si="1"/>
        <v>30001</v>
      </c>
      <c r="J15" s="13">
        <f>+E15</f>
        <v>219809</v>
      </c>
    </row>
    <row r="16" spans="1:10" x14ac:dyDescent="0.2">
      <c r="A16" s="10" t="s">
        <v>15</v>
      </c>
      <c r="B16" s="11"/>
      <c r="C16" s="2">
        <v>159</v>
      </c>
      <c r="D16" s="2"/>
      <c r="E16" s="30">
        <f t="shared" si="0"/>
        <v>159</v>
      </c>
      <c r="F16" s="11">
        <f>15000+20000+10000</f>
        <v>45000</v>
      </c>
      <c r="G16" s="3">
        <v>53270</v>
      </c>
      <c r="H16" s="2"/>
      <c r="I16" s="30">
        <f t="shared" si="1"/>
        <v>98270</v>
      </c>
      <c r="J16" s="13">
        <f>-I16</f>
        <v>-98270</v>
      </c>
    </row>
    <row r="17" spans="1:10" x14ac:dyDescent="0.2">
      <c r="A17" s="10" t="s">
        <v>16</v>
      </c>
      <c r="B17" s="11"/>
      <c r="C17" s="2"/>
      <c r="D17" s="2"/>
      <c r="E17" s="30">
        <f t="shared" si="0"/>
        <v>0</v>
      </c>
      <c r="F17" s="11"/>
      <c r="G17" s="2"/>
      <c r="H17" s="3">
        <v>20000</v>
      </c>
      <c r="I17" s="30">
        <f t="shared" si="1"/>
        <v>20000</v>
      </c>
      <c r="J17" s="13">
        <f>+E17</f>
        <v>0</v>
      </c>
    </row>
    <row r="18" spans="1:10" x14ac:dyDescent="0.2">
      <c r="A18" s="10" t="s">
        <v>17</v>
      </c>
      <c r="B18" s="11">
        <v>83258</v>
      </c>
      <c r="C18" s="2"/>
      <c r="D18" s="2">
        <v>0</v>
      </c>
      <c r="E18" s="30">
        <f t="shared" si="0"/>
        <v>83258</v>
      </c>
      <c r="F18" s="11">
        <v>69205</v>
      </c>
      <c r="G18" s="3">
        <v>23811</v>
      </c>
      <c r="H18" s="2"/>
      <c r="I18" s="30">
        <f t="shared" si="1"/>
        <v>93016</v>
      </c>
      <c r="J18" s="13"/>
    </row>
    <row r="19" spans="1:10" x14ac:dyDescent="0.2">
      <c r="A19" s="10" t="s">
        <v>18</v>
      </c>
      <c r="B19" s="11"/>
      <c r="C19" s="3">
        <v>9419</v>
      </c>
      <c r="D19" s="2"/>
      <c r="E19" s="30">
        <f t="shared" si="0"/>
        <v>9419</v>
      </c>
      <c r="F19" s="11"/>
      <c r="G19" s="2">
        <v>48</v>
      </c>
      <c r="H19" s="2"/>
      <c r="I19" s="30">
        <f t="shared" si="1"/>
        <v>48</v>
      </c>
      <c r="J19" s="13">
        <f t="shared" ref="J19:J24" si="2">-I19</f>
        <v>-48</v>
      </c>
    </row>
    <row r="20" spans="1:10" x14ac:dyDescent="0.2">
      <c r="A20" s="10" t="s">
        <v>19</v>
      </c>
      <c r="B20" s="11">
        <v>3132</v>
      </c>
      <c r="C20" s="3">
        <v>243826</v>
      </c>
      <c r="D20" s="2"/>
      <c r="E20" s="30">
        <f t="shared" si="0"/>
        <v>246958</v>
      </c>
      <c r="F20" s="11">
        <f>35449+15000</f>
        <v>50449</v>
      </c>
      <c r="G20" s="3">
        <v>176100</v>
      </c>
      <c r="H20" s="3">
        <v>5466</v>
      </c>
      <c r="I20" s="30">
        <f t="shared" si="1"/>
        <v>232015</v>
      </c>
      <c r="J20" s="13">
        <f t="shared" si="2"/>
        <v>-232015</v>
      </c>
    </row>
    <row r="21" spans="1:10" x14ac:dyDescent="0.2">
      <c r="A21" s="10" t="s">
        <v>20</v>
      </c>
      <c r="B21" s="11">
        <v>364</v>
      </c>
      <c r="C21" s="3">
        <v>5294</v>
      </c>
      <c r="D21" s="2"/>
      <c r="E21" s="30">
        <f t="shared" si="0"/>
        <v>5658</v>
      </c>
      <c r="F21" s="11">
        <f>1199+10000</f>
        <v>11199</v>
      </c>
      <c r="G21" s="3">
        <v>20351</v>
      </c>
      <c r="H21" s="2"/>
      <c r="I21" s="30">
        <f t="shared" si="1"/>
        <v>31550</v>
      </c>
      <c r="J21" s="13">
        <f t="shared" si="2"/>
        <v>-31550</v>
      </c>
    </row>
    <row r="22" spans="1:10" x14ac:dyDescent="0.2">
      <c r="A22" s="10" t="s">
        <v>21</v>
      </c>
      <c r="B22" s="11"/>
      <c r="C22" s="3">
        <v>1926</v>
      </c>
      <c r="D22" s="2"/>
      <c r="E22" s="30">
        <f t="shared" si="0"/>
        <v>1926</v>
      </c>
      <c r="F22" s="11">
        <f>10000+25000+20000+13000</f>
        <v>68000</v>
      </c>
      <c r="G22" s="3">
        <v>20063</v>
      </c>
      <c r="H22" s="2"/>
      <c r="I22" s="30">
        <f t="shared" si="1"/>
        <v>88063</v>
      </c>
      <c r="J22" s="13">
        <f t="shared" si="2"/>
        <v>-88063</v>
      </c>
    </row>
    <row r="23" spans="1:10" x14ac:dyDescent="0.2">
      <c r="A23" s="10" t="s">
        <v>22</v>
      </c>
      <c r="B23" s="11"/>
      <c r="C23" s="3">
        <v>20402</v>
      </c>
      <c r="D23" s="2"/>
      <c r="E23" s="30">
        <f t="shared" si="0"/>
        <v>20402</v>
      </c>
      <c r="F23" s="11"/>
      <c r="G23" s="3">
        <v>1184</v>
      </c>
      <c r="H23" s="2"/>
      <c r="I23" s="30">
        <f t="shared" si="1"/>
        <v>1184</v>
      </c>
      <c r="J23" s="13">
        <f t="shared" si="2"/>
        <v>-1184</v>
      </c>
    </row>
    <row r="24" spans="1:10" x14ac:dyDescent="0.2">
      <c r="A24" s="10" t="s">
        <v>23</v>
      </c>
      <c r="B24" s="11"/>
      <c r="C24" s="2">
        <v>49</v>
      </c>
      <c r="D24" s="2"/>
      <c r="E24" s="30">
        <f t="shared" si="0"/>
        <v>49</v>
      </c>
      <c r="F24" s="11">
        <v>222</v>
      </c>
      <c r="G24" s="3">
        <v>1501</v>
      </c>
      <c r="H24" s="2"/>
      <c r="I24" s="30">
        <f t="shared" si="1"/>
        <v>1723</v>
      </c>
      <c r="J24" s="13">
        <f t="shared" si="2"/>
        <v>-1723</v>
      </c>
    </row>
    <row r="25" spans="1:10" x14ac:dyDescent="0.2">
      <c r="A25" s="10" t="s">
        <v>24</v>
      </c>
      <c r="B25" s="11"/>
      <c r="C25" s="2">
        <v>1</v>
      </c>
      <c r="D25" s="2"/>
      <c r="E25" s="30">
        <f t="shared" si="0"/>
        <v>1</v>
      </c>
      <c r="F25" s="11"/>
      <c r="G25" s="3">
        <v>1966</v>
      </c>
      <c r="H25" s="2"/>
      <c r="I25" s="30">
        <f t="shared" si="1"/>
        <v>1966</v>
      </c>
      <c r="J25" s="25"/>
    </row>
    <row r="26" spans="1:10" x14ac:dyDescent="0.2">
      <c r="A26" s="29" t="s">
        <v>25</v>
      </c>
      <c r="B26" s="21">
        <v>8235</v>
      </c>
      <c r="C26" s="22">
        <v>236</v>
      </c>
      <c r="D26" s="34"/>
      <c r="E26" s="31">
        <f t="shared" si="0"/>
        <v>8471</v>
      </c>
      <c r="F26" s="21">
        <v>8235</v>
      </c>
      <c r="G26" s="21">
        <v>11794</v>
      </c>
      <c r="H26" s="34"/>
      <c r="I26" s="31">
        <f t="shared" si="1"/>
        <v>20029</v>
      </c>
      <c r="J26" s="23"/>
    </row>
    <row r="27" spans="1:10" x14ac:dyDescent="0.2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5" thickBot="1" x14ac:dyDescent="0.25">
      <c r="A28" s="17" t="s">
        <v>37</v>
      </c>
      <c r="B28" s="18">
        <f>SUM(B2:B27)</f>
        <v>504317</v>
      </c>
      <c r="C28" s="19"/>
      <c r="D28" s="19"/>
      <c r="E28" s="33">
        <f>SUM(E2:E26)</f>
        <v>1823236</v>
      </c>
      <c r="F28" s="28">
        <f>SUM(F2:F27)</f>
        <v>504317</v>
      </c>
      <c r="G28" s="19"/>
      <c r="H28" s="19"/>
      <c r="I28" s="18">
        <f>SUM(I2:I26)</f>
        <v>1713342</v>
      </c>
      <c r="J28" s="20"/>
    </row>
    <row r="29" spans="1:10" x14ac:dyDescent="0.2">
      <c r="G29" s="5"/>
    </row>
    <row r="30" spans="1:10" x14ac:dyDescent="0.2">
      <c r="A30" t="s">
        <v>38</v>
      </c>
      <c r="D30" s="5"/>
    </row>
  </sheetData>
  <printOptions horizontalCentered="1"/>
  <pageMargins left="0.75" right="0.75" top="1" bottom="1" header="0.5" footer="0.5"/>
  <pageSetup orientation="landscape" horizontalDpi="0" r:id="rId1"/>
  <headerFooter alignWithMargins="0">
    <oddHeader>&amp;CAPRIL 2000 PREBID THROUGHPUT</oddHeader>
    <oddFooter>&amp;Lo:\NAES\Texas Transport\Capacity\&amp;F &amp;A&amp;RUpdated &amp;D at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F14" sqref="F14"/>
    </sheetView>
  </sheetViews>
  <sheetFormatPr defaultRowHeight="12.75" x14ac:dyDescent="0.2"/>
  <cols>
    <col min="1" max="1" width="16.85546875" bestFit="1" customWidth="1"/>
  </cols>
  <sheetData>
    <row r="1" spans="1:10" ht="21.75" thickBot="1" x14ac:dyDescent="0.25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">
      <c r="A2" s="10" t="s">
        <v>1</v>
      </c>
      <c r="B2" s="11">
        <v>48430</v>
      </c>
      <c r="C2" s="3">
        <v>193392</v>
      </c>
      <c r="D2" s="2"/>
      <c r="E2" s="30">
        <f t="shared" ref="E2:E26" si="0">SUM(B2:D2)</f>
        <v>241822</v>
      </c>
      <c r="F2" s="11">
        <v>2131</v>
      </c>
      <c r="G2" s="3">
        <v>5153</v>
      </c>
      <c r="H2" s="2"/>
      <c r="I2" s="30">
        <f t="shared" ref="I2:I26" si="1">SUM(F2:H2)</f>
        <v>7284</v>
      </c>
      <c r="J2" s="13">
        <f>+E2</f>
        <v>241822</v>
      </c>
    </row>
    <row r="3" spans="1:10" x14ac:dyDescent="0.2">
      <c r="A3" s="10" t="s">
        <v>2</v>
      </c>
      <c r="B3" s="11"/>
      <c r="C3" s="3">
        <v>1372</v>
      </c>
      <c r="D3" s="2">
        <v>0</v>
      </c>
      <c r="E3" s="30">
        <f t="shared" si="0"/>
        <v>1372</v>
      </c>
      <c r="F3" s="11">
        <v>75</v>
      </c>
      <c r="G3" s="3">
        <v>12424</v>
      </c>
      <c r="H3" s="2">
        <v>0</v>
      </c>
      <c r="I3" s="30">
        <f t="shared" si="1"/>
        <v>12499</v>
      </c>
      <c r="J3" s="13">
        <f>+E3</f>
        <v>1372</v>
      </c>
    </row>
    <row r="4" spans="1:10" x14ac:dyDescent="0.2">
      <c r="A4" s="10" t="s">
        <v>3</v>
      </c>
      <c r="B4" s="11">
        <v>771</v>
      </c>
      <c r="C4" s="3">
        <v>5614</v>
      </c>
      <c r="D4" s="2"/>
      <c r="E4" s="30">
        <f t="shared" si="0"/>
        <v>6385</v>
      </c>
      <c r="F4" s="11"/>
      <c r="G4" s="3">
        <v>4689</v>
      </c>
      <c r="H4" s="2"/>
      <c r="I4" s="30">
        <f t="shared" si="1"/>
        <v>4689</v>
      </c>
      <c r="J4" s="13">
        <f>+E4</f>
        <v>6385</v>
      </c>
    </row>
    <row r="5" spans="1:10" x14ac:dyDescent="0.2">
      <c r="A5" s="10" t="s">
        <v>4</v>
      </c>
      <c r="B5" s="11">
        <v>630</v>
      </c>
      <c r="C5" s="2">
        <v>0</v>
      </c>
      <c r="D5" s="2"/>
      <c r="E5" s="30">
        <f t="shared" si="0"/>
        <v>630</v>
      </c>
      <c r="F5" s="11"/>
      <c r="G5" s="2">
        <v>0</v>
      </c>
      <c r="H5" s="3">
        <v>9700</v>
      </c>
      <c r="I5" s="30">
        <f t="shared" si="1"/>
        <v>9700</v>
      </c>
      <c r="J5" s="13">
        <f>+E5</f>
        <v>630</v>
      </c>
    </row>
    <row r="6" spans="1:10" x14ac:dyDescent="0.2">
      <c r="A6" s="10" t="s">
        <v>5</v>
      </c>
      <c r="B6" s="11"/>
      <c r="C6" s="2">
        <v>0</v>
      </c>
      <c r="D6" s="2"/>
      <c r="E6" s="30">
        <f t="shared" si="0"/>
        <v>0</v>
      </c>
      <c r="F6" s="11">
        <v>10000</v>
      </c>
      <c r="G6" s="2">
        <v>7001</v>
      </c>
      <c r="H6" s="2">
        <v>50</v>
      </c>
      <c r="I6" s="30">
        <f t="shared" si="1"/>
        <v>17051</v>
      </c>
      <c r="J6" s="13">
        <f>-I6</f>
        <v>-17051</v>
      </c>
    </row>
    <row r="7" spans="1:10" x14ac:dyDescent="0.2">
      <c r="A7" s="10" t="s">
        <v>6</v>
      </c>
      <c r="B7" s="11">
        <v>5504</v>
      </c>
      <c r="C7" s="3">
        <v>161130</v>
      </c>
      <c r="D7" s="2">
        <v>1</v>
      </c>
      <c r="E7" s="30">
        <f t="shared" si="0"/>
        <v>166635</v>
      </c>
      <c r="F7" s="11">
        <v>15189</v>
      </c>
      <c r="G7" s="3">
        <v>23396</v>
      </c>
      <c r="H7" s="2">
        <v>1</v>
      </c>
      <c r="I7" s="30">
        <f t="shared" si="1"/>
        <v>38586</v>
      </c>
      <c r="J7" s="13">
        <f>+E7</f>
        <v>166635</v>
      </c>
    </row>
    <row r="8" spans="1:10" x14ac:dyDescent="0.2">
      <c r="A8" s="10" t="s">
        <v>7</v>
      </c>
      <c r="B8" s="11">
        <v>85500</v>
      </c>
      <c r="C8" s="2">
        <v>0</v>
      </c>
      <c r="D8" s="2"/>
      <c r="E8" s="30">
        <f t="shared" si="0"/>
        <v>85500</v>
      </c>
      <c r="F8" s="11">
        <v>85500</v>
      </c>
      <c r="G8" s="3">
        <v>1500</v>
      </c>
      <c r="H8" s="2"/>
      <c r="I8" s="30">
        <f t="shared" si="1"/>
        <v>87000</v>
      </c>
      <c r="J8" s="13">
        <f>-I8</f>
        <v>-87000</v>
      </c>
    </row>
    <row r="9" spans="1:10" x14ac:dyDescent="0.2">
      <c r="A9" s="10" t="s">
        <v>8</v>
      </c>
      <c r="B9" s="11">
        <v>37825</v>
      </c>
      <c r="C9" s="3">
        <v>80840</v>
      </c>
      <c r="D9" s="2"/>
      <c r="E9" s="30">
        <f t="shared" si="0"/>
        <v>118665</v>
      </c>
      <c r="F9" s="11">
        <v>10000</v>
      </c>
      <c r="G9" s="2">
        <v>99</v>
      </c>
      <c r="H9" s="2"/>
      <c r="I9" s="30">
        <f t="shared" si="1"/>
        <v>10099</v>
      </c>
      <c r="J9" s="13">
        <f>+E9</f>
        <v>118665</v>
      </c>
    </row>
    <row r="10" spans="1:10" x14ac:dyDescent="0.2">
      <c r="A10" s="10" t="s">
        <v>9</v>
      </c>
      <c r="B10" s="11"/>
      <c r="C10" s="3">
        <v>5000</v>
      </c>
      <c r="D10" s="2"/>
      <c r="E10" s="30">
        <f t="shared" si="0"/>
        <v>5000</v>
      </c>
      <c r="F10" s="11">
        <v>31000</v>
      </c>
      <c r="G10" s="3">
        <v>178240</v>
      </c>
      <c r="H10" s="2"/>
      <c r="I10" s="30">
        <f t="shared" si="1"/>
        <v>209240</v>
      </c>
      <c r="J10" s="13">
        <f>-I10</f>
        <v>-209240</v>
      </c>
    </row>
    <row r="11" spans="1:10" x14ac:dyDescent="0.2">
      <c r="A11" s="10" t="s">
        <v>10</v>
      </c>
      <c r="B11" s="11"/>
      <c r="C11" s="3">
        <v>22</v>
      </c>
      <c r="D11" s="2">
        <v>50</v>
      </c>
      <c r="E11" s="30">
        <f t="shared" si="0"/>
        <v>72</v>
      </c>
      <c r="F11" s="11">
        <v>10071</v>
      </c>
      <c r="G11" s="3">
        <v>54297</v>
      </c>
      <c r="H11" s="2">
        <v>0</v>
      </c>
      <c r="I11" s="30">
        <f t="shared" si="1"/>
        <v>64368</v>
      </c>
      <c r="J11" s="13"/>
    </row>
    <row r="12" spans="1:10" x14ac:dyDescent="0.2">
      <c r="A12" s="10" t="s">
        <v>11</v>
      </c>
      <c r="B12" s="11">
        <v>1311</v>
      </c>
      <c r="C12" s="3">
        <v>16127</v>
      </c>
      <c r="D12" s="3">
        <v>6781</v>
      </c>
      <c r="E12" s="30">
        <f t="shared" si="0"/>
        <v>24219</v>
      </c>
      <c r="F12" s="11">
        <v>1227</v>
      </c>
      <c r="G12" s="3">
        <v>152245</v>
      </c>
      <c r="H12" s="2"/>
      <c r="I12" s="30">
        <f t="shared" si="1"/>
        <v>153472</v>
      </c>
      <c r="J12" s="13">
        <f>-I12</f>
        <v>-153472</v>
      </c>
    </row>
    <row r="13" spans="1:10" x14ac:dyDescent="0.2">
      <c r="A13" s="10" t="s">
        <v>12</v>
      </c>
      <c r="B13" s="11"/>
      <c r="C13" s="3">
        <v>54516</v>
      </c>
      <c r="D13" s="2"/>
      <c r="E13" s="30">
        <f t="shared" si="0"/>
        <v>54516</v>
      </c>
      <c r="F13" s="11">
        <v>32700</v>
      </c>
      <c r="G13" s="3">
        <v>311606</v>
      </c>
      <c r="H13" s="2">
        <v>400</v>
      </c>
      <c r="I13" s="30">
        <f t="shared" si="1"/>
        <v>344706</v>
      </c>
      <c r="J13" s="13">
        <f>-I13</f>
        <v>-344706</v>
      </c>
    </row>
    <row r="14" spans="1:10" x14ac:dyDescent="0.2">
      <c r="A14" s="10" t="s">
        <v>13</v>
      </c>
      <c r="B14" s="11">
        <v>16585</v>
      </c>
      <c r="C14" s="3">
        <v>98538</v>
      </c>
      <c r="D14" s="2"/>
      <c r="E14" s="30">
        <f t="shared" si="0"/>
        <v>115123</v>
      </c>
      <c r="F14" s="11"/>
      <c r="G14" s="3">
        <v>48329</v>
      </c>
      <c r="H14" s="2"/>
      <c r="I14" s="30">
        <f t="shared" si="1"/>
        <v>48329</v>
      </c>
      <c r="J14" s="13">
        <f>+E14</f>
        <v>115123</v>
      </c>
    </row>
    <row r="15" spans="1:10" x14ac:dyDescent="0.2">
      <c r="A15" s="10" t="s">
        <v>14</v>
      </c>
      <c r="B15" s="11">
        <v>40847</v>
      </c>
      <c r="C15" s="3">
        <v>150000</v>
      </c>
      <c r="D15" s="2">
        <v>0</v>
      </c>
      <c r="E15" s="30">
        <f t="shared" si="0"/>
        <v>190847</v>
      </c>
      <c r="F15" s="11"/>
      <c r="G15" s="3">
        <v>30001</v>
      </c>
      <c r="H15" s="2">
        <v>0</v>
      </c>
      <c r="I15" s="30">
        <f t="shared" si="1"/>
        <v>30001</v>
      </c>
      <c r="J15" s="13">
        <f>+E15</f>
        <v>190847</v>
      </c>
    </row>
    <row r="16" spans="1:10" x14ac:dyDescent="0.2">
      <c r="A16" s="10" t="s">
        <v>15</v>
      </c>
      <c r="B16" s="11"/>
      <c r="C16" s="2">
        <v>3670</v>
      </c>
      <c r="D16" s="2"/>
      <c r="E16" s="30">
        <f t="shared" si="0"/>
        <v>3670</v>
      </c>
      <c r="F16" s="11">
        <v>10000</v>
      </c>
      <c r="G16" s="3">
        <v>51181</v>
      </c>
      <c r="H16" s="2"/>
      <c r="I16" s="30">
        <f t="shared" si="1"/>
        <v>61181</v>
      </c>
      <c r="J16" s="13">
        <f>-I16</f>
        <v>-61181</v>
      </c>
    </row>
    <row r="17" spans="1:10" x14ac:dyDescent="0.2">
      <c r="A17" s="10" t="s">
        <v>16</v>
      </c>
      <c r="B17" s="11"/>
      <c r="C17" s="2"/>
      <c r="D17" s="2"/>
      <c r="E17" s="30">
        <f t="shared" si="0"/>
        <v>0</v>
      </c>
      <c r="F17" s="11"/>
      <c r="G17" s="2"/>
      <c r="H17" s="3">
        <v>40000</v>
      </c>
      <c r="I17" s="30">
        <f t="shared" si="1"/>
        <v>40000</v>
      </c>
      <c r="J17" s="13">
        <f>+E17</f>
        <v>0</v>
      </c>
    </row>
    <row r="18" spans="1:10" x14ac:dyDescent="0.2">
      <c r="A18" s="10" t="s">
        <v>17</v>
      </c>
      <c r="B18" s="11"/>
      <c r="C18" s="2"/>
      <c r="D18" s="2"/>
      <c r="E18" s="30">
        <f t="shared" si="0"/>
        <v>0</v>
      </c>
      <c r="F18" s="11">
        <v>1347</v>
      </c>
      <c r="G18" s="3">
        <v>56453</v>
      </c>
      <c r="H18" s="2"/>
      <c r="I18" s="30">
        <f t="shared" si="1"/>
        <v>57800</v>
      </c>
      <c r="J18" s="13"/>
    </row>
    <row r="19" spans="1:10" x14ac:dyDescent="0.2">
      <c r="A19" s="10" t="s">
        <v>18</v>
      </c>
      <c r="B19" s="11"/>
      <c r="C19" s="3">
        <v>1</v>
      </c>
      <c r="D19" s="2"/>
      <c r="E19" s="30">
        <f t="shared" si="0"/>
        <v>1</v>
      </c>
      <c r="F19" s="11"/>
      <c r="G19" s="2">
        <v>49</v>
      </c>
      <c r="H19" s="2"/>
      <c r="I19" s="30">
        <f t="shared" si="1"/>
        <v>49</v>
      </c>
      <c r="J19" s="13">
        <f t="shared" ref="J19:J24" si="2">-I19</f>
        <v>-49</v>
      </c>
    </row>
    <row r="20" spans="1:10" x14ac:dyDescent="0.2">
      <c r="A20" s="10" t="s">
        <v>19</v>
      </c>
      <c r="B20" s="11">
        <v>3103</v>
      </c>
      <c r="C20" s="3">
        <v>177959</v>
      </c>
      <c r="D20" s="2">
        <v>0</v>
      </c>
      <c r="E20" s="30">
        <f t="shared" si="0"/>
        <v>181062</v>
      </c>
      <c r="F20" s="11">
        <v>30299</v>
      </c>
      <c r="G20" s="3">
        <v>152600</v>
      </c>
      <c r="H20" s="3">
        <v>5466</v>
      </c>
      <c r="I20" s="30">
        <f t="shared" si="1"/>
        <v>188365</v>
      </c>
      <c r="J20" s="13">
        <f t="shared" si="2"/>
        <v>-188365</v>
      </c>
    </row>
    <row r="21" spans="1:10" x14ac:dyDescent="0.2">
      <c r="A21" s="10" t="s">
        <v>20</v>
      </c>
      <c r="B21" s="11"/>
      <c r="C21" s="3">
        <v>5295</v>
      </c>
      <c r="D21" s="2">
        <v>0</v>
      </c>
      <c r="E21" s="30">
        <f t="shared" si="0"/>
        <v>5295</v>
      </c>
      <c r="F21" s="11">
        <v>797</v>
      </c>
      <c r="G21" s="3">
        <v>30756</v>
      </c>
      <c r="H21" s="2"/>
      <c r="I21" s="30">
        <f t="shared" si="1"/>
        <v>31553</v>
      </c>
      <c r="J21" s="13">
        <f t="shared" si="2"/>
        <v>-31553</v>
      </c>
    </row>
    <row r="22" spans="1:10" x14ac:dyDescent="0.2">
      <c r="A22" s="10" t="s">
        <v>21</v>
      </c>
      <c r="B22" s="11"/>
      <c r="C22" s="3">
        <v>1097</v>
      </c>
      <c r="D22" s="2"/>
      <c r="E22" s="30">
        <f t="shared" si="0"/>
        <v>1097</v>
      </c>
      <c r="F22" s="11"/>
      <c r="G22" s="3">
        <v>20020</v>
      </c>
      <c r="H22" s="2"/>
      <c r="I22" s="30">
        <f t="shared" si="1"/>
        <v>20020</v>
      </c>
      <c r="J22" s="13">
        <f t="shared" si="2"/>
        <v>-20020</v>
      </c>
    </row>
    <row r="23" spans="1:10" x14ac:dyDescent="0.2">
      <c r="A23" s="10" t="s">
        <v>22</v>
      </c>
      <c r="B23" s="11"/>
      <c r="C23" s="3">
        <v>20392</v>
      </c>
      <c r="D23" s="2"/>
      <c r="E23" s="30">
        <f t="shared" si="0"/>
        <v>20392</v>
      </c>
      <c r="F23" s="11"/>
      <c r="G23" s="3">
        <v>4159</v>
      </c>
      <c r="H23" s="2">
        <v>0</v>
      </c>
      <c r="I23" s="30">
        <f t="shared" si="1"/>
        <v>4159</v>
      </c>
      <c r="J23" s="13">
        <f t="shared" si="2"/>
        <v>-4159</v>
      </c>
    </row>
    <row r="24" spans="1:10" x14ac:dyDescent="0.2">
      <c r="A24" s="10" t="s">
        <v>23</v>
      </c>
      <c r="B24" s="11"/>
      <c r="C24" s="2"/>
      <c r="D24" s="2"/>
      <c r="E24" s="30">
        <f t="shared" si="0"/>
        <v>0</v>
      </c>
      <c r="F24" s="11">
        <v>170</v>
      </c>
      <c r="G24" s="3">
        <v>3201</v>
      </c>
      <c r="H24" s="2"/>
      <c r="I24" s="30">
        <f t="shared" si="1"/>
        <v>3371</v>
      </c>
      <c r="J24" s="13">
        <f t="shared" si="2"/>
        <v>-3371</v>
      </c>
    </row>
    <row r="25" spans="1:10" x14ac:dyDescent="0.2">
      <c r="A25" s="10" t="s">
        <v>24</v>
      </c>
      <c r="B25" s="11"/>
      <c r="C25" s="2">
        <v>1</v>
      </c>
      <c r="D25" s="2"/>
      <c r="E25" s="30">
        <f t="shared" si="0"/>
        <v>1</v>
      </c>
      <c r="F25" s="11"/>
      <c r="G25" s="3">
        <v>1560</v>
      </c>
      <c r="H25" s="2"/>
      <c r="I25" s="30">
        <f t="shared" si="1"/>
        <v>1560</v>
      </c>
      <c r="J25" s="25"/>
    </row>
    <row r="26" spans="1:10" x14ac:dyDescent="0.2">
      <c r="A26" s="29" t="s">
        <v>25</v>
      </c>
      <c r="B26" s="21">
        <v>5954</v>
      </c>
      <c r="C26" s="22">
        <v>312</v>
      </c>
      <c r="D26" s="34"/>
      <c r="E26" s="31">
        <f t="shared" si="0"/>
        <v>6266</v>
      </c>
      <c r="F26" s="21">
        <v>5954</v>
      </c>
      <c r="G26" s="21">
        <v>11740</v>
      </c>
      <c r="H26" s="34"/>
      <c r="I26" s="31">
        <f t="shared" si="1"/>
        <v>17694</v>
      </c>
      <c r="J26" s="23"/>
    </row>
    <row r="27" spans="1:10" x14ac:dyDescent="0.2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5" thickBot="1" x14ac:dyDescent="0.25">
      <c r="A28" s="17" t="s">
        <v>37</v>
      </c>
      <c r="B28" s="18">
        <f>SUM(B2:B27)</f>
        <v>246460</v>
      </c>
      <c r="C28" s="19"/>
      <c r="D28" s="19"/>
      <c r="E28" s="33">
        <f>SUM(E2:E26)</f>
        <v>1228570</v>
      </c>
      <c r="F28" s="28">
        <f>SUM(F2:F27)</f>
        <v>246460</v>
      </c>
      <c r="G28" s="19"/>
      <c r="H28" s="19"/>
      <c r="I28" s="18">
        <f>SUM(I2:I26)</f>
        <v>1462776</v>
      </c>
      <c r="J28" s="20"/>
    </row>
    <row r="29" spans="1:10" x14ac:dyDescent="0.2">
      <c r="G29" s="5"/>
    </row>
    <row r="30" spans="1:10" x14ac:dyDescent="0.2">
      <c r="A30" t="s">
        <v>38</v>
      </c>
      <c r="D30" s="5"/>
    </row>
  </sheetData>
  <printOptions horizontalCentered="1"/>
  <pageMargins left="0.75" right="0.75" top="1" bottom="1" header="0.5" footer="0.5"/>
  <pageSetup orientation="landscape" horizontalDpi="0" r:id="rId1"/>
  <headerFooter alignWithMargins="0">
    <oddHeader>&amp;CMAY 2000 PREBID THROUGHPUT</oddHeader>
    <oddFooter>&amp;Lo:\NAES\Texas Transport\Capacity\&amp;F &amp;A&amp;RUpdated &amp;D at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Dec 99</vt:lpstr>
      <vt:lpstr>Dec 99 (2)</vt:lpstr>
      <vt:lpstr>Jan 00</vt:lpstr>
      <vt:lpstr>Jan 00 (2)</vt:lpstr>
      <vt:lpstr>Feb 00</vt:lpstr>
      <vt:lpstr>Feb 00 (2)</vt:lpstr>
      <vt:lpstr>Mar 00</vt:lpstr>
      <vt:lpstr>Apr 00</vt:lpstr>
      <vt:lpstr>May 00</vt:lpstr>
      <vt:lpstr>June 00</vt:lpstr>
      <vt:lpstr>July 00</vt:lpstr>
      <vt:lpstr>Aug 00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hwither</dc:creator>
  <cp:lastModifiedBy>Jan Havlíček</cp:lastModifiedBy>
  <cp:lastPrinted>2000-07-24T19:15:10Z</cp:lastPrinted>
  <dcterms:created xsi:type="dcterms:W3CDTF">1999-11-22T20:07:39Z</dcterms:created>
  <dcterms:modified xsi:type="dcterms:W3CDTF">2023-09-16T18:41:32Z</dcterms:modified>
</cp:coreProperties>
</file>