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876D9B-FF71-4DB5-B196-3A7F7DA3EC9C}" xr6:coauthVersionLast="47" xr6:coauthVersionMax="47" xr10:uidLastSave="{00000000-0000-0000-0000-000000000000}"/>
  <bookViews>
    <workbookView xWindow="-120" yWindow="-120" windowWidth="38640" windowHeight="15720" tabRatio="686" firstSheet="8" activeTab="15"/>
    <workbookView xWindow="-120" yWindow="-120" windowWidth="38640" windowHeight="15720" tabRatio="895" activeTab="2"/>
    <workbookView xWindow="-120" yWindow="-120" windowWidth="38640" windowHeight="15720"/>
    <workbookView xWindow="-120" yWindow="-120" windowWidth="38640" windowHeight="15720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type'!$A$2:$M$82</definedName>
    <definedName name="_xlnm.Print_Area" localSheetId="27">Calpine!$A$3:$D$48</definedName>
    <definedName name="_xlnm.Print_Area" localSheetId="12">Conoco!$A$2:$F$44</definedName>
    <definedName name="_xlnm.Print_Area" localSheetId="16">DEFS!$A$1:$J$54</definedName>
    <definedName name="_xlnm.Print_Area" localSheetId="15">Duke!$A$2:$C$64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summary!$A$2:$K$45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92512" iterate="1" iterateCount="5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8" l="1"/>
  <c r="D5" i="8"/>
  <c r="D6" i="8"/>
  <c r="D7" i="8"/>
  <c r="B8" i="8"/>
  <c r="D8" i="8"/>
  <c r="D9" i="8"/>
  <c r="D10" i="8"/>
  <c r="D11" i="8"/>
  <c r="D12" i="8"/>
  <c r="D13" i="8"/>
  <c r="D14" i="8"/>
  <c r="D15" i="8"/>
  <c r="B16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J48" i="80"/>
  <c r="K48" i="80"/>
  <c r="J49" i="80"/>
  <c r="J50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F59" i="80"/>
  <c r="B60" i="80"/>
  <c r="C60" i="80"/>
  <c r="D60" i="80"/>
  <c r="E60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B77" i="80"/>
  <c r="C77" i="80"/>
  <c r="D77" i="80"/>
  <c r="E77" i="80"/>
  <c r="B80" i="80"/>
  <c r="B81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D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K44" i="73"/>
  <c r="F50" i="73"/>
  <c r="F52" i="73"/>
  <c r="M52" i="73"/>
  <c r="F54" i="73"/>
  <c r="M54" i="73"/>
  <c r="B9" i="20"/>
  <c r="B11" i="20"/>
  <c r="B12" i="20"/>
  <c r="B13" i="20"/>
  <c r="B14" i="20"/>
  <c r="B15" i="20"/>
  <c r="B16" i="20"/>
  <c r="E16" i="20"/>
  <c r="B17" i="20"/>
  <c r="B18" i="20"/>
  <c r="C18" i="20"/>
  <c r="C19" i="20"/>
  <c r="B30" i="20"/>
  <c r="B31" i="20"/>
  <c r="C31" i="20"/>
  <c r="C32" i="20"/>
  <c r="E37" i="20"/>
  <c r="E38" i="20"/>
  <c r="F38" i="20"/>
  <c r="G38" i="20"/>
  <c r="H38" i="20"/>
  <c r="F39" i="20"/>
  <c r="G39" i="20"/>
  <c r="H39" i="20"/>
  <c r="I39" i="20"/>
  <c r="B45" i="20"/>
  <c r="B46" i="20"/>
  <c r="C46" i="20"/>
  <c r="C47" i="20"/>
  <c r="I53" i="20"/>
  <c r="C64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A43" i="67"/>
  <c r="D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<sst xmlns="http://schemas.openxmlformats.org/spreadsheetml/2006/main" count="615" uniqueCount="196">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</sst>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5" fontId="3" fillId="0" borderId="1" xfId="0" applyNumberFormat="1" applyFont="1" applyFill="1" applyBorder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5" fontId="9" fillId="0" borderId="1" xfId="0" applyNumberFormat="1" applyFont="1" applyBorder="1" applyAlignment="1">
      <alignment horizontal="right"/>
    </xf>
    <xf numFmtId="166" fontId="11" fillId="0" borderId="0" xfId="1" applyNumberFormat="1" applyFont="1" applyFill="1" applyBorder="1"/>
    <xf numFmtId="0" fontId="14" fillId="0" borderId="0" xfId="0" applyFont="1" applyBorder="1"/>
    <xf numFmtId="5" fontId="0" fillId="0" borderId="0" xfId="0" applyNumberFormat="1" applyBorder="1"/>
    <xf numFmtId="37" fontId="0" fillId="0" borderId="0" xfId="1" applyNumberFormat="1" applyFont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08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2.97</v>
          </cell>
          <cell r="K39">
            <v>2.61</v>
          </cell>
          <cell r="M39">
            <v>2.85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9"/>
  <sheetViews>
    <sheetView workbookViewId="0"/>
    <sheetView workbookViewId="1"/>
    <sheetView tabSelected="1" topLeftCell="C46" workbookViewId="2">
      <selection activeCell="G50" sqref="G50"/>
    </sheetView>
    <sheetView tabSelected="1" workbookViewId="3">
      <selection activeCell="I14" sqref="I14"/>
    </sheetView>
  </sheetViews>
  <sheetFormatPr defaultRowHeight="12.75" outlineLevelRow="2" x14ac:dyDescent="0.2"/>
  <cols>
    <col min="1" max="1" width="18.85546875" style="295" customWidth="1"/>
    <col min="2" max="2" width="11.140625" style="252" bestFit="1" customWidth="1"/>
    <col min="3" max="3" width="9.42578125" style="296" customWidth="1"/>
    <col min="4" max="4" width="10.140625" bestFit="1" customWidth="1"/>
    <col min="5" max="5" width="10.7109375" bestFit="1" customWidth="1"/>
    <col min="6" max="6" width="5.140625" bestFit="1" customWidth="1"/>
    <col min="7" max="7" width="11.140625" bestFit="1" customWidth="1"/>
    <col min="8" max="8" width="12.85546875" bestFit="1" customWidth="1"/>
    <col min="9" max="9" width="12.7109375" customWidth="1"/>
    <col min="10" max="11" width="9.5703125" bestFit="1" customWidth="1"/>
    <col min="13" max="13" width="34.42578125" customWidth="1"/>
  </cols>
  <sheetData>
    <row r="1" spans="1:32" ht="15" x14ac:dyDescent="0.25">
      <c r="A1" s="366"/>
    </row>
    <row r="2" spans="1:32" ht="12.95" customHeight="1" x14ac:dyDescent="0.2">
      <c r="A2" s="34" t="s">
        <v>146</v>
      </c>
      <c r="D2" s="7"/>
      <c r="I2" s="418" t="s">
        <v>81</v>
      </c>
      <c r="J2" s="421"/>
      <c r="K2" s="32"/>
    </row>
    <row r="3" spans="1:32" ht="12.95" customHeight="1" x14ac:dyDescent="0.2">
      <c r="D3" s="7"/>
      <c r="I3" s="419" t="s">
        <v>30</v>
      </c>
      <c r="J3" s="422">
        <f>+summary!H3</f>
        <v>2.61</v>
      </c>
      <c r="K3" s="443">
        <f ca="1">NOW()</f>
        <v>37116.674271759257</v>
      </c>
    </row>
    <row r="4" spans="1:32" ht="12.95" customHeight="1" x14ac:dyDescent="0.2">
      <c r="A4" s="34" t="s">
        <v>153</v>
      </c>
      <c r="C4" s="34" t="s">
        <v>5</v>
      </c>
      <c r="D4" s="7"/>
      <c r="I4" s="420" t="s">
        <v>31</v>
      </c>
      <c r="J4" s="422">
        <f>+summary!H4</f>
        <v>2.85</v>
      </c>
      <c r="K4" s="32"/>
    </row>
    <row r="5" spans="1:32" ht="12.95" customHeight="1" x14ac:dyDescent="0.2">
      <c r="D5" s="7"/>
      <c r="I5" s="419" t="s">
        <v>120</v>
      </c>
      <c r="J5" s="422">
        <f>+summary!H5</f>
        <v>2.97</v>
      </c>
      <c r="K5" s="32"/>
    </row>
    <row r="6" spans="1:32" ht="12" customHeight="1" x14ac:dyDescent="0.2"/>
    <row r="7" spans="1:32" ht="12.95" customHeight="1" x14ac:dyDescent="0.2">
      <c r="A7" s="441" t="s">
        <v>180</v>
      </c>
      <c r="B7" s="442"/>
      <c r="AD7" s="32"/>
      <c r="AE7" s="32"/>
      <c r="AF7" s="32"/>
    </row>
    <row r="8" spans="1:32" ht="15.95" customHeight="1" outlineLevel="2" x14ac:dyDescent="0.2">
      <c r="A8" s="32"/>
      <c r="B8" s="47"/>
      <c r="C8" s="439" t="s">
        <v>178</v>
      </c>
      <c r="D8" s="12" t="s">
        <v>157</v>
      </c>
      <c r="E8" s="12" t="s">
        <v>166</v>
      </c>
      <c r="F8" s="2" t="s">
        <v>156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400" t="s">
        <v>92</v>
      </c>
      <c r="B9" s="427" t="s">
        <v>164</v>
      </c>
      <c r="C9" s="440" t="s">
        <v>179</v>
      </c>
      <c r="D9" s="39" t="s">
        <v>0</v>
      </c>
      <c r="E9" s="39" t="s">
        <v>165</v>
      </c>
      <c r="F9" s="39" t="s">
        <v>154</v>
      </c>
      <c r="G9" s="425" t="s">
        <v>160</v>
      </c>
      <c r="H9" s="401" t="s">
        <v>104</v>
      </c>
      <c r="I9" s="400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32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400" t="s">
        <v>170</v>
      </c>
    </row>
    <row r="12" spans="1:32" ht="15.95" customHeight="1" outlineLevel="1" x14ac:dyDescent="0.2">
      <c r="A12" s="206" t="s">
        <v>132</v>
      </c>
      <c r="B12" s="376">
        <f>+Calpine!D41</f>
        <v>-5050.3900000000031</v>
      </c>
      <c r="C12" s="403">
        <f>+B12/$J$4</f>
        <v>-1772.0666666666677</v>
      </c>
      <c r="D12" s="14">
        <f>+Calpine!D47</f>
        <v>99451</v>
      </c>
      <c r="E12" s="70">
        <f>+C12-D12</f>
        <v>-101223.06666666667</v>
      </c>
      <c r="F12" s="398">
        <f>+Calpine!A41</f>
        <v>37115</v>
      </c>
      <c r="G12" s="205"/>
      <c r="H12" s="206" t="s">
        <v>102</v>
      </c>
      <c r="I12" s="382"/>
      <c r="J12" s="70"/>
      <c r="K12" s="32"/>
    </row>
    <row r="13" spans="1:32" ht="15.95" customHeight="1" outlineLevel="2" x14ac:dyDescent="0.2">
      <c r="A13" s="32" t="s">
        <v>145</v>
      </c>
      <c r="B13" s="376">
        <f>+'Citizens-Griffith'!D41</f>
        <v>-299819.02</v>
      </c>
      <c r="C13" s="402">
        <f>+B13/$J$4</f>
        <v>-105199.65614035088</v>
      </c>
      <c r="D13" s="14">
        <f>+'Citizens-Griffith'!D48</f>
        <v>-132269</v>
      </c>
      <c r="E13" s="70">
        <f>+C13-D13</f>
        <v>27069.343859649118</v>
      </c>
      <c r="F13" s="398">
        <f>+'Citizens-Griffith'!A41</f>
        <v>37115</v>
      </c>
      <c r="G13" s="32"/>
      <c r="H13" s="32" t="s">
        <v>102</v>
      </c>
      <c r="I13" s="32"/>
      <c r="J13" s="32"/>
      <c r="K13" s="32"/>
    </row>
    <row r="14" spans="1:32" ht="15.95" customHeight="1" outlineLevel="2" x14ac:dyDescent="0.2">
      <c r="A14" s="32" t="s">
        <v>138</v>
      </c>
      <c r="B14" s="376">
        <f>+'NS Steel'!D41</f>
        <v>-423610.54000000004</v>
      </c>
      <c r="C14" s="402">
        <f>+B14/$J$4</f>
        <v>-148635.27719298247</v>
      </c>
      <c r="D14" s="14">
        <f>+'NS Steel'!D50</f>
        <v>-78586</v>
      </c>
      <c r="E14" s="70">
        <f>+C14-D14</f>
        <v>-70049.277192982467</v>
      </c>
      <c r="F14" s="399">
        <f>+'NS Steel'!A41</f>
        <v>37115</v>
      </c>
      <c r="G14" s="205" t="s">
        <v>163</v>
      </c>
      <c r="H14" s="32" t="s">
        <v>103</v>
      </c>
      <c r="I14" s="382"/>
      <c r="J14" s="32"/>
      <c r="K14" s="32"/>
    </row>
    <row r="15" spans="1:32" ht="15.95" customHeight="1" outlineLevel="1" x14ac:dyDescent="0.2">
      <c r="A15" s="206" t="s">
        <v>140</v>
      </c>
      <c r="B15" s="379">
        <f>+Citizens!D18</f>
        <v>-826908.71000000008</v>
      </c>
      <c r="C15" s="404">
        <f>+B15/$J$4</f>
        <v>-290143.40701754385</v>
      </c>
      <c r="D15" s="380">
        <f>+Citizens!D24</f>
        <v>-177426</v>
      </c>
      <c r="E15" s="72">
        <f>+C15-D15</f>
        <v>-112717.40701754385</v>
      </c>
      <c r="F15" s="398">
        <f>+Citizens!A18</f>
        <v>37114</v>
      </c>
      <c r="G15" s="32"/>
      <c r="H15" s="206" t="s">
        <v>102</v>
      </c>
      <c r="I15" s="382"/>
      <c r="J15" s="32"/>
      <c r="K15" s="32"/>
      <c r="T15" s="267"/>
    </row>
    <row r="16" spans="1:32" ht="15.95" customHeight="1" outlineLevel="2" x14ac:dyDescent="0.2">
      <c r="A16" s="153" t="s">
        <v>171</v>
      </c>
      <c r="B16" s="423">
        <f>SUBTOTAL(9,B12:B15)</f>
        <v>-1555388.6600000001</v>
      </c>
      <c r="C16" s="434">
        <f>SUBTOTAL(9,C12:C15)</f>
        <v>-545750.40701754391</v>
      </c>
      <c r="D16" s="435">
        <f>SUBTOTAL(9,D12:D15)</f>
        <v>-288830</v>
      </c>
      <c r="E16" s="436">
        <f>SUBTOTAL(9,E12:E15)</f>
        <v>-256920.40701754385</v>
      </c>
      <c r="F16" s="398"/>
      <c r="G16" s="32"/>
      <c r="H16" s="206"/>
      <c r="I16" s="382"/>
      <c r="J16" s="32"/>
      <c r="K16" s="32"/>
      <c r="T16" s="267"/>
    </row>
    <row r="17" spans="1:20" ht="12.95" customHeight="1" outlineLevel="2" x14ac:dyDescent="0.2"/>
    <row r="18" spans="1:20" ht="15.95" customHeight="1" outlineLevel="2" x14ac:dyDescent="0.2">
      <c r="A18" s="438" t="s">
        <v>59</v>
      </c>
    </row>
    <row r="19" spans="1:20" ht="15.95" customHeight="1" outlineLevel="2" x14ac:dyDescent="0.2">
      <c r="A19" s="32" t="s">
        <v>74</v>
      </c>
      <c r="B19" s="377">
        <f>+transcol!$D$43</f>
        <v>2336.9000000000015</v>
      </c>
      <c r="C19" s="402">
        <f>+B19/$J$4</f>
        <v>819.96491228070226</v>
      </c>
      <c r="D19" s="14">
        <f>+transcol!D50</f>
        <v>-50235</v>
      </c>
      <c r="E19" s="70">
        <f>+C19-D19</f>
        <v>51054.964912280702</v>
      </c>
      <c r="F19" s="399">
        <f>+transcol!A43</f>
        <v>37114</v>
      </c>
      <c r="G19" s="205"/>
      <c r="H19" s="32" t="s">
        <v>118</v>
      </c>
      <c r="I19" s="32"/>
      <c r="J19" s="32"/>
      <c r="K19" s="32"/>
      <c r="T19" s="267"/>
    </row>
    <row r="20" spans="1:20" ht="15.95" customHeight="1" outlineLevel="2" x14ac:dyDescent="0.2">
      <c r="A20" s="206" t="s">
        <v>98</v>
      </c>
      <c r="B20" s="379">
        <f>+burlington!D42</f>
        <v>23583.75</v>
      </c>
      <c r="C20" s="406">
        <f>+B20/$J$3</f>
        <v>9035.9195402298847</v>
      </c>
      <c r="D20" s="380">
        <f>+C20</f>
        <v>9035.9195402298847</v>
      </c>
      <c r="E20" s="72">
        <f>+C20-D20</f>
        <v>0</v>
      </c>
      <c r="F20" s="398">
        <f>+burlington!A42</f>
        <v>37115</v>
      </c>
      <c r="G20" s="32"/>
      <c r="H20" s="32" t="s">
        <v>116</v>
      </c>
      <c r="I20" s="32" t="s">
        <v>151</v>
      </c>
      <c r="J20" s="32"/>
      <c r="K20" s="32"/>
    </row>
    <row r="21" spans="1:20" ht="15.95" customHeight="1" outlineLevel="2" x14ac:dyDescent="0.2">
      <c r="A21" s="153" t="s">
        <v>173</v>
      </c>
      <c r="B21" s="423">
        <f>SUBTOTAL(9,B19:B20)</f>
        <v>25920.65</v>
      </c>
      <c r="C21" s="424">
        <f>SUBTOTAL(9,C19:C20)</f>
        <v>9855.8844525105869</v>
      </c>
      <c r="D21" s="435">
        <f>SUBTOTAL(9,D19:D20)</f>
        <v>-41199.080459770114</v>
      </c>
      <c r="E21" s="436">
        <f>SUBTOTAL(9,E19:E20)</f>
        <v>51054.964912280702</v>
      </c>
      <c r="F21" s="398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400" t="s">
        <v>174</v>
      </c>
    </row>
    <row r="24" spans="1:20" ht="15.95" customHeight="1" outlineLevel="2" x14ac:dyDescent="0.2">
      <c r="A24" s="206" t="s">
        <v>90</v>
      </c>
      <c r="B24" s="376">
        <f>+NNG!$D$24</f>
        <v>602830.13</v>
      </c>
      <c r="C24" s="402">
        <f t="shared" ref="C24:C35" si="0">+B24/$J$4</f>
        <v>211519.34385964912</v>
      </c>
      <c r="D24" s="14">
        <f>+NNG!D34</f>
        <v>44524</v>
      </c>
      <c r="E24" s="70">
        <f t="shared" ref="E24:E37" si="1">+C24-D24</f>
        <v>166995.34385964912</v>
      </c>
      <c r="F24" s="398">
        <f>+NNG!A24</f>
        <v>37114</v>
      </c>
      <c r="G24" s="426" t="s">
        <v>161</v>
      </c>
      <c r="H24" s="206" t="s">
        <v>103</v>
      </c>
      <c r="I24" s="32"/>
      <c r="J24" s="32"/>
      <c r="K24" s="32"/>
    </row>
    <row r="25" spans="1:20" ht="15.95" customHeight="1" outlineLevel="2" x14ac:dyDescent="0.2">
      <c r="A25" s="32" t="s">
        <v>83</v>
      </c>
      <c r="B25" s="376">
        <f>+Conoco!$F$41</f>
        <v>653427.56999999995</v>
      </c>
      <c r="C25" s="402">
        <f t="shared" si="0"/>
        <v>229272.83157894734</v>
      </c>
      <c r="D25" s="14">
        <f>+Conoco!D48</f>
        <v>109429</v>
      </c>
      <c r="E25" s="70">
        <f t="shared" si="1"/>
        <v>119843.83157894734</v>
      </c>
      <c r="F25" s="398">
        <f>+Conoco!A41</f>
        <v>37115</v>
      </c>
      <c r="G25" s="205"/>
      <c r="H25" s="32" t="s">
        <v>116</v>
      </c>
      <c r="I25" s="32" t="s">
        <v>150</v>
      </c>
      <c r="J25" s="32"/>
      <c r="K25" s="32"/>
    </row>
    <row r="26" spans="1:20" ht="15.95" customHeight="1" outlineLevel="2" x14ac:dyDescent="0.2">
      <c r="A26" s="32" t="s">
        <v>3</v>
      </c>
      <c r="B26" s="376">
        <f>+'Amoco Abo'!$F$43</f>
        <v>435880.87</v>
      </c>
      <c r="C26" s="402">
        <f t="shared" si="0"/>
        <v>152940.65614035088</v>
      </c>
      <c r="D26" s="14">
        <f>+'Amoco Abo'!D49</f>
        <v>-237987</v>
      </c>
      <c r="E26" s="70">
        <f t="shared" si="1"/>
        <v>390927.65614035085</v>
      </c>
      <c r="F26" s="399">
        <f>+'Amoco Abo'!A43</f>
        <v>37114</v>
      </c>
      <c r="G26" s="205"/>
      <c r="H26" s="32" t="s">
        <v>118</v>
      </c>
      <c r="I26" s="32"/>
      <c r="J26" s="32"/>
      <c r="K26" s="32"/>
    </row>
    <row r="27" spans="1:20" ht="15.95" customHeight="1" outlineLevel="2" x14ac:dyDescent="0.2">
      <c r="A27" s="32" t="s">
        <v>110</v>
      </c>
      <c r="B27" s="376">
        <f>+KN_Westar!F41</f>
        <v>465188.81</v>
      </c>
      <c r="C27" s="402">
        <f t="shared" si="0"/>
        <v>163224.14385964911</v>
      </c>
      <c r="D27" s="14">
        <f>+KN_Westar!D48</f>
        <v>27421</v>
      </c>
      <c r="E27" s="70">
        <f t="shared" si="1"/>
        <v>135803.14385964911</v>
      </c>
      <c r="F27" s="399">
        <f>+KN_Westar!A41</f>
        <v>37115</v>
      </c>
      <c r="G27" s="205"/>
      <c r="H27" s="32" t="s">
        <v>103</v>
      </c>
      <c r="I27" s="32"/>
      <c r="J27" s="32"/>
      <c r="K27" s="32"/>
    </row>
    <row r="28" spans="1:20" ht="15.95" customHeight="1" outlineLevel="2" x14ac:dyDescent="0.2">
      <c r="A28" s="32" t="s">
        <v>131</v>
      </c>
      <c r="B28" s="376">
        <f>+DEFS!F54</f>
        <v>379904.93000000017</v>
      </c>
      <c r="C28" s="403">
        <f t="shared" si="0"/>
        <v>133299.97543859654</v>
      </c>
      <c r="D28" s="14">
        <f>+Duke!I53+DEFS!K44</f>
        <v>-50045</v>
      </c>
      <c r="E28" s="70">
        <f t="shared" si="1"/>
        <v>183344.97543859654</v>
      </c>
      <c r="F28" s="399">
        <f>+DEFS!A40</f>
        <v>37114</v>
      </c>
      <c r="G28" s="205"/>
      <c r="H28" s="32" t="s">
        <v>103</v>
      </c>
      <c r="I28" s="32" t="s">
        <v>121</v>
      </c>
      <c r="J28" s="32"/>
      <c r="K28" s="32"/>
    </row>
    <row r="29" spans="1:20" ht="15.95" customHeight="1" outlineLevel="2" x14ac:dyDescent="0.2">
      <c r="A29" s="32" t="s">
        <v>113</v>
      </c>
      <c r="B29" s="376">
        <f>+CIG!D43</f>
        <v>422666.05</v>
      </c>
      <c r="C29" s="402">
        <f t="shared" si="0"/>
        <v>148303.87719298244</v>
      </c>
      <c r="D29" s="14">
        <f>+CIG!D49</f>
        <v>39942</v>
      </c>
      <c r="E29" s="70">
        <f t="shared" si="1"/>
        <v>108361.87719298244</v>
      </c>
      <c r="F29" s="399">
        <f>+CIG!A43</f>
        <v>37115</v>
      </c>
      <c r="G29" s="205"/>
      <c r="H29" s="32" t="s">
        <v>116</v>
      </c>
      <c r="I29" s="32"/>
      <c r="J29" s="32"/>
      <c r="K29" s="32"/>
    </row>
    <row r="30" spans="1:20" ht="18" customHeight="1" outlineLevel="1" x14ac:dyDescent="0.2">
      <c r="A30" s="32" t="s">
        <v>2</v>
      </c>
      <c r="B30" s="376">
        <f>+mewborne!$J$43</f>
        <v>334244.33</v>
      </c>
      <c r="C30" s="402">
        <f t="shared" si="0"/>
        <v>117278.71228070176</v>
      </c>
      <c r="D30" s="14">
        <f>+mewborne!D49</f>
        <v>132862</v>
      </c>
      <c r="E30" s="70">
        <f t="shared" si="1"/>
        <v>-15583.287719298241</v>
      </c>
      <c r="F30" s="399">
        <f>+mewborne!A43</f>
        <v>37114</v>
      </c>
      <c r="G30" s="205"/>
      <c r="H30" s="32" t="s">
        <v>102</v>
      </c>
      <c r="I30" s="32"/>
      <c r="J30" s="32"/>
      <c r="K30" s="32"/>
    </row>
    <row r="31" spans="1:20" ht="18" customHeight="1" x14ac:dyDescent="0.2">
      <c r="A31" s="32" t="s">
        <v>155</v>
      </c>
      <c r="B31" s="376">
        <f>+PGETX!$H$39</f>
        <v>475894.77</v>
      </c>
      <c r="C31" s="402">
        <f t="shared" si="0"/>
        <v>166980.62105263158</v>
      </c>
      <c r="D31" s="14">
        <f>+PGETX!E48</f>
        <v>116520</v>
      </c>
      <c r="E31" s="70">
        <f t="shared" si="1"/>
        <v>50460.621052631584</v>
      </c>
      <c r="F31" s="399">
        <f>+PGETX!E39</f>
        <v>37114</v>
      </c>
      <c r="G31" s="205" t="s">
        <v>161</v>
      </c>
      <c r="H31" s="32" t="s">
        <v>105</v>
      </c>
      <c r="I31" s="32"/>
      <c r="J31" s="32"/>
      <c r="K31" s="32"/>
    </row>
    <row r="32" spans="1:20" ht="17.100000000000001" customHeight="1" x14ac:dyDescent="0.2">
      <c r="A32" s="32" t="s">
        <v>85</v>
      </c>
      <c r="B32" s="376">
        <f>+PNM!$D$23</f>
        <v>179471.61999999997</v>
      </c>
      <c r="C32" s="402">
        <f t="shared" si="0"/>
        <v>62972.498245614021</v>
      </c>
      <c r="D32" s="14">
        <f>+PNM!D30</f>
        <v>26459</v>
      </c>
      <c r="E32" s="70">
        <f t="shared" si="1"/>
        <v>36513.498245614021</v>
      </c>
      <c r="F32" s="399">
        <f>+PNM!A23</f>
        <v>37114</v>
      </c>
      <c r="G32" s="205"/>
      <c r="H32" s="32" t="s">
        <v>118</v>
      </c>
      <c r="I32" s="32"/>
      <c r="J32" s="32"/>
      <c r="K32" s="32"/>
    </row>
    <row r="33" spans="1:12" ht="17.100000000000001" customHeight="1" x14ac:dyDescent="0.2">
      <c r="A33" s="32" t="s">
        <v>106</v>
      </c>
      <c r="B33" s="376">
        <f>+EOG!J41</f>
        <v>160747.45000000001</v>
      </c>
      <c r="C33" s="402">
        <f t="shared" si="0"/>
        <v>56402.614035087725</v>
      </c>
      <c r="D33" s="14">
        <f>+EOG!D48</f>
        <v>-56285</v>
      </c>
      <c r="E33" s="70">
        <f t="shared" si="1"/>
        <v>112687.61403508772</v>
      </c>
      <c r="F33" s="398">
        <f>+EOG!A41</f>
        <v>37115</v>
      </c>
      <c r="G33" s="205" t="s">
        <v>162</v>
      </c>
      <c r="H33" s="32" t="s">
        <v>105</v>
      </c>
      <c r="I33" s="32"/>
      <c r="J33" s="32"/>
      <c r="K33" s="32"/>
    </row>
    <row r="34" spans="1:12" ht="17.100000000000001" customHeight="1" x14ac:dyDescent="0.2">
      <c r="A34" s="32" t="s">
        <v>136</v>
      </c>
      <c r="B34" s="376">
        <f>+SidR!D41</f>
        <v>159587.32999999999</v>
      </c>
      <c r="C34" s="402">
        <f t="shared" si="0"/>
        <v>55995.554385964904</v>
      </c>
      <c r="D34" s="14">
        <f>+C34</f>
        <v>55995.554385964904</v>
      </c>
      <c r="E34" s="70">
        <f t="shared" si="1"/>
        <v>0</v>
      </c>
      <c r="F34" s="399">
        <f>+SidR!A41</f>
        <v>37115</v>
      </c>
      <c r="G34" s="205" t="s">
        <v>161</v>
      </c>
      <c r="H34" s="32" t="s">
        <v>105</v>
      </c>
      <c r="I34" s="32" t="s">
        <v>169</v>
      </c>
      <c r="J34" s="32"/>
      <c r="K34" s="32"/>
    </row>
    <row r="35" spans="1:12" ht="17.100000000000001" customHeight="1" x14ac:dyDescent="0.2">
      <c r="A35" s="32" t="s">
        <v>112</v>
      </c>
      <c r="B35" s="376">
        <f>+Continental!F43</f>
        <v>-5216.57</v>
      </c>
      <c r="C35" s="403">
        <f t="shared" si="0"/>
        <v>-1830.375438596491</v>
      </c>
      <c r="D35" s="14">
        <f>+Continental!D50</f>
        <v>-17302</v>
      </c>
      <c r="E35" s="70">
        <f t="shared" si="1"/>
        <v>15471.624561403509</v>
      </c>
      <c r="F35" s="399">
        <f>+Continental!A43</f>
        <v>37109</v>
      </c>
      <c r="G35" s="205"/>
      <c r="H35" s="32" t="s">
        <v>118</v>
      </c>
      <c r="I35" s="32"/>
      <c r="J35" s="32"/>
      <c r="K35" s="32"/>
    </row>
    <row r="36" spans="1:12" ht="17.100000000000001" customHeight="1" x14ac:dyDescent="0.2">
      <c r="A36" s="32" t="s">
        <v>134</v>
      </c>
      <c r="B36" s="376">
        <f>+EPFS!D41</f>
        <v>-78101.179999999993</v>
      </c>
      <c r="C36" s="403">
        <f>+B36/$J$5</f>
        <v>-26296.693602693598</v>
      </c>
      <c r="D36" s="14">
        <f>+EPFS!D47</f>
        <v>-15263</v>
      </c>
      <c r="E36" s="70">
        <f t="shared" si="1"/>
        <v>-11033.693602693598</v>
      </c>
      <c r="F36" s="398">
        <f>+EPFS!A41</f>
        <v>37115</v>
      </c>
      <c r="G36" s="32"/>
      <c r="H36" s="32" t="s">
        <v>105</v>
      </c>
      <c r="I36" s="32"/>
      <c r="J36" s="32"/>
      <c r="K36" s="32"/>
    </row>
    <row r="37" spans="1:12" ht="17.100000000000001" customHeight="1" x14ac:dyDescent="0.2">
      <c r="A37" s="206" t="s">
        <v>82</v>
      </c>
      <c r="B37" s="379">
        <f>+Agave!$D$24</f>
        <v>-172726.2</v>
      </c>
      <c r="C37" s="404">
        <f>+B37/$J$4</f>
        <v>-60605.68421052632</v>
      </c>
      <c r="D37" s="380">
        <f>+Agave!D31</f>
        <v>-96111</v>
      </c>
      <c r="E37" s="72">
        <f t="shared" si="1"/>
        <v>35505.31578947368</v>
      </c>
      <c r="F37" s="398">
        <f>+Agave!A24</f>
        <v>37114</v>
      </c>
      <c r="G37" s="32"/>
      <c r="H37" s="206" t="s">
        <v>105</v>
      </c>
      <c r="I37" s="32"/>
      <c r="J37" s="32"/>
      <c r="K37" s="32"/>
    </row>
    <row r="38" spans="1:12" ht="17.100000000000001" customHeight="1" x14ac:dyDescent="0.2">
      <c r="A38" s="153" t="s">
        <v>176</v>
      </c>
      <c r="B38" s="423">
        <f>SUBTOTAL(9,B24:B37)</f>
        <v>4013799.9099999997</v>
      </c>
      <c r="C38" s="434">
        <f>SUBTOTAL(9,C24:C37)</f>
        <v>1409458.0748183592</v>
      </c>
      <c r="D38" s="435">
        <f>SUBTOTAL(9,D24:D37)</f>
        <v>80159.554385964904</v>
      </c>
      <c r="E38" s="436">
        <f>SUBTOTAL(9,E24:E37)</f>
        <v>1329298.5204323942</v>
      </c>
      <c r="F38" s="398"/>
      <c r="G38" s="206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177</v>
      </c>
      <c r="B40" s="423">
        <f>SUBTOTAL(9,B12:B37)</f>
        <v>2484331.9000000004</v>
      </c>
      <c r="C40" s="434">
        <f>SUBTOTAL(9,C12:C37)</f>
        <v>873563.55225332559</v>
      </c>
      <c r="D40" s="435">
        <f>SUBTOTAL(9,D12:D37)</f>
        <v>-249869.5260738052</v>
      </c>
      <c r="E40" s="436">
        <f>SUBTOTAL(9,E12:E37)</f>
        <v>1123433.078327131</v>
      </c>
      <c r="F40" s="398"/>
      <c r="G40" s="206"/>
      <c r="H40" s="32"/>
      <c r="I40" s="206"/>
      <c r="J40" s="32"/>
      <c r="K40" s="32"/>
      <c r="L40" s="32"/>
    </row>
    <row r="41" spans="1:12" ht="17.100000000000001" customHeight="1" x14ac:dyDescent="0.2">
      <c r="A41" s="375"/>
      <c r="B41" s="376"/>
      <c r="C41" s="403"/>
      <c r="D41" s="208"/>
      <c r="E41" s="283"/>
      <c r="F41" s="398"/>
      <c r="G41" s="206"/>
      <c r="H41" s="32"/>
      <c r="I41" s="206"/>
      <c r="J41" s="32"/>
      <c r="K41" s="32"/>
      <c r="L41" s="32"/>
    </row>
    <row r="42" spans="1:12" ht="14.1" customHeight="1" x14ac:dyDescent="0.2">
      <c r="A42" s="431"/>
      <c r="B42" s="432"/>
      <c r="C42" s="433"/>
      <c r="D42" s="304"/>
      <c r="E42" s="304"/>
      <c r="F42" s="304"/>
    </row>
    <row r="43" spans="1:12" ht="12.95" customHeight="1" x14ac:dyDescent="0.2">
      <c r="A43" s="206"/>
      <c r="B43" s="376"/>
      <c r="C43" s="402"/>
      <c r="D43" s="402"/>
      <c r="E43" s="402"/>
      <c r="F43" s="383"/>
      <c r="G43" s="32"/>
      <c r="I43" s="32"/>
      <c r="J43" s="32"/>
      <c r="K43" s="32"/>
      <c r="L43" s="32"/>
    </row>
    <row r="44" spans="1:12" ht="14.1" customHeight="1" x14ac:dyDescent="0.2"/>
    <row r="45" spans="1:12" ht="12.95" customHeight="1" x14ac:dyDescent="0.2"/>
    <row r="46" spans="1:12" ht="13.5" customHeight="1" x14ac:dyDescent="0.2"/>
    <row r="47" spans="1:12" ht="13.5" customHeight="1" outlineLevel="2" x14ac:dyDescent="0.2">
      <c r="A47" s="34" t="s">
        <v>146</v>
      </c>
      <c r="D47" s="7"/>
      <c r="I47" s="418" t="s">
        <v>81</v>
      </c>
      <c r="J47" s="421"/>
      <c r="K47" s="32"/>
    </row>
    <row r="48" spans="1:12" ht="13.5" customHeight="1" outlineLevel="2" x14ac:dyDescent="0.2">
      <c r="D48" s="7"/>
      <c r="I48" s="419" t="s">
        <v>30</v>
      </c>
      <c r="J48" s="422">
        <f>+J3</f>
        <v>2.61</v>
      </c>
      <c r="K48" s="443">
        <f ca="1">NOW()</f>
        <v>37116.674271759257</v>
      </c>
    </row>
    <row r="49" spans="1:19" ht="13.5" customHeight="1" outlineLevel="2" x14ac:dyDescent="0.2">
      <c r="A49" s="34" t="s">
        <v>153</v>
      </c>
      <c r="C49" s="34" t="s">
        <v>5</v>
      </c>
      <c r="D49" s="7"/>
      <c r="I49" s="420" t="s">
        <v>31</v>
      </c>
      <c r="J49" s="422">
        <f>+J4</f>
        <v>2.85</v>
      </c>
      <c r="K49" s="32"/>
    </row>
    <row r="50" spans="1:19" ht="13.5" customHeight="1" outlineLevel="1" x14ac:dyDescent="0.2">
      <c r="D50" s="7"/>
      <c r="I50" s="419" t="s">
        <v>120</v>
      </c>
      <c r="J50" s="422">
        <f>+J5</f>
        <v>2.97</v>
      </c>
      <c r="K50" s="32"/>
    </row>
    <row r="51" spans="1:19" ht="13.5" customHeight="1" outlineLevel="2" x14ac:dyDescent="0.2"/>
    <row r="52" spans="1:19" ht="13.5" customHeight="1" outlineLevel="2" x14ac:dyDescent="0.2">
      <c r="A52" s="441" t="s">
        <v>181</v>
      </c>
      <c r="B52" s="442"/>
    </row>
    <row r="53" spans="1:19" ht="13.5" customHeight="1" outlineLevel="2" x14ac:dyDescent="0.2">
      <c r="A53" s="32"/>
      <c r="C53" s="444" t="s">
        <v>167</v>
      </c>
      <c r="D53" s="12" t="s">
        <v>184</v>
      </c>
      <c r="E53" s="12" t="s">
        <v>186</v>
      </c>
      <c r="F53" s="2" t="s">
        <v>156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</row>
    <row r="54" spans="1:19" ht="13.5" customHeight="1" outlineLevel="2" x14ac:dyDescent="0.2">
      <c r="A54" s="400" t="s">
        <v>92</v>
      </c>
      <c r="B54" s="440" t="s">
        <v>0</v>
      </c>
      <c r="C54" s="413" t="s">
        <v>183</v>
      </c>
      <c r="D54" s="39" t="s">
        <v>185</v>
      </c>
      <c r="E54" s="39" t="s">
        <v>187</v>
      </c>
      <c r="F54" s="39" t="s">
        <v>154</v>
      </c>
      <c r="G54" s="425" t="s">
        <v>160</v>
      </c>
      <c r="H54" s="401" t="s">
        <v>104</v>
      </c>
      <c r="I54" s="400" t="s">
        <v>101</v>
      </c>
      <c r="J54" s="32"/>
      <c r="K54" s="32"/>
      <c r="L54" s="32"/>
      <c r="N54" s="32"/>
      <c r="O54" s="32"/>
      <c r="P54" s="32"/>
      <c r="Q54" s="32"/>
      <c r="R54" s="32"/>
      <c r="S54" s="32"/>
    </row>
    <row r="55" spans="1:19" ht="13.5" customHeight="1" outlineLevel="2" x14ac:dyDescent="0.2">
      <c r="B55" s="296"/>
      <c r="C55" s="252"/>
    </row>
    <row r="56" spans="1:19" ht="13.5" customHeight="1" outlineLevel="1" x14ac:dyDescent="0.2">
      <c r="A56" s="400" t="s">
        <v>170</v>
      </c>
      <c r="B56" s="296"/>
      <c r="C56" s="252"/>
    </row>
    <row r="57" spans="1:19" ht="13.5" customHeight="1" outlineLevel="2" x14ac:dyDescent="0.2">
      <c r="A57" s="32" t="s">
        <v>97</v>
      </c>
      <c r="B57" s="402">
        <f>+Mojave!D40</f>
        <v>142787</v>
      </c>
      <c r="C57" s="376">
        <f>+B57*$J$4</f>
        <v>406942.95</v>
      </c>
      <c r="D57" s="47">
        <f>+Mojave!D47</f>
        <v>102044.4</v>
      </c>
      <c r="E57" s="47">
        <f>+C57-D57</f>
        <v>304898.55000000005</v>
      </c>
      <c r="F57" s="399">
        <f>+Mojave!A40</f>
        <v>37114</v>
      </c>
      <c r="H57" s="32" t="s">
        <v>103</v>
      </c>
      <c r="I57" s="32" t="s">
        <v>190</v>
      </c>
      <c r="J57" s="32"/>
      <c r="K57" s="32"/>
    </row>
    <row r="58" spans="1:19" ht="15" customHeight="1" outlineLevel="2" x14ac:dyDescent="0.2">
      <c r="A58" s="32" t="s">
        <v>33</v>
      </c>
      <c r="B58" s="403">
        <f>+SoCal!F40</f>
        <v>127715</v>
      </c>
      <c r="C58" s="376">
        <f>+B58*$J$4</f>
        <v>363987.75</v>
      </c>
      <c r="D58" s="47">
        <f>+SoCal!D47</f>
        <v>398860.95</v>
      </c>
      <c r="E58" s="47">
        <f>+C58-D58</f>
        <v>-34873.200000000012</v>
      </c>
      <c r="F58" s="399">
        <f>+SoCal!A40</f>
        <v>37115</v>
      </c>
      <c r="H58" s="32" t="s">
        <v>105</v>
      </c>
      <c r="I58" s="32"/>
      <c r="J58" s="32"/>
      <c r="K58" s="32"/>
    </row>
    <row r="59" spans="1:19" ht="15" customHeight="1" outlineLevel="1" x14ac:dyDescent="0.2">
      <c r="A59" s="32" t="s">
        <v>117</v>
      </c>
      <c r="B59" s="404">
        <f>+'PG&amp;E'!D40</f>
        <v>24775</v>
      </c>
      <c r="C59" s="379">
        <f>+B59*$J$4</f>
        <v>70608.75</v>
      </c>
      <c r="D59" s="379">
        <f>+'PG&amp;E'!D47</f>
        <v>-156439.63</v>
      </c>
      <c r="E59" s="379">
        <f>+C59-D59</f>
        <v>227048.38</v>
      </c>
      <c r="F59" s="399">
        <f>+'PG&amp;E'!A40</f>
        <v>37115</v>
      </c>
      <c r="H59" s="32" t="s">
        <v>105</v>
      </c>
      <c r="I59" s="32"/>
      <c r="J59" s="32"/>
      <c r="K59" s="32"/>
    </row>
    <row r="60" spans="1:19" ht="15" customHeight="1" x14ac:dyDescent="0.2">
      <c r="A60" s="2" t="s">
        <v>171</v>
      </c>
      <c r="B60" s="434">
        <f>SUBTOTAL(9,B57:B59)</f>
        <v>295277</v>
      </c>
      <c r="C60" s="423">
        <f>SUBTOTAL(9,C57:C59)</f>
        <v>841539.45</v>
      </c>
      <c r="D60" s="423">
        <f>SUBTOTAL(9,D57:D59)</f>
        <v>344465.72</v>
      </c>
      <c r="E60" s="423">
        <f>SUBTOTAL(9,E57:E59)</f>
        <v>497073.73000000004</v>
      </c>
      <c r="F60" s="399"/>
      <c r="H60" s="32"/>
      <c r="I60" s="32"/>
      <c r="J60" s="32"/>
      <c r="K60" s="32"/>
    </row>
    <row r="61" spans="1:19" ht="12.95" customHeight="1" x14ac:dyDescent="0.2">
      <c r="B61" s="296"/>
      <c r="C61" s="252"/>
    </row>
    <row r="62" spans="1:19" ht="15" customHeight="1" x14ac:dyDescent="0.2">
      <c r="A62" s="400" t="s">
        <v>59</v>
      </c>
      <c r="B62" s="296"/>
      <c r="C62" s="252"/>
    </row>
    <row r="63" spans="1:19" x14ac:dyDescent="0.2">
      <c r="A63" s="206" t="s">
        <v>29</v>
      </c>
      <c r="B63" s="402">
        <f>+williams!J40</f>
        <v>303310</v>
      </c>
      <c r="C63" s="376">
        <f>+B63*$J$3</f>
        <v>791639.1</v>
      </c>
      <c r="D63" s="47">
        <f>+williams!D48</f>
        <v>1361109.1900000002</v>
      </c>
      <c r="E63" s="47">
        <f>+C63-D63</f>
        <v>-569470.0900000002</v>
      </c>
      <c r="F63" s="398">
        <f>+williams!A40</f>
        <v>37115</v>
      </c>
      <c r="H63" s="206" t="s">
        <v>152</v>
      </c>
      <c r="I63" s="32" t="s">
        <v>193</v>
      </c>
      <c r="J63" s="32"/>
      <c r="K63" s="32"/>
    </row>
    <row r="64" spans="1:19" x14ac:dyDescent="0.2">
      <c r="A64" s="32" t="s">
        <v>24</v>
      </c>
      <c r="B64" s="402">
        <f>+'Red C'!F43</f>
        <v>137614</v>
      </c>
      <c r="C64" s="377">
        <f>+B64*J3</f>
        <v>359172.54</v>
      </c>
      <c r="D64" s="202">
        <f>+'Red C'!D52</f>
        <v>664986.89</v>
      </c>
      <c r="E64" s="47">
        <f>+C64-D64</f>
        <v>-305814.35000000003</v>
      </c>
      <c r="F64" s="398">
        <f>+'Red C'!B43</f>
        <v>37115</v>
      </c>
      <c r="G64" s="205" t="s">
        <v>162</v>
      </c>
      <c r="H64" s="32" t="s">
        <v>118</v>
      </c>
      <c r="I64" s="32" t="s">
        <v>191</v>
      </c>
      <c r="J64" s="32"/>
      <c r="K64" s="32"/>
    </row>
    <row r="65" spans="1:12" x14ac:dyDescent="0.2">
      <c r="A65" s="32" t="s">
        <v>6</v>
      </c>
      <c r="B65" s="402">
        <f>+Amoco!D40</f>
        <v>84475</v>
      </c>
      <c r="C65" s="376">
        <f>+B65*$J$3</f>
        <v>220479.75</v>
      </c>
      <c r="D65" s="47">
        <f>+Amoco!D47</f>
        <v>488986.65</v>
      </c>
      <c r="E65" s="47">
        <f>+C65-D65</f>
        <v>-268506.90000000002</v>
      </c>
      <c r="F65" s="399">
        <f>+Amoco!A40</f>
        <v>37115</v>
      </c>
      <c r="H65" s="32" t="s">
        <v>118</v>
      </c>
      <c r="I65" s="32" t="s">
        <v>192</v>
      </c>
      <c r="J65" s="32"/>
      <c r="K65" s="32"/>
    </row>
    <row r="66" spans="1:12" x14ac:dyDescent="0.2">
      <c r="A66" s="32" t="s">
        <v>34</v>
      </c>
      <c r="B66" s="402">
        <f>+'El Paso'!H39</f>
        <v>57945</v>
      </c>
      <c r="C66" s="376">
        <f>+'El Paso'!E39*summary!H3+'El Paso'!C39*summary!H4</f>
        <v>166661.01</v>
      </c>
      <c r="D66" s="47">
        <f>+'El Paso'!F46</f>
        <v>-484755.57999999984</v>
      </c>
      <c r="E66" s="47">
        <f>+C66-D66</f>
        <v>651416.58999999985</v>
      </c>
      <c r="F66" s="399">
        <f>+'El Paso'!A39</f>
        <v>37115</v>
      </c>
      <c r="G66" s="252"/>
      <c r="H66" s="32" t="s">
        <v>103</v>
      </c>
      <c r="I66" s="32" t="s">
        <v>194</v>
      </c>
      <c r="J66" s="32"/>
      <c r="K66" s="32"/>
    </row>
    <row r="67" spans="1:12" x14ac:dyDescent="0.2">
      <c r="A67" s="32" t="s">
        <v>1</v>
      </c>
      <c r="B67" s="404">
        <f>+NW!$F$41</f>
        <v>7606</v>
      </c>
      <c r="C67" s="379">
        <f>+B67*$J$3</f>
        <v>19851.66</v>
      </c>
      <c r="D67" s="379">
        <f>+NW!E49</f>
        <v>-481256.88</v>
      </c>
      <c r="E67" s="379">
        <f>+C67-D67</f>
        <v>501108.54</v>
      </c>
      <c r="F67" s="398">
        <f>+NW!B41</f>
        <v>37115</v>
      </c>
      <c r="H67" s="32" t="s">
        <v>118</v>
      </c>
      <c r="I67" s="32"/>
      <c r="J67" s="32"/>
      <c r="K67" s="32"/>
    </row>
    <row r="68" spans="1:12" x14ac:dyDescent="0.2">
      <c r="A68" s="32" t="s">
        <v>172</v>
      </c>
      <c r="B68" s="434">
        <f>SUBTOTAL(9,B63:B67)</f>
        <v>590950</v>
      </c>
      <c r="C68" s="423">
        <f>SUBTOTAL(9,C63:C67)</f>
        <v>1557804.0599999998</v>
      </c>
      <c r="D68" s="423">
        <f>SUBTOTAL(9,D63:D67)</f>
        <v>1549070.27</v>
      </c>
      <c r="E68" s="423">
        <f>SUBTOTAL(9,E63:E67)</f>
        <v>8733.7899999995134</v>
      </c>
      <c r="F68" s="398"/>
      <c r="H68" s="32"/>
      <c r="I68" s="32"/>
      <c r="J68" s="32"/>
      <c r="K68" s="32"/>
    </row>
    <row r="69" spans="1:12" x14ac:dyDescent="0.2">
      <c r="B69" s="296"/>
      <c r="C69" s="252"/>
    </row>
    <row r="70" spans="1:12" x14ac:dyDescent="0.2">
      <c r="A70" s="400" t="s">
        <v>174</v>
      </c>
      <c r="B70" s="296"/>
      <c r="C70" s="252"/>
    </row>
    <row r="71" spans="1:12" x14ac:dyDescent="0.2">
      <c r="A71" s="32" t="s">
        <v>91</v>
      </c>
      <c r="B71" s="402">
        <f>+NGPL!F38</f>
        <v>162588</v>
      </c>
      <c r="C71" s="376">
        <f>+B71*$J$4</f>
        <v>463375.8</v>
      </c>
      <c r="D71" s="47">
        <f>+NGPL!D45</f>
        <v>420082.98</v>
      </c>
      <c r="E71" s="47">
        <f>+C71-D71</f>
        <v>43292.820000000007</v>
      </c>
      <c r="F71" s="399">
        <f>+NGPL!A38</f>
        <v>37115</v>
      </c>
      <c r="H71" s="32" t="s">
        <v>118</v>
      </c>
      <c r="I71" s="32"/>
      <c r="J71" s="32"/>
      <c r="K71" s="32"/>
    </row>
    <row r="72" spans="1:12" x14ac:dyDescent="0.2">
      <c r="A72" s="32" t="s">
        <v>149</v>
      </c>
      <c r="B72" s="402">
        <f>+PEPL!D41</f>
        <v>64485</v>
      </c>
      <c r="C72" s="377">
        <f>+B72*$J$4</f>
        <v>183782.25</v>
      </c>
      <c r="D72" s="47">
        <f>+PEPL!D47</f>
        <v>307476.3</v>
      </c>
      <c r="E72" s="47">
        <f>+C72-D72</f>
        <v>-123694.04999999999</v>
      </c>
      <c r="F72" s="399">
        <f>+PEPL!A41</f>
        <v>37115</v>
      </c>
      <c r="H72" s="32" t="s">
        <v>103</v>
      </c>
      <c r="I72" s="32" t="s">
        <v>148</v>
      </c>
      <c r="J72" s="32"/>
      <c r="K72" s="32"/>
    </row>
    <row r="73" spans="1:12" x14ac:dyDescent="0.2">
      <c r="A73" s="32" t="s">
        <v>7</v>
      </c>
      <c r="B73" s="403">
        <f>+Oasis!D40</f>
        <v>38284</v>
      </c>
      <c r="C73" s="376">
        <f>+B73*$J$4</f>
        <v>109109.40000000001</v>
      </c>
      <c r="D73" s="47">
        <f>+Oasis!D47</f>
        <v>-278131.09999999998</v>
      </c>
      <c r="E73" s="47">
        <f>+C73-D73</f>
        <v>387240.5</v>
      </c>
      <c r="F73" s="399">
        <f>+Oasis!B40</f>
        <v>37115</v>
      </c>
      <c r="H73" s="32" t="s">
        <v>105</v>
      </c>
      <c r="I73" s="32"/>
      <c r="J73" s="32"/>
      <c r="K73" s="32"/>
    </row>
    <row r="74" spans="1:12" x14ac:dyDescent="0.2">
      <c r="A74" s="32" t="s">
        <v>32</v>
      </c>
      <c r="B74" s="406">
        <f>+Lonestar!F42</f>
        <v>51506</v>
      </c>
      <c r="C74" s="379">
        <f>+B74*$J$4</f>
        <v>146792.1</v>
      </c>
      <c r="D74" s="379">
        <f>+Lonestar!D49</f>
        <v>13257.540000000005</v>
      </c>
      <c r="E74" s="379">
        <f>+C74-D74</f>
        <v>133534.56</v>
      </c>
      <c r="F74" s="398">
        <f>+Lonestar!B42</f>
        <v>37115</v>
      </c>
      <c r="H74" s="32" t="s">
        <v>105</v>
      </c>
      <c r="I74" s="32"/>
      <c r="J74" s="32"/>
      <c r="K74" s="32"/>
    </row>
    <row r="75" spans="1:12" x14ac:dyDescent="0.2">
      <c r="A75" s="2" t="s">
        <v>175</v>
      </c>
      <c r="B75" s="424">
        <f>SUBTOTAL(9,B71:B74)</f>
        <v>316863</v>
      </c>
      <c r="C75" s="423">
        <f>SUBTOTAL(9,C71:C74)</f>
        <v>903059.55</v>
      </c>
      <c r="D75" s="423">
        <f>SUBTOTAL(9,D71:D74)</f>
        <v>462685.72000000003</v>
      </c>
      <c r="E75" s="423">
        <f>SUBTOTAL(9,E71:E74)</f>
        <v>440373.83</v>
      </c>
      <c r="F75" s="398"/>
      <c r="H75" s="32"/>
      <c r="I75" s="32"/>
      <c r="J75" s="32"/>
      <c r="K75" s="32"/>
    </row>
    <row r="76" spans="1:12" x14ac:dyDescent="0.2">
      <c r="B76" s="296"/>
      <c r="C76" s="252"/>
    </row>
    <row r="77" spans="1:12" x14ac:dyDescent="0.2">
      <c r="A77" s="2" t="s">
        <v>182</v>
      </c>
      <c r="B77" s="424">
        <f>SUBTOTAL(9,B57:B74)</f>
        <v>1203090</v>
      </c>
      <c r="C77" s="423">
        <f>SUBTOTAL(9,C57:C74)</f>
        <v>3302403.0599999996</v>
      </c>
      <c r="D77" s="423">
        <f>SUBTOTAL(9,D57:D74)</f>
        <v>2356221.71</v>
      </c>
      <c r="E77" s="423">
        <f>SUBTOTAL(9,E57:E74)</f>
        <v>946181.34999999963</v>
      </c>
      <c r="F77" s="398"/>
      <c r="H77" s="32"/>
      <c r="I77" s="32"/>
      <c r="J77" s="32"/>
      <c r="K77" s="32"/>
    </row>
    <row r="78" spans="1:12" x14ac:dyDescent="0.2">
      <c r="A78" s="32"/>
      <c r="B78" s="376"/>
      <c r="C78" s="403"/>
      <c r="D78" s="376"/>
      <c r="E78" s="376"/>
      <c r="F78" s="398"/>
      <c r="H78" s="32"/>
      <c r="I78" s="32"/>
      <c r="J78" s="32"/>
      <c r="K78" s="32"/>
    </row>
    <row r="79" spans="1:12" x14ac:dyDescent="0.2">
      <c r="A79" s="32"/>
      <c r="B79" s="379"/>
      <c r="C79" s="402"/>
      <c r="D79" s="304"/>
      <c r="E79" s="304"/>
      <c r="F79" s="398"/>
      <c r="G79" s="32"/>
      <c r="I79" s="32"/>
      <c r="J79" s="32"/>
      <c r="K79" s="32"/>
      <c r="L79" s="32"/>
    </row>
    <row r="80" spans="1:12" ht="13.5" thickBot="1" x14ac:dyDescent="0.25">
      <c r="A80" s="2" t="s">
        <v>188</v>
      </c>
      <c r="B80" s="437">
        <f>+C77+B40</f>
        <v>5786734.96</v>
      </c>
      <c r="C80" s="208"/>
      <c r="D80" s="376"/>
      <c r="E80" s="376"/>
      <c r="F80" s="383"/>
      <c r="H80" s="32"/>
      <c r="I80" s="32"/>
      <c r="J80" s="32"/>
      <c r="K80" s="32"/>
    </row>
    <row r="81" spans="1:10" ht="13.5" thickTop="1" x14ac:dyDescent="0.2">
      <c r="A81" s="2" t="s">
        <v>189</v>
      </c>
      <c r="B81" s="14">
        <f>+B77+C40</f>
        <v>2076653.5522533255</v>
      </c>
      <c r="C81" s="405"/>
      <c r="D81" s="304"/>
      <c r="E81" s="304"/>
      <c r="F81" s="383"/>
      <c r="G81" s="32"/>
      <c r="H81" s="32"/>
      <c r="I81" s="32"/>
      <c r="J81" s="32"/>
    </row>
    <row r="82" spans="1:10" x14ac:dyDescent="0.2">
      <c r="A82" s="32"/>
      <c r="B82" s="47"/>
      <c r="C82" s="407"/>
      <c r="D82" s="304"/>
      <c r="E82" s="304"/>
      <c r="F82" s="206"/>
      <c r="G82" s="32"/>
      <c r="H82" s="32"/>
      <c r="I82" s="32"/>
      <c r="J82" s="32"/>
    </row>
    <row r="83" spans="1:10" x14ac:dyDescent="0.2">
      <c r="A83" s="32"/>
      <c r="B83" s="47"/>
      <c r="C83" s="69"/>
      <c r="E83" s="32"/>
      <c r="F83" s="32"/>
      <c r="G83" s="32"/>
      <c r="H83" s="32"/>
      <c r="I83" s="32"/>
    </row>
    <row r="84" spans="1:10" x14ac:dyDescent="0.2">
      <c r="A84" s="32"/>
      <c r="B84" s="47"/>
      <c r="C84" s="69"/>
      <c r="D84" s="32"/>
      <c r="E84" s="32"/>
      <c r="F84" s="32"/>
      <c r="G84" s="32"/>
      <c r="H84" s="32"/>
    </row>
    <row r="85" spans="1:10" x14ac:dyDescent="0.2">
      <c r="A85" s="32"/>
      <c r="B85" s="202"/>
      <c r="C85" s="305"/>
      <c r="D85" s="16"/>
      <c r="E85" s="32"/>
      <c r="F85" s="32"/>
      <c r="G85" s="32"/>
      <c r="H85" s="32"/>
    </row>
    <row r="91" spans="1:10" x14ac:dyDescent="0.2">
      <c r="A91" s="32"/>
      <c r="B91" s="202"/>
      <c r="C91" s="69"/>
      <c r="D91" s="70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47"/>
      <c r="C93" s="14"/>
      <c r="D93" s="32"/>
      <c r="E93" s="32"/>
      <c r="F93" s="32"/>
      <c r="G93" s="32"/>
      <c r="H93" s="32"/>
    </row>
    <row r="94" spans="1:10" x14ac:dyDescent="0.2">
      <c r="A94" s="32"/>
      <c r="B94" s="202"/>
      <c r="C94" s="14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70"/>
      <c r="E95" s="32"/>
      <c r="F95" s="32"/>
      <c r="G95" s="32"/>
      <c r="H95" s="32"/>
    </row>
    <row r="96" spans="1:10" x14ac:dyDescent="0.2">
      <c r="A96" s="32"/>
      <c r="B96" s="202"/>
      <c r="C96" s="69"/>
      <c r="D96" s="32"/>
      <c r="E96" s="32"/>
      <c r="F96" s="32"/>
      <c r="G96" s="32"/>
      <c r="H96" s="32"/>
    </row>
    <row r="97" spans="1:8" x14ac:dyDescent="0.2">
      <c r="A97" s="32"/>
      <c r="B97" s="202"/>
      <c r="C97" s="396"/>
      <c r="D97" s="32"/>
      <c r="E97" s="32"/>
      <c r="F97" s="32"/>
      <c r="G97" s="32"/>
      <c r="H97" s="32"/>
    </row>
    <row r="98" spans="1:8" x14ac:dyDescent="0.2">
      <c r="A98" s="32"/>
      <c r="B98" s="47"/>
      <c r="C98" s="69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34" workbookViewId="3">
      <selection activeCell="E43" sqref="E43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135583</v>
      </c>
      <c r="C8" s="11">
        <v>136569</v>
      </c>
      <c r="D8" s="11">
        <v>13121</v>
      </c>
      <c r="E8" s="11">
        <v>13535</v>
      </c>
      <c r="F8" s="11">
        <f>+C8-B8+E8-D8</f>
        <v>1400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135865</v>
      </c>
      <c r="C11" s="11">
        <v>133237</v>
      </c>
      <c r="D11" s="11">
        <v>12626</v>
      </c>
      <c r="E11" s="11">
        <v>13033</v>
      </c>
      <c r="F11" s="11">
        <f t="shared" si="5"/>
        <v>-2221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133471</v>
      </c>
      <c r="C12" s="11">
        <v>133237</v>
      </c>
      <c r="D12" s="11">
        <v>12524</v>
      </c>
      <c r="E12" s="11">
        <v>13033</v>
      </c>
      <c r="F12" s="11">
        <f t="shared" si="5"/>
        <v>275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134006</v>
      </c>
      <c r="C13" s="11">
        <v>133237</v>
      </c>
      <c r="D13" s="11">
        <v>13295</v>
      </c>
      <c r="E13" s="11">
        <v>13033</v>
      </c>
      <c r="F13" s="11">
        <f t="shared" si="5"/>
        <v>-1031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134912</v>
      </c>
      <c r="C14" s="11">
        <v>135829</v>
      </c>
      <c r="D14" s="11">
        <v>13535</v>
      </c>
      <c r="E14" s="11">
        <v>12532</v>
      </c>
      <c r="F14" s="11">
        <f t="shared" si="5"/>
        <v>-86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134512</v>
      </c>
      <c r="C15" s="11">
        <v>132577</v>
      </c>
      <c r="D15" s="11">
        <v>13538</v>
      </c>
      <c r="E15" s="11">
        <v>12532</v>
      </c>
      <c r="F15" s="11">
        <f t="shared" si="5"/>
        <v>-2941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136608</v>
      </c>
      <c r="C16" s="11">
        <v>136963</v>
      </c>
      <c r="D16" s="11">
        <v>13485</v>
      </c>
      <c r="E16" s="11">
        <v>12532</v>
      </c>
      <c r="F16" s="11">
        <f t="shared" si="5"/>
        <v>-598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143113</v>
      </c>
      <c r="C17" s="11">
        <v>141646</v>
      </c>
      <c r="D17" s="11">
        <v>13377</v>
      </c>
      <c r="E17" s="11">
        <v>12532</v>
      </c>
      <c r="F17" s="11">
        <f t="shared" si="5"/>
        <v>-2312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141898</v>
      </c>
      <c r="C18" s="11">
        <v>141616</v>
      </c>
      <c r="D18" s="11">
        <v>13005</v>
      </c>
      <c r="E18" s="11">
        <v>12532</v>
      </c>
      <c r="F18" s="11">
        <f t="shared" si="5"/>
        <v>-755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146840</v>
      </c>
      <c r="C19" s="11">
        <v>146894</v>
      </c>
      <c r="D19" s="11">
        <v>12502</v>
      </c>
      <c r="E19" s="11">
        <v>12532</v>
      </c>
      <c r="F19" s="11">
        <f t="shared" si="5"/>
        <v>84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/>
      <c r="C24" s="11"/>
      <c r="D24" s="11"/>
      <c r="E24" s="11"/>
      <c r="F24" s="11">
        <f t="shared" si="5"/>
        <v>0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/>
      <c r="C25" s="11"/>
      <c r="D25" s="11"/>
      <c r="E25" s="11"/>
      <c r="F25" s="11">
        <f t="shared" si="5"/>
        <v>0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1649796</v>
      </c>
      <c r="C39" s="150">
        <f>SUM(C8:C38)</f>
        <v>1641930</v>
      </c>
      <c r="D39" s="150">
        <f>SUM(D8:D38)</f>
        <v>156549</v>
      </c>
      <c r="E39" s="150">
        <f>SUM(E8:E38)</f>
        <v>154896</v>
      </c>
      <c r="F39" s="11">
        <f t="shared" si="5"/>
        <v>-9519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37103</v>
      </c>
      <c r="C42" s="153"/>
      <c r="D42" s="153"/>
      <c r="E42" s="153"/>
      <c r="F42" s="452">
        <v>147133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37115</v>
      </c>
      <c r="C43" s="142"/>
      <c r="D43" s="142"/>
      <c r="E43" s="142"/>
      <c r="F43" s="150">
        <f>+F42+F39</f>
        <v>137614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30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168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37103</v>
      </c>
      <c r="B50" s="32"/>
      <c r="C50" s="32"/>
      <c r="D50" s="446">
        <v>689831.48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37115</v>
      </c>
      <c r="B51" s="32"/>
      <c r="C51" s="32"/>
      <c r="D51" s="410">
        <f>+F39*'by type'!J3</f>
        <v>-24844.59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664986.89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1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1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1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1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6" workbookViewId="3">
      <selection activeCell="C17" sqref="C17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-58120</v>
      </c>
      <c r="C10" s="24">
        <v>-57497</v>
      </c>
      <c r="D10" s="24">
        <f t="shared" si="0"/>
        <v>623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-52462</v>
      </c>
      <c r="C11" s="24">
        <v>-52789</v>
      </c>
      <c r="D11" s="24">
        <f t="shared" si="0"/>
        <v>-327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-94542</v>
      </c>
      <c r="C12" s="51">
        <v>-93200</v>
      </c>
      <c r="D12" s="24">
        <f t="shared" si="0"/>
        <v>1342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-59632</v>
      </c>
      <c r="C13" s="24">
        <v>-58938</v>
      </c>
      <c r="D13" s="24">
        <f t="shared" si="0"/>
        <v>694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-88592</v>
      </c>
      <c r="C14" s="24">
        <v>-88150</v>
      </c>
      <c r="D14" s="24">
        <f t="shared" si="0"/>
        <v>442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-53451</v>
      </c>
      <c r="C15" s="24">
        <v>-52903</v>
      </c>
      <c r="D15" s="24">
        <f t="shared" si="0"/>
        <v>548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-52850</v>
      </c>
      <c r="C16" s="24">
        <v>-52903</v>
      </c>
      <c r="D16" s="24">
        <f t="shared" si="0"/>
        <v>-53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">
      <c r="A36" s="12"/>
      <c r="B36" s="24">
        <f>SUM(B5:B35)</f>
        <v>-707997</v>
      </c>
      <c r="C36" s="24">
        <f>SUM(C5:C35)</f>
        <v>-704692</v>
      </c>
      <c r="D36" s="24">
        <f t="shared" si="0"/>
        <v>3305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">
      <c r="B38" s="255">
        <v>37103</v>
      </c>
      <c r="C38" s="24"/>
      <c r="D38" s="445">
        <v>34979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5" thickBot="1" x14ac:dyDescent="0.25">
      <c r="B40" s="255">
        <v>37115</v>
      </c>
      <c r="C40" s="24"/>
      <c r="D40" s="195">
        <f>+D36+D38</f>
        <v>38284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5" thickTop="1" x14ac:dyDescent="0.2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">
      <c r="A44" s="32" t="s">
        <v>159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">
      <c r="A45" s="49">
        <f>+B38</f>
        <v>37103</v>
      </c>
      <c r="B45" s="32"/>
      <c r="C45" s="32"/>
      <c r="D45" s="446">
        <v>-287550.34999999998</v>
      </c>
    </row>
    <row r="46" spans="1:65" x14ac:dyDescent="0.2">
      <c r="A46" s="49">
        <f>+B40</f>
        <v>37115</v>
      </c>
      <c r="B46" s="32"/>
      <c r="C46" s="32"/>
      <c r="D46" s="410">
        <f>+D36*'by type'!J4</f>
        <v>9419.25</v>
      </c>
    </row>
    <row r="47" spans="1:65" x14ac:dyDescent="0.2">
      <c r="A47" s="32"/>
      <c r="B47" s="32"/>
      <c r="C47" s="32"/>
      <c r="D47" s="202">
        <f>+D46+D45</f>
        <v>-278131.09999999998</v>
      </c>
    </row>
    <row r="48" spans="1:65" x14ac:dyDescent="0.2">
      <c r="B48"/>
      <c r="C48"/>
      <c r="D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C18" sqref="C18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56339</v>
      </c>
      <c r="B5" s="90">
        <f>334422+32309</f>
        <v>366731</v>
      </c>
      <c r="C5" s="90">
        <v>381883</v>
      </c>
      <c r="D5" s="90">
        <f>+C5-B5</f>
        <v>15152</v>
      </c>
      <c r="E5" s="285"/>
      <c r="F5" s="28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348736</v>
      </c>
      <c r="C7" s="90">
        <v>330579</v>
      </c>
      <c r="D7" s="90">
        <f t="shared" si="0"/>
        <v>-18157</v>
      </c>
      <c r="E7" s="285"/>
      <c r="F7" s="283"/>
      <c r="L7" t="s">
        <v>26</v>
      </c>
      <c r="M7">
        <v>7.6</v>
      </c>
    </row>
    <row r="8" spans="1:13" x14ac:dyDescent="0.2">
      <c r="A8" s="87">
        <v>500239</v>
      </c>
      <c r="B8" s="319">
        <f>423172+43183</f>
        <v>466355</v>
      </c>
      <c r="C8" s="90">
        <v>488178</v>
      </c>
      <c r="D8" s="90">
        <f t="shared" si="0"/>
        <v>21823</v>
      </c>
      <c r="E8" s="285"/>
      <c r="F8" s="283"/>
    </row>
    <row r="9" spans="1:13" x14ac:dyDescent="0.2">
      <c r="A9" s="87">
        <v>500293</v>
      </c>
      <c r="B9" s="90">
        <v>159805</v>
      </c>
      <c r="C9" s="90">
        <v>224741</v>
      </c>
      <c r="D9" s="90">
        <f t="shared" si="0"/>
        <v>64936</v>
      </c>
      <c r="E9" s="285"/>
      <c r="F9" s="283"/>
    </row>
    <row r="10" spans="1:13" x14ac:dyDescent="0.2">
      <c r="A10" s="87">
        <v>500302</v>
      </c>
      <c r="B10" s="319"/>
      <c r="C10" s="319">
        <v>4136</v>
      </c>
      <c r="D10" s="90">
        <f t="shared" si="0"/>
        <v>4136</v>
      </c>
      <c r="E10" s="285"/>
      <c r="F10" s="283"/>
    </row>
    <row r="11" spans="1:13" x14ac:dyDescent="0.2">
      <c r="A11" s="87">
        <v>500303</v>
      </c>
      <c r="B11" s="319">
        <v>98079</v>
      </c>
      <c r="C11" s="90">
        <v>122681</v>
      </c>
      <c r="D11" s="90">
        <f t="shared" si="0"/>
        <v>24602</v>
      </c>
      <c r="E11" s="285"/>
      <c r="F11" s="283"/>
    </row>
    <row r="12" spans="1:13" x14ac:dyDescent="0.2">
      <c r="A12" s="91">
        <v>500305</v>
      </c>
      <c r="B12" s="319">
        <v>378392</v>
      </c>
      <c r="C12" s="90">
        <v>488453</v>
      </c>
      <c r="D12" s="90">
        <f t="shared" si="0"/>
        <v>110061</v>
      </c>
      <c r="E12" s="286"/>
      <c r="F12" s="283"/>
    </row>
    <row r="13" spans="1:13" x14ac:dyDescent="0.2">
      <c r="A13" s="87">
        <v>500307</v>
      </c>
      <c r="B13" s="319">
        <v>50825</v>
      </c>
      <c r="C13" s="90">
        <v>55127</v>
      </c>
      <c r="D13" s="90">
        <f t="shared" si="0"/>
        <v>4302</v>
      </c>
      <c r="E13" s="285"/>
      <c r="F13" s="283"/>
    </row>
    <row r="14" spans="1:13" x14ac:dyDescent="0.2">
      <c r="A14" s="87">
        <v>500313</v>
      </c>
      <c r="B14" s="90"/>
      <c r="C14" s="319">
        <v>1154</v>
      </c>
      <c r="D14" s="90">
        <f t="shared" si="0"/>
        <v>1154</v>
      </c>
      <c r="E14" s="285"/>
      <c r="F14" s="28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">
      <c r="A16" s="87">
        <v>500655</v>
      </c>
      <c r="B16" s="325">
        <f>226456+23000</f>
        <v>249456</v>
      </c>
      <c r="C16" s="90"/>
      <c r="D16" s="90">
        <f t="shared" si="0"/>
        <v>-249456</v>
      </c>
      <c r="E16" s="285"/>
      <c r="F16" s="283"/>
    </row>
    <row r="17" spans="1:6" x14ac:dyDescent="0.2">
      <c r="A17" s="87">
        <v>500657</v>
      </c>
      <c r="B17" s="335">
        <v>53367</v>
      </c>
      <c r="C17" s="88">
        <v>60449</v>
      </c>
      <c r="D17" s="94">
        <f t="shared" si="0"/>
        <v>7082</v>
      </c>
      <c r="E17" s="285"/>
      <c r="F17" s="283"/>
    </row>
    <row r="18" spans="1:6" x14ac:dyDescent="0.2">
      <c r="A18" s="87"/>
      <c r="B18" s="88"/>
      <c r="C18" s="88"/>
      <c r="D18" s="88">
        <f>SUM(D5:D17)</f>
        <v>-14365</v>
      </c>
      <c r="E18" s="285"/>
      <c r="F18" s="283"/>
    </row>
    <row r="19" spans="1:6" x14ac:dyDescent="0.2">
      <c r="A19" s="87" t="s">
        <v>84</v>
      </c>
      <c r="B19" s="88"/>
      <c r="C19" s="88"/>
      <c r="D19" s="95">
        <f>+summary!H4</f>
        <v>2.85</v>
      </c>
      <c r="E19" s="287"/>
      <c r="F19" s="283"/>
    </row>
    <row r="20" spans="1:6" x14ac:dyDescent="0.2">
      <c r="A20" s="87"/>
      <c r="B20" s="88"/>
      <c r="C20" s="88"/>
      <c r="D20" s="96">
        <f>+D19*D18</f>
        <v>-40940.25</v>
      </c>
      <c r="E20" s="209"/>
      <c r="F20" s="284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37103</v>
      </c>
      <c r="B22" s="88"/>
      <c r="C22" s="88"/>
      <c r="D22" s="458">
        <v>-131785.95000000001</v>
      </c>
      <c r="E22" s="209"/>
      <c r="F22" s="66"/>
    </row>
    <row r="23" spans="1:6" x14ac:dyDescent="0.2">
      <c r="A23" s="87"/>
      <c r="B23" s="88"/>
      <c r="C23" s="88"/>
      <c r="D23" s="322"/>
      <c r="E23" s="209"/>
      <c r="F23" s="66"/>
    </row>
    <row r="24" spans="1:6" ht="13.5" thickBot="1" x14ac:dyDescent="0.25">
      <c r="A24" s="99">
        <v>37114</v>
      </c>
      <c r="B24" s="88"/>
      <c r="C24" s="88"/>
      <c r="D24" s="334">
        <f>+D22+D20</f>
        <v>-172726.2</v>
      </c>
      <c r="E24" s="209"/>
      <c r="F24" s="66"/>
    </row>
    <row r="25" spans="1:6" ht="13.5" thickTop="1" x14ac:dyDescent="0.2">
      <c r="E25" s="288"/>
    </row>
    <row r="28" spans="1:6" x14ac:dyDescent="0.2">
      <c r="A28" s="32" t="s">
        <v>158</v>
      </c>
      <c r="B28" s="32"/>
      <c r="C28" s="32"/>
      <c r="D28" s="32"/>
    </row>
    <row r="29" spans="1:6" x14ac:dyDescent="0.2">
      <c r="A29" s="49">
        <f>+A22</f>
        <v>37103</v>
      </c>
      <c r="B29" s="32"/>
      <c r="C29" s="32"/>
      <c r="D29" s="212">
        <v>-81746</v>
      </c>
    </row>
    <row r="30" spans="1:6" x14ac:dyDescent="0.2">
      <c r="A30" s="49">
        <f>+A24</f>
        <v>37114</v>
      </c>
      <c r="B30" s="32"/>
      <c r="C30" s="32"/>
      <c r="D30" s="380">
        <f>+D18</f>
        <v>-14365</v>
      </c>
    </row>
    <row r="31" spans="1:6" x14ac:dyDescent="0.2">
      <c r="A31" s="32"/>
      <c r="B31" s="32"/>
      <c r="C31" s="32"/>
      <c r="D31" s="14">
        <f>+D30+D29</f>
        <v>-96111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workbookViewId="3">
      <selection activeCell="C16" sqref="C16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48</v>
      </c>
      <c r="C2" s="205"/>
      <c r="D2" s="12" t="s">
        <v>49</v>
      </c>
      <c r="E2" s="12"/>
      <c r="F2" s="4"/>
    </row>
    <row r="3" spans="1:7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</row>
    <row r="4" spans="1:7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</row>
    <row r="5" spans="1:7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0">+E5+C5-D5-B5</f>
        <v>27</v>
      </c>
      <c r="G5" s="25"/>
    </row>
    <row r="6" spans="1:7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0"/>
        <v>342</v>
      </c>
      <c r="G6" s="25"/>
    </row>
    <row r="7" spans="1:7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0"/>
        <v>4116</v>
      </c>
      <c r="G7" s="25"/>
    </row>
    <row r="8" spans="1:7" x14ac:dyDescent="0.2">
      <c r="A8" s="41">
        <v>5</v>
      </c>
      <c r="B8" s="11">
        <v>36992</v>
      </c>
      <c r="C8" s="11">
        <v>38491</v>
      </c>
      <c r="D8" s="11">
        <v>29785</v>
      </c>
      <c r="E8" s="11">
        <v>33441</v>
      </c>
      <c r="F8" s="25">
        <f t="shared" si="0"/>
        <v>5155</v>
      </c>
      <c r="G8" s="25"/>
    </row>
    <row r="9" spans="1:7" x14ac:dyDescent="0.2">
      <c r="A9" s="41">
        <v>6</v>
      </c>
      <c r="B9" s="11">
        <v>37536</v>
      </c>
      <c r="C9" s="11">
        <v>31999</v>
      </c>
      <c r="D9" s="11">
        <v>30106</v>
      </c>
      <c r="E9" s="11">
        <v>29000</v>
      </c>
      <c r="F9" s="25">
        <f t="shared" si="0"/>
        <v>-6643</v>
      </c>
      <c r="G9" s="25"/>
    </row>
    <row r="10" spans="1:7" x14ac:dyDescent="0.2">
      <c r="A10" s="41">
        <v>7</v>
      </c>
      <c r="B10" s="129">
        <v>30804</v>
      </c>
      <c r="C10" s="11">
        <v>36000</v>
      </c>
      <c r="D10" s="129">
        <v>34261</v>
      </c>
      <c r="E10" s="11">
        <v>30950</v>
      </c>
      <c r="F10" s="25">
        <f t="shared" si="0"/>
        <v>1885</v>
      </c>
      <c r="G10" s="25"/>
    </row>
    <row r="11" spans="1:7" x14ac:dyDescent="0.2">
      <c r="A11" s="41">
        <v>8</v>
      </c>
      <c r="B11" s="11">
        <v>28957</v>
      </c>
      <c r="C11" s="11">
        <v>36000</v>
      </c>
      <c r="D11" s="11">
        <v>32502</v>
      </c>
      <c r="E11" s="11">
        <v>30950</v>
      </c>
      <c r="F11" s="25">
        <f t="shared" si="0"/>
        <v>5491</v>
      </c>
      <c r="G11" s="25"/>
    </row>
    <row r="12" spans="1:7" x14ac:dyDescent="0.2">
      <c r="A12" s="41">
        <v>9</v>
      </c>
      <c r="B12" s="11">
        <v>33886</v>
      </c>
      <c r="C12" s="11">
        <v>35956</v>
      </c>
      <c r="D12" s="11">
        <v>29962</v>
      </c>
      <c r="E12" s="11">
        <v>30912</v>
      </c>
      <c r="F12" s="25">
        <f t="shared" si="0"/>
        <v>3020</v>
      </c>
      <c r="G12" s="25"/>
    </row>
    <row r="13" spans="1:7" x14ac:dyDescent="0.2">
      <c r="A13" s="41">
        <v>10</v>
      </c>
      <c r="B13" s="129">
        <v>33528</v>
      </c>
      <c r="C13" s="11">
        <v>32935</v>
      </c>
      <c r="D13" s="129">
        <v>31738</v>
      </c>
      <c r="E13" s="11">
        <v>33878</v>
      </c>
      <c r="F13" s="25">
        <f t="shared" si="0"/>
        <v>1547</v>
      </c>
      <c r="G13" s="25"/>
    </row>
    <row r="14" spans="1:7" x14ac:dyDescent="0.2">
      <c r="A14" s="41">
        <v>11</v>
      </c>
      <c r="B14" s="11">
        <v>33647</v>
      </c>
      <c r="C14" s="11">
        <v>35767</v>
      </c>
      <c r="D14" s="11">
        <v>29418</v>
      </c>
      <c r="E14" s="11">
        <v>30749</v>
      </c>
      <c r="F14" s="25">
        <f t="shared" si="0"/>
        <v>3451</v>
      </c>
      <c r="G14" s="25"/>
    </row>
    <row r="15" spans="1:7" x14ac:dyDescent="0.2">
      <c r="A15" s="41">
        <v>12</v>
      </c>
      <c r="B15" s="11">
        <v>33411</v>
      </c>
      <c r="C15" s="11">
        <v>30764</v>
      </c>
      <c r="D15" s="11">
        <v>30320</v>
      </c>
      <c r="E15" s="11">
        <v>30269</v>
      </c>
      <c r="F15" s="25">
        <f t="shared" si="0"/>
        <v>-2698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411329</v>
      </c>
      <c r="C35" s="11">
        <f>SUM(C4:C34)</f>
        <v>423660</v>
      </c>
      <c r="D35" s="11">
        <f>SUM(D4:D34)</f>
        <v>373835</v>
      </c>
      <c r="E35" s="11">
        <f>SUM(E4:E34)</f>
        <v>375802</v>
      </c>
      <c r="F35" s="11">
        <f>+E35-D35+C35-B35</f>
        <v>14298</v>
      </c>
    </row>
    <row r="36" spans="1:7" x14ac:dyDescent="0.2">
      <c r="A36" s="45"/>
      <c r="C36" s="14">
        <f>+C35-B35</f>
        <v>12331</v>
      </c>
      <c r="D36" s="14"/>
      <c r="E36" s="14">
        <f>+E35-D35</f>
        <v>1967</v>
      </c>
      <c r="F36" s="47"/>
    </row>
    <row r="37" spans="1:7" x14ac:dyDescent="0.2">
      <c r="C37" s="15">
        <f>+summary!H4</f>
        <v>2.85</v>
      </c>
      <c r="D37" s="15"/>
      <c r="E37" s="15">
        <f>+C37</f>
        <v>2.85</v>
      </c>
      <c r="F37" s="24"/>
    </row>
    <row r="38" spans="1:7" x14ac:dyDescent="0.2">
      <c r="C38" s="48">
        <f>+C37*C36</f>
        <v>35143.35</v>
      </c>
      <c r="D38" s="47"/>
      <c r="E38" s="48">
        <f>+E37*E36</f>
        <v>5605.95</v>
      </c>
      <c r="F38" s="46">
        <f>+E38+C38</f>
        <v>40749.299999999996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457">
        <v>612678.27</v>
      </c>
      <c r="D40" s="111"/>
      <c r="E40" s="457">
        <v>0</v>
      </c>
      <c r="F40" s="353">
        <f>+E40+C40</f>
        <v>612678.27</v>
      </c>
      <c r="G40" s="25"/>
    </row>
    <row r="41" spans="1:7" x14ac:dyDescent="0.2">
      <c r="A41" s="57">
        <v>37115</v>
      </c>
      <c r="C41" s="106">
        <f>+C40+C38</f>
        <v>647821.62</v>
      </c>
      <c r="D41" s="106"/>
      <c r="E41" s="106">
        <f>+E40+E38</f>
        <v>5605.95</v>
      </c>
      <c r="F41" s="106">
        <f>+E41+C41</f>
        <v>653427.56999999995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158</v>
      </c>
      <c r="E45" s="11"/>
      <c r="F45" s="11"/>
      <c r="G45" s="25"/>
    </row>
    <row r="46" spans="1:7" x14ac:dyDescent="0.2">
      <c r="A46" s="49">
        <f>+A40</f>
        <v>37103</v>
      </c>
      <c r="D46" s="212">
        <v>95131</v>
      </c>
      <c r="E46" s="11"/>
      <c r="F46" s="11"/>
      <c r="G46" s="25"/>
    </row>
    <row r="47" spans="1:7" x14ac:dyDescent="0.2">
      <c r="A47" s="49">
        <f>+A41</f>
        <v>37115</v>
      </c>
      <c r="D47" s="380">
        <f>+F35</f>
        <v>14298</v>
      </c>
      <c r="E47" s="11"/>
      <c r="F47" s="11"/>
      <c r="G47" s="25"/>
    </row>
    <row r="48" spans="1:7" x14ac:dyDescent="0.2">
      <c r="D48" s="14">
        <f>+D47+D46</f>
        <v>109429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30" workbookViewId="3">
      <selection activeCell="E40" sqref="E40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171739</v>
      </c>
      <c r="C10" s="11">
        <v>196507</v>
      </c>
      <c r="D10" s="11"/>
      <c r="E10" s="11">
        <v>-26132</v>
      </c>
      <c r="F10" s="11">
        <f t="shared" si="2"/>
        <v>-1364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181261</v>
      </c>
      <c r="C11" s="11">
        <v>192920</v>
      </c>
      <c r="D11" s="11"/>
      <c r="E11" s="11">
        <v>-9874</v>
      </c>
      <c r="F11" s="11">
        <f t="shared" si="2"/>
        <v>1785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197070</v>
      </c>
      <c r="C12" s="11">
        <v>204844</v>
      </c>
      <c r="D12" s="11"/>
      <c r="E12" s="11">
        <v>-4417</v>
      </c>
      <c r="F12" s="11">
        <f t="shared" si="2"/>
        <v>3357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193826</v>
      </c>
      <c r="C13" s="11">
        <v>201331</v>
      </c>
      <c r="D13" s="11"/>
      <c r="E13" s="11">
        <v>-8466</v>
      </c>
      <c r="F13" s="11">
        <f t="shared" si="2"/>
        <v>-961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183951</v>
      </c>
      <c r="C14" s="11">
        <v>200529</v>
      </c>
      <c r="D14" s="11"/>
      <c r="E14" s="11">
        <v>-19807</v>
      </c>
      <c r="F14" s="11">
        <f t="shared" si="2"/>
        <v>-3229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205187</v>
      </c>
      <c r="C15" s="11">
        <v>209202</v>
      </c>
      <c r="D15" s="11"/>
      <c r="E15" s="11">
        <v>-3450</v>
      </c>
      <c r="F15" s="11">
        <f t="shared" si="2"/>
        <v>565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196282</v>
      </c>
      <c r="C16" s="11">
        <v>206942</v>
      </c>
      <c r="D16" s="11"/>
      <c r="E16" s="11">
        <v>-11937</v>
      </c>
      <c r="F16" s="11">
        <f t="shared" si="2"/>
        <v>-1277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2206818</v>
      </c>
      <c r="C36" s="11">
        <f>SUM(C5:C35)</f>
        <v>2383129</v>
      </c>
      <c r="D36" s="11">
        <f>SUM(D5:D35)</f>
        <v>0</v>
      </c>
      <c r="E36" s="11">
        <f>SUM(E5:E35)</f>
        <v>-173815</v>
      </c>
      <c r="F36" s="11">
        <f>SUM(F5:F35)</f>
        <v>2496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37103</v>
      </c>
      <c r="F39" s="447">
        <v>5110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37115</v>
      </c>
      <c r="F41" s="354">
        <f>+F39+F36</f>
        <v>7606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37103</v>
      </c>
      <c r="C47" s="32"/>
      <c r="D47" s="32"/>
      <c r="E47" s="446">
        <v>-487771.44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37115</v>
      </c>
      <c r="C48" s="32"/>
      <c r="D48" s="32"/>
      <c r="E48" s="410">
        <f>+F36*'by type'!J3</f>
        <v>6514.5599999999995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-481256.88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9" workbookViewId="3">
      <selection activeCell="C38" sqref="C38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">
      <c r="A12" s="10">
        <v>5</v>
      </c>
      <c r="B12" s="11">
        <v>90729</v>
      </c>
      <c r="C12" s="11">
        <v>89600</v>
      </c>
      <c r="D12" s="11">
        <f t="shared" si="0"/>
        <v>-1129</v>
      </c>
      <c r="E12" s="10"/>
      <c r="F12" s="11"/>
      <c r="G12" s="11"/>
      <c r="H12" s="11"/>
    </row>
    <row r="13" spans="1:8" x14ac:dyDescent="0.2">
      <c r="A13" s="10">
        <v>6</v>
      </c>
      <c r="B13" s="11">
        <v>91681</v>
      </c>
      <c r="C13" s="11">
        <v>90563</v>
      </c>
      <c r="D13" s="11">
        <f t="shared" si="0"/>
        <v>-1118</v>
      </c>
      <c r="E13" s="10"/>
      <c r="F13" s="11"/>
      <c r="G13" s="11"/>
      <c r="H13" s="11"/>
    </row>
    <row r="14" spans="1:8" x14ac:dyDescent="0.2">
      <c r="A14" s="10">
        <v>7</v>
      </c>
      <c r="B14" s="11">
        <v>105225</v>
      </c>
      <c r="C14" s="11">
        <v>103990</v>
      </c>
      <c r="D14" s="11">
        <f t="shared" si="0"/>
        <v>-1235</v>
      </c>
      <c r="E14" s="10"/>
      <c r="F14" s="11"/>
      <c r="G14" s="11"/>
      <c r="H14" s="11"/>
    </row>
    <row r="15" spans="1:8" x14ac:dyDescent="0.2">
      <c r="A15" s="10">
        <v>8</v>
      </c>
      <c r="B15" s="11">
        <v>109389</v>
      </c>
      <c r="C15" s="11">
        <v>107112</v>
      </c>
      <c r="D15" s="11">
        <f t="shared" si="0"/>
        <v>-2277</v>
      </c>
      <c r="E15" s="10"/>
      <c r="F15" s="11"/>
      <c r="G15" s="11"/>
      <c r="H15" s="11"/>
    </row>
    <row r="16" spans="1:8" x14ac:dyDescent="0.2">
      <c r="A16" s="10">
        <v>9</v>
      </c>
      <c r="B16" s="11">
        <v>96923</v>
      </c>
      <c r="C16" s="11">
        <v>96695</v>
      </c>
      <c r="D16" s="11">
        <f t="shared" si="0"/>
        <v>-228</v>
      </c>
      <c r="E16" s="10"/>
      <c r="F16" s="11"/>
      <c r="G16" s="11"/>
      <c r="H16" s="11"/>
    </row>
    <row r="17" spans="1:8" x14ac:dyDescent="0.2">
      <c r="A17" s="10">
        <v>10</v>
      </c>
      <c r="B17" s="11">
        <v>62710</v>
      </c>
      <c r="C17" s="11">
        <v>62247</v>
      </c>
      <c r="D17" s="11">
        <f t="shared" si="0"/>
        <v>-463</v>
      </c>
      <c r="E17" s="10"/>
      <c r="F17" s="11"/>
      <c r="G17" s="11"/>
      <c r="H17" s="11"/>
    </row>
    <row r="18" spans="1:8" x14ac:dyDescent="0.2">
      <c r="A18" s="10">
        <v>11</v>
      </c>
      <c r="B18" s="11">
        <v>98145</v>
      </c>
      <c r="C18" s="11">
        <v>100814</v>
      </c>
      <c r="D18" s="11">
        <f t="shared" si="0"/>
        <v>2669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1020226</v>
      </c>
      <c r="C39" s="11">
        <f>SUM(C8:C38)</f>
        <v>1013466</v>
      </c>
      <c r="D39" s="11">
        <f>SUM(D8:D38)</f>
        <v>-6760</v>
      </c>
      <c r="E39" s="10"/>
      <c r="F39" s="11"/>
      <c r="G39" s="11"/>
      <c r="H39" s="11"/>
    </row>
    <row r="40" spans="1:8" x14ac:dyDescent="0.2">
      <c r="A40" s="26"/>
      <c r="D40" s="75">
        <f>+summary!H4</f>
        <v>2.85</v>
      </c>
      <c r="E40" s="26"/>
      <c r="H40" s="75"/>
    </row>
    <row r="41" spans="1:8" x14ac:dyDescent="0.2">
      <c r="D41" s="197">
        <f>+D40*D39</f>
        <v>-19266</v>
      </c>
      <c r="F41" s="252"/>
      <c r="H41" s="197"/>
    </row>
    <row r="42" spans="1:8" x14ac:dyDescent="0.2">
      <c r="A42" s="57">
        <v>37103</v>
      </c>
      <c r="D42" s="462">
        <v>21602.9</v>
      </c>
      <c r="E42" s="57"/>
      <c r="H42" s="197"/>
    </row>
    <row r="43" spans="1:8" x14ac:dyDescent="0.2">
      <c r="A43" s="57">
        <v>37114</v>
      </c>
      <c r="D43" s="198">
        <f>+D42+D41</f>
        <v>2336.9000000000015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158</v>
      </c>
      <c r="B47" s="32"/>
      <c r="C47" s="32"/>
      <c r="D47" s="32"/>
    </row>
    <row r="48" spans="1:8" x14ac:dyDescent="0.2">
      <c r="A48" s="49">
        <f>+A42</f>
        <v>37103</v>
      </c>
      <c r="B48" s="32"/>
      <c r="C48" s="32"/>
      <c r="D48" s="212">
        <v>-43475</v>
      </c>
    </row>
    <row r="49" spans="1:4" x14ac:dyDescent="0.2">
      <c r="A49" s="49">
        <f>+A43</f>
        <v>37114</v>
      </c>
      <c r="B49" s="32"/>
      <c r="C49" s="32"/>
      <c r="D49" s="380">
        <f>+D39</f>
        <v>-6760</v>
      </c>
    </row>
    <row r="50" spans="1:4" x14ac:dyDescent="0.2">
      <c r="A50" s="32"/>
      <c r="B50" s="32"/>
      <c r="C50" s="32"/>
      <c r="D50" s="14">
        <f>+D49+D48</f>
        <v>-50235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5"/>
  <sheetViews>
    <sheetView tabSelected="1"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workbookViewId="3">
      <selection activeCell="B9" sqref="B9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0.28515625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6">
        <v>37103</v>
      </c>
      <c r="C5" s="460">
        <v>1162786.04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37114</v>
      </c>
      <c r="J7" s="32"/>
    </row>
    <row r="8" spans="1:10" x14ac:dyDescent="0.2">
      <c r="A8" s="253">
        <v>60874</v>
      </c>
      <c r="B8" s="362">
        <v>1871</v>
      </c>
      <c r="J8" s="32"/>
    </row>
    <row r="9" spans="1:10" x14ac:dyDescent="0.2">
      <c r="A9" s="253">
        <v>78169</v>
      </c>
      <c r="B9" s="362">
        <f>54775-60876</f>
        <v>-6101</v>
      </c>
      <c r="J9" s="32"/>
    </row>
    <row r="10" spans="1:10" x14ac:dyDescent="0.2">
      <c r="A10" s="32">
        <v>500235</v>
      </c>
      <c r="B10" s="14"/>
      <c r="J10" s="32"/>
    </row>
    <row r="11" spans="1:10" x14ac:dyDescent="0.2">
      <c r="A11" s="253">
        <v>500248</v>
      </c>
      <c r="B11" s="364">
        <f>3861-5448</f>
        <v>-1587</v>
      </c>
      <c r="J11" s="32"/>
    </row>
    <row r="12" spans="1:10" x14ac:dyDescent="0.2">
      <c r="A12" s="253">
        <v>500251</v>
      </c>
      <c r="B12" s="332">
        <f>6600-5672</f>
        <v>928</v>
      </c>
      <c r="J12" s="32"/>
    </row>
    <row r="13" spans="1:10" x14ac:dyDescent="0.2">
      <c r="A13" s="253">
        <v>500254</v>
      </c>
      <c r="B13" s="332">
        <f>990-1038</f>
        <v>-48</v>
      </c>
      <c r="J13" s="32"/>
    </row>
    <row r="14" spans="1:10" x14ac:dyDescent="0.2">
      <c r="A14" s="32">
        <v>500255</v>
      </c>
      <c r="B14" s="332">
        <f>6050-7514</f>
        <v>-1464</v>
      </c>
      <c r="E14" s="32">
        <v>4840.7299999999996</v>
      </c>
      <c r="J14" s="32"/>
    </row>
    <row r="15" spans="1:10" x14ac:dyDescent="0.2">
      <c r="A15" s="32">
        <v>500262</v>
      </c>
      <c r="B15" s="332">
        <f>4400-3212</f>
        <v>1188</v>
      </c>
      <c r="E15" s="32">
        <v>67.239999999999995</v>
      </c>
      <c r="J15" s="32"/>
    </row>
    <row r="16" spans="1:10" x14ac:dyDescent="0.2">
      <c r="A16" s="290">
        <v>500267</v>
      </c>
      <c r="B16" s="363">
        <f>660361-634627</f>
        <v>25734</v>
      </c>
      <c r="E16" s="32">
        <f>+E14-E15</f>
        <v>4773.49</v>
      </c>
      <c r="J16" s="32"/>
    </row>
    <row r="17" spans="1:10" x14ac:dyDescent="0.2">
      <c r="B17" s="14">
        <f>SUM(B8:B16)</f>
        <v>20521</v>
      </c>
      <c r="J17" s="32"/>
    </row>
    <row r="18" spans="1:10" x14ac:dyDescent="0.2">
      <c r="B18" s="15">
        <f>+B31</f>
        <v>2.85</v>
      </c>
      <c r="C18" s="201">
        <f>+B18*B17</f>
        <v>58484.85</v>
      </c>
      <c r="G18" s="32"/>
      <c r="H18" s="415"/>
      <c r="I18" s="14"/>
      <c r="J18" s="32"/>
    </row>
    <row r="19" spans="1:10" x14ac:dyDescent="0.2">
      <c r="C19" s="339">
        <f>+C18+C5</f>
        <v>1221270.8900000001</v>
      </c>
      <c r="E19" s="15"/>
      <c r="G19" s="32"/>
      <c r="H19" s="415"/>
      <c r="I19" s="14"/>
      <c r="J19" s="32"/>
    </row>
    <row r="20" spans="1:10" x14ac:dyDescent="0.2">
      <c r="E20" s="15"/>
      <c r="G20" s="32"/>
      <c r="H20" s="415"/>
      <c r="I20" s="14"/>
      <c r="J20" s="32"/>
    </row>
    <row r="21" spans="1:10" x14ac:dyDescent="0.2">
      <c r="A21" s="32" t="s">
        <v>89</v>
      </c>
      <c r="G21" s="32"/>
      <c r="H21" s="415"/>
      <c r="I21" s="14"/>
      <c r="J21" s="32"/>
    </row>
    <row r="22" spans="1:10" x14ac:dyDescent="0.2">
      <c r="A22" s="2" t="s">
        <v>76</v>
      </c>
      <c r="G22" s="32"/>
      <c r="H22" s="415"/>
      <c r="I22" s="14"/>
      <c r="J22" s="32"/>
    </row>
    <row r="23" spans="1:10" x14ac:dyDescent="0.2">
      <c r="G23" s="32"/>
      <c r="H23" s="415"/>
      <c r="I23" s="14"/>
      <c r="J23" s="32"/>
    </row>
    <row r="24" spans="1:10" x14ac:dyDescent="0.2">
      <c r="G24" s="32"/>
      <c r="H24" s="415"/>
      <c r="I24" s="14"/>
      <c r="J24" s="32"/>
    </row>
    <row r="25" spans="1:10" x14ac:dyDescent="0.2">
      <c r="A25" s="200">
        <v>37103</v>
      </c>
      <c r="C25" s="460">
        <v>275313.71999999997</v>
      </c>
      <c r="G25" s="32"/>
      <c r="H25" s="15"/>
      <c r="I25" s="14"/>
      <c r="J25" s="32"/>
    </row>
    <row r="26" spans="1:10" x14ac:dyDescent="0.2">
      <c r="F26" s="267"/>
      <c r="G26" s="32"/>
      <c r="H26" s="15"/>
      <c r="I26" s="32"/>
      <c r="J26" s="32"/>
    </row>
    <row r="27" spans="1:10" x14ac:dyDescent="0.2">
      <c r="A27" s="57">
        <v>37114</v>
      </c>
      <c r="G27" s="32"/>
      <c r="H27" s="15"/>
      <c r="I27" s="32"/>
      <c r="J27" s="32"/>
    </row>
    <row r="28" spans="1:10" x14ac:dyDescent="0.2">
      <c r="A28" s="32">
        <v>9164</v>
      </c>
      <c r="B28" s="212"/>
      <c r="G28" s="32"/>
      <c r="H28" s="15"/>
      <c r="I28" s="32"/>
      <c r="J28" s="32"/>
    </row>
    <row r="29" spans="1:10" x14ac:dyDescent="0.2">
      <c r="A29" s="32">
        <v>9167</v>
      </c>
      <c r="B29" s="212"/>
    </row>
    <row r="30" spans="1:10" x14ac:dyDescent="0.2">
      <c r="B30" s="14">
        <f>+B29+B28</f>
        <v>0</v>
      </c>
    </row>
    <row r="31" spans="1:10" x14ac:dyDescent="0.2">
      <c r="B31" s="15">
        <f>+summary!H4</f>
        <v>2.85</v>
      </c>
      <c r="C31" s="201">
        <f>+B31*B30</f>
        <v>0</v>
      </c>
    </row>
    <row r="32" spans="1:10" x14ac:dyDescent="0.2">
      <c r="C32" s="339">
        <f>+C31+C25</f>
        <v>275313.71999999997</v>
      </c>
      <c r="E32" s="15"/>
    </row>
    <row r="34" spans="1:9" x14ac:dyDescent="0.2">
      <c r="E34" s="272"/>
    </row>
    <row r="35" spans="1:9" x14ac:dyDescent="0.2">
      <c r="A35" s="32" t="s">
        <v>89</v>
      </c>
      <c r="E35" s="15"/>
    </row>
    <row r="36" spans="1:9" x14ac:dyDescent="0.2">
      <c r="A36" s="32" t="s">
        <v>77</v>
      </c>
      <c r="E36" s="32" t="s">
        <v>158</v>
      </c>
      <c r="F36" s="382">
        <v>24268</v>
      </c>
      <c r="G36" s="382">
        <v>24693</v>
      </c>
      <c r="H36" s="382">
        <v>24361</v>
      </c>
    </row>
    <row r="37" spans="1:9" x14ac:dyDescent="0.2">
      <c r="E37" s="49">
        <f>+A5</f>
        <v>37103</v>
      </c>
      <c r="F37" s="212">
        <v>223026</v>
      </c>
      <c r="G37" s="14">
        <v>117857</v>
      </c>
      <c r="H37" s="212">
        <v>138810</v>
      </c>
      <c r="I37" s="14"/>
    </row>
    <row r="38" spans="1:9" x14ac:dyDescent="0.2">
      <c r="E38" s="49">
        <f>+A7</f>
        <v>37114</v>
      </c>
      <c r="F38" s="380">
        <f>+B17</f>
        <v>20521</v>
      </c>
      <c r="G38" s="380">
        <f>+B30</f>
        <v>0</v>
      </c>
      <c r="H38" s="380">
        <f>+B45</f>
        <v>3408</v>
      </c>
      <c r="I38" s="14"/>
    </row>
    <row r="39" spans="1:9" x14ac:dyDescent="0.2">
      <c r="A39" s="49">
        <v>37103</v>
      </c>
      <c r="C39" s="460">
        <v>732710.21</v>
      </c>
      <c r="F39" s="14">
        <f>+F38+F37</f>
        <v>243547</v>
      </c>
      <c r="G39" s="14">
        <f>+G38+G37</f>
        <v>117857</v>
      </c>
      <c r="H39" s="14">
        <f>+H38+H37</f>
        <v>142218</v>
      </c>
      <c r="I39" s="14">
        <f>+H39+G39+F39</f>
        <v>503622</v>
      </c>
    </row>
    <row r="40" spans="1:9" x14ac:dyDescent="0.2">
      <c r="G40" s="32"/>
      <c r="H40" s="15"/>
      <c r="I40" s="32"/>
    </row>
    <row r="41" spans="1:9" x14ac:dyDescent="0.2">
      <c r="A41" s="249">
        <v>37114</v>
      </c>
      <c r="G41" s="32"/>
      <c r="H41" s="416">
        <v>21665</v>
      </c>
      <c r="I41" s="14">
        <v>36403</v>
      </c>
    </row>
    <row r="42" spans="1:9" x14ac:dyDescent="0.2">
      <c r="A42" s="253">
        <v>500241</v>
      </c>
      <c r="B42" s="14"/>
      <c r="G42" s="32"/>
      <c r="H42" s="416">
        <v>22664</v>
      </c>
      <c r="I42" s="14">
        <v>18932</v>
      </c>
    </row>
    <row r="43" spans="1:9" x14ac:dyDescent="0.2">
      <c r="A43" s="32">
        <v>500391</v>
      </c>
      <c r="B43" s="212">
        <v>2857</v>
      </c>
      <c r="G43" s="32"/>
      <c r="H43" s="416">
        <v>20248</v>
      </c>
      <c r="I43" s="14">
        <v>43064</v>
      </c>
    </row>
    <row r="44" spans="1:9" x14ac:dyDescent="0.2">
      <c r="A44" s="32">
        <v>500392</v>
      </c>
      <c r="B44" s="257">
        <v>551</v>
      </c>
      <c r="G44" s="32"/>
      <c r="H44" s="416">
        <v>25873</v>
      </c>
      <c r="I44" s="14">
        <v>-17</v>
      </c>
    </row>
    <row r="45" spans="1:9" x14ac:dyDescent="0.2">
      <c r="B45" s="14">
        <f>SUM(B42:B44)</f>
        <v>3408</v>
      </c>
      <c r="G45" s="32"/>
      <c r="H45" s="416">
        <v>26758</v>
      </c>
      <c r="I45" s="14">
        <v>-149</v>
      </c>
    </row>
    <row r="46" spans="1:9" x14ac:dyDescent="0.2">
      <c r="B46" s="201">
        <f>+B31</f>
        <v>2.85</v>
      </c>
      <c r="C46" s="201">
        <f>+B46*B45</f>
        <v>9712.8000000000011</v>
      </c>
      <c r="H46" s="416">
        <v>26372</v>
      </c>
      <c r="I46" s="14">
        <v>1467</v>
      </c>
    </row>
    <row r="47" spans="1:9" x14ac:dyDescent="0.2">
      <c r="C47" s="339">
        <f>+C46+C39</f>
        <v>742423.01</v>
      </c>
      <c r="E47" s="206"/>
      <c r="H47" s="416">
        <v>26700</v>
      </c>
      <c r="I47" s="14">
        <v>1970</v>
      </c>
    </row>
    <row r="48" spans="1:9" x14ac:dyDescent="0.2">
      <c r="E48" s="216"/>
      <c r="H48" s="416">
        <v>26422</v>
      </c>
      <c r="I48" s="14">
        <v>3940</v>
      </c>
    </row>
    <row r="49" spans="1:9" x14ac:dyDescent="0.2">
      <c r="E49" s="206"/>
      <c r="H49" s="416">
        <v>26661</v>
      </c>
      <c r="I49" s="14">
        <v>28550</v>
      </c>
    </row>
    <row r="50" spans="1:9" x14ac:dyDescent="0.2">
      <c r="C50" s="324"/>
      <c r="E50" s="216"/>
      <c r="H50" s="416">
        <v>27291</v>
      </c>
      <c r="I50" s="14">
        <v>-3361</v>
      </c>
    </row>
    <row r="51" spans="1:9" x14ac:dyDescent="0.2">
      <c r="A51" s="32" t="s">
        <v>89</v>
      </c>
      <c r="C51" s="254"/>
      <c r="H51" s="416">
        <v>27137</v>
      </c>
      <c r="I51" s="14">
        <v>-8</v>
      </c>
    </row>
    <row r="52" spans="1:9" x14ac:dyDescent="0.2">
      <c r="A52" s="32">
        <v>21665</v>
      </c>
      <c r="B52" s="15" t="s">
        <v>142</v>
      </c>
      <c r="C52" s="459">
        <v>73449.16</v>
      </c>
      <c r="D52" s="32" t="s">
        <v>123</v>
      </c>
      <c r="E52" s="50"/>
      <c r="H52" s="211">
        <v>27123</v>
      </c>
      <c r="I52" s="14">
        <v>-1347</v>
      </c>
    </row>
    <row r="53" spans="1:9" x14ac:dyDescent="0.2">
      <c r="A53" s="32">
        <v>22664</v>
      </c>
      <c r="B53" s="15" t="s">
        <v>142</v>
      </c>
      <c r="C53" s="461">
        <v>23612.35</v>
      </c>
      <c r="D53" s="32" t="s">
        <v>124</v>
      </c>
      <c r="H53" s="417"/>
      <c r="I53" s="16">
        <f>SUM(I41:I52)</f>
        <v>129444</v>
      </c>
    </row>
    <row r="54" spans="1:9" x14ac:dyDescent="0.2">
      <c r="A54" s="32">
        <v>20248</v>
      </c>
      <c r="B54" s="15" t="s">
        <v>143</v>
      </c>
      <c r="C54" s="330">
        <v>141061.91</v>
      </c>
      <c r="D54" s="15"/>
      <c r="E54" s="15"/>
      <c r="H54" s="331"/>
      <c r="I54" s="87"/>
    </row>
    <row r="55" spans="1:9" x14ac:dyDescent="0.2">
      <c r="A55" s="32">
        <v>25873</v>
      </c>
      <c r="C55" s="330">
        <v>-259</v>
      </c>
      <c r="D55" s="15"/>
      <c r="H55" s="15"/>
    </row>
    <row r="56" spans="1:9" x14ac:dyDescent="0.2">
      <c r="A56" s="32">
        <v>26758</v>
      </c>
      <c r="C56" s="330">
        <v>-596</v>
      </c>
      <c r="D56" s="15"/>
      <c r="H56" s="15"/>
    </row>
    <row r="57" spans="1:9" x14ac:dyDescent="0.2">
      <c r="A57" s="32">
        <v>26372</v>
      </c>
      <c r="C57" s="330">
        <v>2997.09</v>
      </c>
      <c r="D57" s="15"/>
      <c r="H57" s="15"/>
    </row>
    <row r="58" spans="1:9" x14ac:dyDescent="0.2">
      <c r="A58" s="32">
        <v>26700</v>
      </c>
      <c r="C58" s="330">
        <v>4077.9</v>
      </c>
      <c r="D58" s="15"/>
      <c r="H58" s="331"/>
    </row>
    <row r="59" spans="1:9" x14ac:dyDescent="0.2">
      <c r="A59" s="32">
        <v>26422</v>
      </c>
      <c r="C59" s="330">
        <v>8155.8</v>
      </c>
      <c r="D59" s="15"/>
      <c r="H59" s="47"/>
    </row>
    <row r="60" spans="1:9" x14ac:dyDescent="0.2">
      <c r="A60" s="32">
        <v>26661</v>
      </c>
      <c r="C60" s="330">
        <v>146862.35</v>
      </c>
      <c r="D60" s="15"/>
      <c r="H60" s="342"/>
      <c r="I60" s="32"/>
    </row>
    <row r="61" spans="1:9" x14ac:dyDescent="0.2">
      <c r="A61" s="32">
        <v>27291</v>
      </c>
      <c r="C61" s="330">
        <v>-17965</v>
      </c>
      <c r="D61" s="15"/>
    </row>
    <row r="62" spans="1:9" x14ac:dyDescent="0.2">
      <c r="A62" s="32">
        <v>27137</v>
      </c>
      <c r="C62" s="330">
        <v>-67.28</v>
      </c>
      <c r="D62" s="15"/>
    </row>
    <row r="63" spans="1:9" x14ac:dyDescent="0.2">
      <c r="A63" s="32">
        <v>27123</v>
      </c>
      <c r="C63" s="408">
        <v>-6425.19</v>
      </c>
      <c r="D63" s="15"/>
    </row>
    <row r="64" spans="1:9" x14ac:dyDescent="0.2">
      <c r="C64" s="331">
        <f>+C19+C32+C47+C52+C53+C54+C55+C56+C57+C58+C59+C60+C61+C62+C63</f>
        <v>2613911.7100000004</v>
      </c>
    </row>
    <row r="65" spans="3:3" x14ac:dyDescent="0.2">
      <c r="C65" s="331"/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24" workbookViewId="3">
      <selection activeCell="A41" sqref="A41"/>
    </sheetView>
  </sheetViews>
  <sheetFormatPr defaultRowHeight="12.75" x14ac:dyDescent="0.2"/>
  <cols>
    <col min="3" max="3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8">
        <v>23995</v>
      </c>
      <c r="C1" s="235"/>
      <c r="D1" s="327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195</v>
      </c>
      <c r="G3" s="6"/>
      <c r="H3" s="115"/>
    </row>
    <row r="4" spans="1:10" x14ac:dyDescent="0.2">
      <c r="A4" s="10">
        <v>1</v>
      </c>
      <c r="B4" s="11"/>
      <c r="C4" s="11"/>
      <c r="D4" s="11">
        <v>17879</v>
      </c>
      <c r="E4" s="11">
        <v>24612</v>
      </c>
      <c r="F4" s="11">
        <f>+E4+C4-D4-B4</f>
        <v>6733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15280</v>
      </c>
      <c r="E5" s="11">
        <v>24612</v>
      </c>
      <c r="F5" s="11">
        <f t="shared" ref="F5:F34" si="0">+E5+C5-D5-B5</f>
        <v>9332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22363</v>
      </c>
      <c r="E6" s="11">
        <v>24612</v>
      </c>
      <c r="F6" s="11">
        <f t="shared" si="0"/>
        <v>2249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22522</v>
      </c>
      <c r="E7" s="11">
        <v>24612</v>
      </c>
      <c r="F7" s="11">
        <f t="shared" si="0"/>
        <v>2090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25194</v>
      </c>
      <c r="E8" s="11">
        <v>24612</v>
      </c>
      <c r="F8" s="11">
        <f t="shared" si="0"/>
        <v>-582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25342</v>
      </c>
      <c r="E9" s="11">
        <v>24612</v>
      </c>
      <c r="F9" s="11">
        <f t="shared" si="0"/>
        <v>-730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26046</v>
      </c>
      <c r="E10" s="11">
        <v>24612</v>
      </c>
      <c r="F10" s="11">
        <f t="shared" si="0"/>
        <v>-1434</v>
      </c>
      <c r="G10" s="11"/>
      <c r="I10" s="11"/>
      <c r="J10" s="24"/>
    </row>
    <row r="11" spans="1:10" x14ac:dyDescent="0.2">
      <c r="A11" s="10">
        <v>8</v>
      </c>
      <c r="B11" s="11">
        <v>11</v>
      </c>
      <c r="C11" s="11"/>
      <c r="D11" s="11">
        <v>24733</v>
      </c>
      <c r="E11" s="11">
        <v>24612</v>
      </c>
      <c r="F11" s="11">
        <f t="shared" si="0"/>
        <v>-132</v>
      </c>
      <c r="G11" s="11"/>
      <c r="I11" s="11"/>
      <c r="J11" s="24"/>
    </row>
    <row r="12" spans="1:10" x14ac:dyDescent="0.2">
      <c r="A12" s="10">
        <v>9</v>
      </c>
      <c r="B12" s="11">
        <v>22</v>
      </c>
      <c r="C12" s="11"/>
      <c r="D12" s="11">
        <v>26013</v>
      </c>
      <c r="E12" s="11">
        <v>24612</v>
      </c>
      <c r="F12" s="11">
        <f t="shared" si="0"/>
        <v>-1423</v>
      </c>
      <c r="G12" s="11"/>
      <c r="I12" s="11"/>
      <c r="J12" s="24"/>
    </row>
    <row r="13" spans="1:10" x14ac:dyDescent="0.2">
      <c r="A13" s="10">
        <v>10</v>
      </c>
      <c r="B13" s="11">
        <v>1</v>
      </c>
      <c r="C13" s="11"/>
      <c r="D13" s="11">
        <v>25516</v>
      </c>
      <c r="E13" s="11">
        <v>24612</v>
      </c>
      <c r="F13" s="11">
        <f t="shared" si="0"/>
        <v>-905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25869</v>
      </c>
      <c r="E14" s="11">
        <v>24612</v>
      </c>
      <c r="F14" s="11">
        <f t="shared" si="0"/>
        <v>-1257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158</v>
      </c>
      <c r="I33" s="382">
        <v>23995</v>
      </c>
      <c r="J33" s="382">
        <v>22051</v>
      </c>
      <c r="K33" s="382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37103</v>
      </c>
      <c r="I34" s="212">
        <v>-178485</v>
      </c>
      <c r="J34" s="212">
        <v>-80532</v>
      </c>
      <c r="K34" s="14"/>
      <c r="L34" s="14"/>
    </row>
    <row r="35" spans="1:13" x14ac:dyDescent="0.2">
      <c r="A35" s="10"/>
      <c r="B35" s="11">
        <f>SUM(B4:B34)</f>
        <v>34</v>
      </c>
      <c r="C35" s="11">
        <f>SUM(C4:C34)</f>
        <v>0</v>
      </c>
      <c r="D35" s="11">
        <f>SUM(D4:D34)</f>
        <v>256757</v>
      </c>
      <c r="E35" s="11">
        <f>SUM(E4:E34)</f>
        <v>270732</v>
      </c>
      <c r="F35" s="11">
        <f>SUM(F4:F34)</f>
        <v>13941</v>
      </c>
      <c r="G35" s="11"/>
      <c r="H35" s="49">
        <f>+A40</f>
        <v>37114</v>
      </c>
      <c r="I35" s="380">
        <f>+C36</f>
        <v>-34</v>
      </c>
      <c r="J35" s="380">
        <f>+E36</f>
        <v>13975</v>
      </c>
      <c r="K35" s="208"/>
      <c r="L35" s="14"/>
    </row>
    <row r="36" spans="1:13" x14ac:dyDescent="0.2">
      <c r="C36" s="25">
        <f>+C35-B35</f>
        <v>-34</v>
      </c>
      <c r="E36" s="25">
        <f>+E35-D35</f>
        <v>13975</v>
      </c>
      <c r="F36" s="25">
        <f>+E36+C36</f>
        <v>13941</v>
      </c>
      <c r="H36" s="32"/>
      <c r="I36" s="14">
        <f>+I35+I34</f>
        <v>-178519</v>
      </c>
      <c r="J36" s="14">
        <f>+J35+J34</f>
        <v>-66557</v>
      </c>
      <c r="K36" s="14">
        <f>+J36+I36</f>
        <v>-245076</v>
      </c>
      <c r="L36" s="14"/>
    </row>
    <row r="37" spans="1:13" x14ac:dyDescent="0.2">
      <c r="C37" s="329">
        <f>+summary!H5</f>
        <v>2.97</v>
      </c>
      <c r="E37" s="104">
        <f>+C37</f>
        <v>2.97</v>
      </c>
      <c r="F37" s="138">
        <f>+F36*E37</f>
        <v>41404.770000000004</v>
      </c>
    </row>
    <row r="38" spans="1:13" x14ac:dyDescent="0.2">
      <c r="C38" s="138">
        <f>+C37*C36</f>
        <v>-100.98</v>
      </c>
      <c r="E38" s="136">
        <f>+E37*E36</f>
        <v>41505.75</v>
      </c>
      <c r="F38" s="138">
        <f>+E38+C38</f>
        <v>41404.769999999997</v>
      </c>
      <c r="J38" s="12">
        <v>22864</v>
      </c>
      <c r="K38" s="14">
        <v>-24566</v>
      </c>
    </row>
    <row r="39" spans="1:13" x14ac:dyDescent="0.2">
      <c r="A39" s="57">
        <v>37103</v>
      </c>
      <c r="B39" s="2" t="s">
        <v>46</v>
      </c>
      <c r="C39" s="370">
        <v>-1023166</v>
      </c>
      <c r="D39" s="338"/>
      <c r="E39" s="455">
        <v>-496043.34</v>
      </c>
      <c r="F39" s="337">
        <f>+E39+C39</f>
        <v>-1519209.34</v>
      </c>
      <c r="J39" s="12">
        <v>20379</v>
      </c>
      <c r="K39" s="14">
        <v>2979</v>
      </c>
    </row>
    <row r="40" spans="1:13" x14ac:dyDescent="0.2">
      <c r="A40" s="57">
        <v>37114</v>
      </c>
      <c r="B40" s="2" t="s">
        <v>46</v>
      </c>
      <c r="C40" s="330">
        <f>+C39+C38</f>
        <v>-1023266.98</v>
      </c>
      <c r="D40" s="259"/>
      <c r="E40" s="330">
        <f>+E39+E38</f>
        <v>-454537.59</v>
      </c>
      <c r="F40" s="330">
        <f>+E40+C40</f>
        <v>-1477804.57</v>
      </c>
      <c r="H40" s="131"/>
      <c r="J40" s="12">
        <v>21459</v>
      </c>
      <c r="K40" s="14">
        <v>6776</v>
      </c>
    </row>
    <row r="41" spans="1:13" x14ac:dyDescent="0.2">
      <c r="C41" s="349"/>
      <c r="D41" s="250"/>
      <c r="E41" s="250"/>
      <c r="H41" s="31"/>
      <c r="J41" s="12">
        <v>26357</v>
      </c>
      <c r="K41" s="14">
        <v>26521</v>
      </c>
    </row>
    <row r="42" spans="1:13" x14ac:dyDescent="0.2">
      <c r="C42" s="250"/>
      <c r="D42" s="250"/>
      <c r="E42" s="250"/>
      <c r="J42" s="12">
        <v>21544</v>
      </c>
      <c r="K42" s="14">
        <v>36108</v>
      </c>
    </row>
    <row r="43" spans="1:13" x14ac:dyDescent="0.2">
      <c r="C43" s="250"/>
      <c r="D43" s="250"/>
      <c r="E43" s="12" t="s">
        <v>115</v>
      </c>
      <c r="J43" s="12">
        <v>24532</v>
      </c>
      <c r="K43" s="212">
        <v>17769</v>
      </c>
    </row>
    <row r="44" spans="1:13" x14ac:dyDescent="0.2">
      <c r="C44" s="250"/>
      <c r="D44" s="250"/>
      <c r="E44" s="12">
        <v>22864</v>
      </c>
      <c r="F44" s="460">
        <v>-58339.66</v>
      </c>
      <c r="G44" s="254" t="s">
        <v>49</v>
      </c>
      <c r="K44" s="14">
        <f>SUM(K36:K43)</f>
        <v>-179489</v>
      </c>
    </row>
    <row r="45" spans="1:13" x14ac:dyDescent="0.2">
      <c r="C45" s="250"/>
      <c r="D45" s="250"/>
      <c r="E45" s="12">
        <v>20379</v>
      </c>
      <c r="F45" s="460">
        <v>-51695.87</v>
      </c>
      <c r="G45" s="254" t="s">
        <v>126</v>
      </c>
      <c r="M45" s="14"/>
    </row>
    <row r="46" spans="1:13" x14ac:dyDescent="0.2">
      <c r="C46" s="250"/>
      <c r="D46" s="250"/>
      <c r="E46" s="12">
        <v>21459</v>
      </c>
      <c r="F46" s="372">
        <v>10570.56</v>
      </c>
      <c r="G46" s="250"/>
      <c r="M46" s="14"/>
    </row>
    <row r="47" spans="1:13" x14ac:dyDescent="0.2">
      <c r="C47" s="250"/>
      <c r="D47" s="250"/>
      <c r="E47" s="12">
        <v>26357</v>
      </c>
      <c r="F47" s="372">
        <v>44144.84</v>
      </c>
      <c r="G47" s="254" t="s">
        <v>127</v>
      </c>
    </row>
    <row r="48" spans="1:13" x14ac:dyDescent="0.2">
      <c r="C48" s="250"/>
      <c r="D48" s="250"/>
      <c r="E48" s="12">
        <v>21544</v>
      </c>
      <c r="F48" s="460">
        <v>61340.160000000003</v>
      </c>
      <c r="G48" s="254" t="s">
        <v>128</v>
      </c>
    </row>
    <row r="49" spans="3:13" x14ac:dyDescent="0.2">
      <c r="C49" s="250"/>
      <c r="D49" s="250"/>
      <c r="E49" s="12">
        <v>24532</v>
      </c>
      <c r="F49" s="461">
        <v>-762222.24</v>
      </c>
      <c r="G49" s="254" t="s">
        <v>125</v>
      </c>
    </row>
    <row r="50" spans="3:13" x14ac:dyDescent="0.2">
      <c r="C50" s="250"/>
      <c r="D50" s="250"/>
      <c r="F50" s="350">
        <f>SUM(F40:F49)</f>
        <v>-2234006.7800000003</v>
      </c>
      <c r="G50" s="250"/>
    </row>
    <row r="51" spans="3:13" x14ac:dyDescent="0.2">
      <c r="C51" s="250"/>
      <c r="D51" s="250"/>
      <c r="F51" s="250"/>
      <c r="G51" s="250"/>
    </row>
    <row r="52" spans="3:13" x14ac:dyDescent="0.2">
      <c r="E52" s="2" t="s">
        <v>144</v>
      </c>
      <c r="F52" s="138">
        <f>+Duke!C64</f>
        <v>2613911.7100000004</v>
      </c>
      <c r="M52" s="14">
        <f>+Duke!I53</f>
        <v>129444</v>
      </c>
    </row>
    <row r="54" spans="3:13" x14ac:dyDescent="0.2">
      <c r="F54" s="104">
        <f>+F52+F50</f>
        <v>379904.93000000017</v>
      </c>
      <c r="M54" s="16">
        <f>+M52+K44</f>
        <v>-50045</v>
      </c>
    </row>
    <row r="60" spans="3:13" x14ac:dyDescent="0.2">
      <c r="H60" s="258"/>
    </row>
    <row r="61" spans="3:13" x14ac:dyDescent="0.2">
      <c r="H61" s="258"/>
    </row>
    <row r="62" spans="3:13" x14ac:dyDescent="0.2">
      <c r="H62" s="258"/>
    </row>
    <row r="63" spans="3:13" x14ac:dyDescent="0.2">
      <c r="H63" s="368"/>
    </row>
    <row r="64" spans="3:13" x14ac:dyDescent="0.2">
      <c r="F64" s="368"/>
    </row>
    <row r="65" spans="6:6" x14ac:dyDescent="0.2">
      <c r="F65" s="368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8" workbookViewId="3">
      <selection activeCell="G42" sqref="G42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1454</v>
      </c>
      <c r="I8" s="11">
        <v>1283</v>
      </c>
      <c r="J8" s="25">
        <f>+C8-B8+E8-D8+G8-F8+I8-H8</f>
        <v>-2018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1476</v>
      </c>
      <c r="I9" s="11">
        <v>1283</v>
      </c>
      <c r="J9" s="25">
        <f t="shared" ref="J9:J38" si="0">+C9-B9+E9-D9+G9-F9+I9-H9</f>
        <v>-1980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1523</v>
      </c>
      <c r="I10" s="11">
        <v>1283</v>
      </c>
      <c r="J10" s="25">
        <f t="shared" si="0"/>
        <v>-227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1485</v>
      </c>
      <c r="I11" s="11">
        <v>1283</v>
      </c>
      <c r="J11" s="25">
        <f t="shared" si="0"/>
        <v>-1740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1460</v>
      </c>
      <c r="I12" s="11">
        <v>1283</v>
      </c>
      <c r="J12" s="25">
        <f t="shared" si="0"/>
        <v>-1373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7106</v>
      </c>
      <c r="C13" s="11">
        <v>6031</v>
      </c>
      <c r="D13" s="11"/>
      <c r="E13" s="11"/>
      <c r="F13" s="11">
        <v>1102</v>
      </c>
      <c r="G13" s="11">
        <v>1150</v>
      </c>
      <c r="H13" s="11">
        <v>1390</v>
      </c>
      <c r="I13" s="11">
        <v>1283</v>
      </c>
      <c r="J13" s="25">
        <f t="shared" si="0"/>
        <v>-1134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6854</v>
      </c>
      <c r="C14" s="11">
        <v>6031</v>
      </c>
      <c r="D14" s="11"/>
      <c r="E14" s="11"/>
      <c r="F14" s="11">
        <v>1149</v>
      </c>
      <c r="G14" s="11">
        <v>1150</v>
      </c>
      <c r="H14" s="11">
        <v>1444</v>
      </c>
      <c r="I14" s="129">
        <v>1283</v>
      </c>
      <c r="J14" s="25">
        <f t="shared" si="0"/>
        <v>-983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6932</v>
      </c>
      <c r="C15" s="11">
        <v>6031</v>
      </c>
      <c r="D15" s="11"/>
      <c r="E15" s="11"/>
      <c r="F15" s="11">
        <v>1096</v>
      </c>
      <c r="G15" s="11">
        <v>1150</v>
      </c>
      <c r="H15" s="11">
        <v>1417</v>
      </c>
      <c r="I15" s="11">
        <v>1283</v>
      </c>
      <c r="J15" s="25">
        <f t="shared" si="0"/>
        <v>-981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6825</v>
      </c>
      <c r="C16" s="11">
        <v>6031</v>
      </c>
      <c r="D16" s="11"/>
      <c r="E16" s="11"/>
      <c r="F16" s="11">
        <v>1073</v>
      </c>
      <c r="G16" s="11">
        <v>1150</v>
      </c>
      <c r="H16" s="11">
        <v>1479</v>
      </c>
      <c r="I16" s="11">
        <v>1283</v>
      </c>
      <c r="J16" s="25">
        <f t="shared" si="0"/>
        <v>-913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7236</v>
      </c>
      <c r="C17" s="11">
        <v>6031</v>
      </c>
      <c r="D17" s="11"/>
      <c r="E17" s="11"/>
      <c r="F17" s="11">
        <v>1025</v>
      </c>
      <c r="G17" s="11">
        <v>1150</v>
      </c>
      <c r="H17" s="11">
        <v>1307</v>
      </c>
      <c r="I17" s="11">
        <v>1283</v>
      </c>
      <c r="J17" s="25">
        <f t="shared" si="0"/>
        <v>-1104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7066</v>
      </c>
      <c r="C18" s="11">
        <v>6031</v>
      </c>
      <c r="D18" s="11"/>
      <c r="E18" s="11"/>
      <c r="F18" s="11">
        <v>1044</v>
      </c>
      <c r="G18" s="11">
        <v>1150</v>
      </c>
      <c r="H18" s="11">
        <v>1444</v>
      </c>
      <c r="I18" s="11">
        <v>1283</v>
      </c>
      <c r="J18" s="25">
        <f t="shared" si="0"/>
        <v>-1090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78427</v>
      </c>
      <c r="C39" s="11">
        <f t="shared" si="1"/>
        <v>66341</v>
      </c>
      <c r="D39" s="11">
        <f t="shared" si="1"/>
        <v>0</v>
      </c>
      <c r="E39" s="11">
        <f t="shared" si="1"/>
        <v>0</v>
      </c>
      <c r="F39" s="11">
        <f t="shared" si="1"/>
        <v>12341</v>
      </c>
      <c r="G39" s="11">
        <f t="shared" si="1"/>
        <v>12650</v>
      </c>
      <c r="H39" s="11">
        <f t="shared" si="1"/>
        <v>15879</v>
      </c>
      <c r="I39" s="11">
        <f t="shared" si="1"/>
        <v>14113</v>
      </c>
      <c r="J39" s="25">
        <f t="shared" si="1"/>
        <v>-13543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0">
        <f>+summary!H4</f>
        <v>2.85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-38597.550000000003</v>
      </c>
      <c r="L41"/>
      <c r="R41" s="138"/>
      <c r="X41" s="138"/>
    </row>
    <row r="42" spans="1:24" x14ac:dyDescent="0.2">
      <c r="A42" s="57">
        <v>37103</v>
      </c>
      <c r="C42" s="15"/>
      <c r="J42" s="360">
        <v>372841.88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37114</v>
      </c>
      <c r="C43" s="48"/>
      <c r="J43" s="138">
        <f>+J42+J41</f>
        <v>334244.33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158</v>
      </c>
      <c r="B46" s="32"/>
      <c r="C46" s="32"/>
      <c r="D46" s="32"/>
      <c r="L46"/>
    </row>
    <row r="47" spans="1:24" x14ac:dyDescent="0.2">
      <c r="A47" s="49">
        <f>+A42</f>
        <v>37103</v>
      </c>
      <c r="B47" s="32"/>
      <c r="C47" s="32"/>
      <c r="D47" s="212">
        <v>146405</v>
      </c>
      <c r="L47"/>
    </row>
    <row r="48" spans="1:24" x14ac:dyDescent="0.2">
      <c r="A48" s="49">
        <f>+A43</f>
        <v>37114</v>
      </c>
      <c r="B48" s="32"/>
      <c r="C48" s="32"/>
      <c r="D48" s="380">
        <f>+J39</f>
        <v>-13543</v>
      </c>
      <c r="L48"/>
    </row>
    <row r="49" spans="1:12" x14ac:dyDescent="0.2">
      <c r="A49" s="32"/>
      <c r="B49" s="32"/>
      <c r="C49" s="32"/>
      <c r="D49" s="14">
        <f>+D48+D47</f>
        <v>132862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5" workbookViewId="3">
      <selection activeCell="D19" sqref="D19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147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11356</v>
      </c>
      <c r="C13" s="11">
        <v>11494</v>
      </c>
      <c r="D13" s="11"/>
      <c r="E13" s="11"/>
      <c r="F13" s="25">
        <f t="shared" si="0"/>
        <v>138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11348</v>
      </c>
      <c r="C14" s="11">
        <v>11494</v>
      </c>
      <c r="D14" s="11"/>
      <c r="E14" s="11"/>
      <c r="F14" s="25">
        <f t="shared" si="0"/>
        <v>146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10845</v>
      </c>
      <c r="C15" s="11">
        <v>11494</v>
      </c>
      <c r="D15" s="11"/>
      <c r="E15" s="11"/>
      <c r="F15" s="25">
        <f t="shared" si="0"/>
        <v>649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10042</v>
      </c>
      <c r="C16" s="11">
        <v>11484</v>
      </c>
      <c r="D16" s="11"/>
      <c r="E16" s="11"/>
      <c r="F16" s="25">
        <f t="shared" si="0"/>
        <v>1442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11541</v>
      </c>
      <c r="C17" s="11">
        <v>11494</v>
      </c>
      <c r="D17" s="11"/>
      <c r="E17" s="11"/>
      <c r="F17" s="25">
        <f t="shared" si="0"/>
        <v>-47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12142</v>
      </c>
      <c r="C18" s="11">
        <v>11444</v>
      </c>
      <c r="D18" s="11">
        <v>-1</v>
      </c>
      <c r="E18" s="11"/>
      <c r="F18" s="25">
        <f t="shared" si="0"/>
        <v>-697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/>
      <c r="C19" s="11"/>
      <c r="D19" s="11"/>
      <c r="E19" s="11"/>
      <c r="F19" s="25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/>
      <c r="C20" s="11"/>
      <c r="D20" s="11"/>
      <c r="E20" s="11"/>
      <c r="F20" s="25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/>
      <c r="C21" s="11"/>
      <c r="D21" s="11"/>
      <c r="E21" s="11"/>
      <c r="F21" s="25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/>
      <c r="C22" s="11"/>
      <c r="D22" s="11"/>
      <c r="E22" s="11"/>
      <c r="F22" s="25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128016</v>
      </c>
      <c r="C39" s="11">
        <f>SUM(C8:C38)</f>
        <v>125806</v>
      </c>
      <c r="D39" s="11">
        <f>SUM(D8:D38)</f>
        <v>-1</v>
      </c>
      <c r="E39" s="11">
        <f>SUM(E8:E38)</f>
        <v>0</v>
      </c>
      <c r="F39" s="11">
        <f>SUM(F8:F38)</f>
        <v>-2209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2.85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-6295.6500000000005</v>
      </c>
      <c r="J41" s="138"/>
      <c r="N41" s="138"/>
      <c r="R41" s="138"/>
      <c r="V41" s="138"/>
      <c r="Z41" s="138"/>
    </row>
    <row r="42" spans="1:26" x14ac:dyDescent="0.2">
      <c r="A42" s="57">
        <v>37103</v>
      </c>
      <c r="C42" s="15"/>
      <c r="D42" s="15"/>
      <c r="E42" s="15"/>
      <c r="F42" s="456">
        <v>442176.52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37114</v>
      </c>
      <c r="C43" s="48"/>
      <c r="D43" s="48"/>
      <c r="E43" s="48"/>
      <c r="F43" s="110">
        <f>+F42+F41</f>
        <v>435880.87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158</v>
      </c>
      <c r="B46" s="32"/>
      <c r="C46" s="32"/>
      <c r="D46" s="32"/>
      <c r="E46" s="11"/>
    </row>
    <row r="47" spans="1:26" x14ac:dyDescent="0.2">
      <c r="A47" s="49">
        <f>+A42</f>
        <v>37103</v>
      </c>
      <c r="B47" s="32"/>
      <c r="C47" s="32"/>
      <c r="D47" s="212">
        <v>-235778</v>
      </c>
      <c r="E47" s="11"/>
    </row>
    <row r="48" spans="1:26" x14ac:dyDescent="0.2">
      <c r="A48" s="49">
        <f>+A43</f>
        <v>37114</v>
      </c>
      <c r="B48" s="32"/>
      <c r="C48" s="32"/>
      <c r="D48" s="380">
        <f>+F39</f>
        <v>-2209</v>
      </c>
      <c r="E48" s="11"/>
    </row>
    <row r="49" spans="1:5" x14ac:dyDescent="0.2">
      <c r="A49" s="32"/>
      <c r="B49" s="32"/>
      <c r="C49" s="32"/>
      <c r="D49" s="14">
        <f>+D48+D47</f>
        <v>-237987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opLeftCell="A41" workbookViewId="2">
      <selection activeCell="B10" sqref="B10"/>
    </sheetView>
    <sheetView topLeftCell="A36" workbookViewId="3">
      <selection activeCell="G57" sqref="G57"/>
    </sheetView>
  </sheetViews>
  <sheetFormatPr defaultRowHeight="12.75" x14ac:dyDescent="0.2"/>
  <cols>
    <col min="1" max="1" width="16.42578125" style="295" customWidth="1"/>
    <col min="2" max="2" width="12.28515625" style="252" bestFit="1" customWidth="1"/>
    <col min="3" max="3" width="11.5703125" style="296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6" t="s">
        <v>146</v>
      </c>
      <c r="G2" s="397" t="s">
        <v>81</v>
      </c>
      <c r="H2" s="374"/>
    </row>
    <row r="3" spans="1:32" ht="15" customHeight="1" x14ac:dyDescent="0.2">
      <c r="G3" s="299" t="s">
        <v>30</v>
      </c>
      <c r="H3" s="373">
        <f>+'[1]0701'!$K$39</f>
        <v>2.61</v>
      </c>
      <c r="I3" s="409">
        <f ca="1">NOW()</f>
        <v>37116.674271759257</v>
      </c>
    </row>
    <row r="4" spans="1:32" ht="15" customHeight="1" x14ac:dyDescent="0.2">
      <c r="A4" s="34" t="s">
        <v>153</v>
      </c>
      <c r="C4" s="34" t="s">
        <v>5</v>
      </c>
      <c r="G4" s="300" t="s">
        <v>31</v>
      </c>
      <c r="H4" s="301">
        <f>+'[1]0701'!$M$39</f>
        <v>2.85</v>
      </c>
    </row>
    <row r="5" spans="1:32" ht="15" customHeight="1" x14ac:dyDescent="0.2">
      <c r="B5" s="368"/>
      <c r="G5" s="299" t="s">
        <v>120</v>
      </c>
      <c r="H5" s="373">
        <f>+'[1]0701'!$H$39</f>
        <v>2.97</v>
      </c>
    </row>
    <row r="6" spans="1:32" ht="15" customHeight="1" x14ac:dyDescent="0.2"/>
    <row r="7" spans="1:32" ht="15" customHeight="1" x14ac:dyDescent="0.2">
      <c r="A7" s="356" t="s">
        <v>92</v>
      </c>
      <c r="B7" s="357" t="s">
        <v>17</v>
      </c>
      <c r="C7" s="358" t="s">
        <v>0</v>
      </c>
      <c r="D7" s="5" t="s">
        <v>154</v>
      </c>
      <c r="E7" s="356" t="s">
        <v>93</v>
      </c>
      <c r="F7" s="359" t="s">
        <v>104</v>
      </c>
      <c r="G7" s="356" t="s">
        <v>101</v>
      </c>
    </row>
    <row r="8" spans="1:32" ht="15" customHeight="1" x14ac:dyDescent="0.2">
      <c r="A8" s="375" t="s">
        <v>29</v>
      </c>
      <c r="B8" s="376">
        <f>+C8*$H$3</f>
        <v>791639.1</v>
      </c>
      <c r="C8" s="285">
        <f>+williams!J40</f>
        <v>303310</v>
      </c>
      <c r="D8" s="398">
        <f>+williams!A40</f>
        <v>37115</v>
      </c>
      <c r="E8" s="206" t="s">
        <v>87</v>
      </c>
      <c r="F8" s="206" t="s">
        <v>152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53" t="s">
        <v>83</v>
      </c>
      <c r="B9" s="376">
        <f>+Conoco!$F$41</f>
        <v>653427.56999999995</v>
      </c>
      <c r="C9" s="285">
        <f>+B9/$H$4</f>
        <v>229272.83157894734</v>
      </c>
      <c r="D9" s="398">
        <f>+Conoco!A41</f>
        <v>37115</v>
      </c>
      <c r="E9" s="32" t="s">
        <v>88</v>
      </c>
      <c r="F9" s="32" t="s">
        <v>116</v>
      </c>
      <c r="G9" s="32" t="s">
        <v>150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375" t="s">
        <v>90</v>
      </c>
      <c r="B10" s="376">
        <f>+NNG!$D$24</f>
        <v>602830.13</v>
      </c>
      <c r="C10" s="285">
        <f>+B10/$H$4</f>
        <v>211519.34385964912</v>
      </c>
      <c r="D10" s="398">
        <f>+NNG!A24</f>
        <v>37114</v>
      </c>
      <c r="E10" s="206" t="s">
        <v>88</v>
      </c>
      <c r="F10" s="206" t="s">
        <v>103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3" t="s">
        <v>155</v>
      </c>
      <c r="B11" s="376">
        <f>+PGETX!$H$39</f>
        <v>475894.77</v>
      </c>
      <c r="C11" s="285">
        <f>+B11/$H$4</f>
        <v>166980.62105263158</v>
      </c>
      <c r="D11" s="399">
        <f>+PGETX!E39</f>
        <v>37114</v>
      </c>
      <c r="E11" s="32" t="s">
        <v>88</v>
      </c>
      <c r="F11" s="32" t="s">
        <v>105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3" t="s">
        <v>110</v>
      </c>
      <c r="B12" s="376">
        <f>+KN_Westar!F41</f>
        <v>465188.81</v>
      </c>
      <c r="C12" s="285">
        <f>+B12/$H$4</f>
        <v>163224.14385964911</v>
      </c>
      <c r="D12" s="399">
        <f>+KN_Westar!A41</f>
        <v>37115</v>
      </c>
      <c r="E12" s="32" t="s">
        <v>88</v>
      </c>
      <c r="F12" s="32" t="s">
        <v>103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3" t="s">
        <v>91</v>
      </c>
      <c r="B13" s="376">
        <f>+C13*$H$4</f>
        <v>463375.8</v>
      </c>
      <c r="C13" s="285">
        <f>+NGPL!F38</f>
        <v>162588</v>
      </c>
      <c r="D13" s="399">
        <f>+NGPL!A38</f>
        <v>37115</v>
      </c>
      <c r="E13" s="32" t="s">
        <v>87</v>
      </c>
      <c r="F13" s="32" t="s">
        <v>118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3" t="s">
        <v>3</v>
      </c>
      <c r="B14" s="376">
        <f>+'Amoco Abo'!$F$43</f>
        <v>435880.87</v>
      </c>
      <c r="C14" s="285">
        <f>+B14/$H$4</f>
        <v>152940.65614035088</v>
      </c>
      <c r="D14" s="399">
        <f>+'Amoco Abo'!A43</f>
        <v>37114</v>
      </c>
      <c r="E14" s="32" t="s">
        <v>88</v>
      </c>
      <c r="F14" s="32" t="s">
        <v>118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3" t="s">
        <v>113</v>
      </c>
      <c r="B15" s="376">
        <f>+CIG!$D$43</f>
        <v>422666.05</v>
      </c>
      <c r="C15" s="285">
        <f>+B15/$H$4</f>
        <v>148303.87719298244</v>
      </c>
      <c r="D15" s="399">
        <f>+CIG!A43</f>
        <v>37115</v>
      </c>
      <c r="E15" s="32" t="s">
        <v>88</v>
      </c>
      <c r="F15" s="32" t="s">
        <v>116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5" customHeight="1" x14ac:dyDescent="0.2">
      <c r="A16" s="253" t="s">
        <v>97</v>
      </c>
      <c r="B16" s="376">
        <f>+C16*$H$4</f>
        <v>406942.95</v>
      </c>
      <c r="C16" s="285">
        <f>+Mojave!D40</f>
        <v>142787</v>
      </c>
      <c r="D16" s="399">
        <f>+Mojave!A40</f>
        <v>37114</v>
      </c>
      <c r="E16" s="32" t="s">
        <v>87</v>
      </c>
      <c r="F16" s="32" t="s">
        <v>103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5" customHeight="1" x14ac:dyDescent="0.2">
      <c r="A17" s="253" t="s">
        <v>131</v>
      </c>
      <c r="B17" s="376">
        <f>+DEFS!F54</f>
        <v>379904.93000000017</v>
      </c>
      <c r="C17" s="208">
        <f>+B17/$H$4</f>
        <v>133299.97543859654</v>
      </c>
      <c r="D17" s="399">
        <f>+DEFS!A40</f>
        <v>37114</v>
      </c>
      <c r="E17" s="32" t="s">
        <v>88</v>
      </c>
      <c r="F17" s="32" t="s">
        <v>103</v>
      </c>
      <c r="G17" s="32" t="s">
        <v>121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5" customHeight="1" x14ac:dyDescent="0.2">
      <c r="A18" s="375" t="s">
        <v>33</v>
      </c>
      <c r="B18" s="376">
        <f>+C18*$H$4</f>
        <v>363987.75</v>
      </c>
      <c r="C18" s="208">
        <f>+SoCal!F40</f>
        <v>127715</v>
      </c>
      <c r="D18" s="398">
        <f>+SoCal!A40</f>
        <v>37115</v>
      </c>
      <c r="E18" s="206" t="s">
        <v>87</v>
      </c>
      <c r="F18" s="206" t="s">
        <v>105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5" customHeight="1" x14ac:dyDescent="0.2">
      <c r="A19" s="253" t="s">
        <v>24</v>
      </c>
      <c r="B19" s="464">
        <f>+C19*H3</f>
        <v>359172.54</v>
      </c>
      <c r="C19" s="378">
        <f>+'Red C'!F43</f>
        <v>137614</v>
      </c>
      <c r="D19" s="398">
        <f>+'Red C'!B43</f>
        <v>37115</v>
      </c>
      <c r="E19" s="206" t="s">
        <v>87</v>
      </c>
      <c r="F19" s="32" t="s">
        <v>118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5" customHeight="1" x14ac:dyDescent="0.2">
      <c r="A20" s="253" t="s">
        <v>2</v>
      </c>
      <c r="B20" s="376">
        <f>+mewborne!$J$43</f>
        <v>334244.33</v>
      </c>
      <c r="C20" s="285">
        <f>+B20/$H$4</f>
        <v>117278.71228070176</v>
      </c>
      <c r="D20" s="399">
        <f>+mewborne!A43</f>
        <v>37114</v>
      </c>
      <c r="E20" s="32" t="s">
        <v>88</v>
      </c>
      <c r="F20" s="32" t="s">
        <v>102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5" customHeight="1" x14ac:dyDescent="0.2">
      <c r="A21" s="253" t="s">
        <v>6</v>
      </c>
      <c r="B21" s="376">
        <f>+C21*$H$3</f>
        <v>220479.75</v>
      </c>
      <c r="C21" s="285">
        <f>+Amoco!D40</f>
        <v>84475</v>
      </c>
      <c r="D21" s="399">
        <f>+Amoco!A40</f>
        <v>37115</v>
      </c>
      <c r="E21" s="32" t="s">
        <v>87</v>
      </c>
      <c r="F21" s="32" t="s">
        <v>118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5" customHeight="1" x14ac:dyDescent="0.2">
      <c r="A22" s="253" t="s">
        <v>149</v>
      </c>
      <c r="B22" s="377">
        <f>+C22*$H$4</f>
        <v>183782.25</v>
      </c>
      <c r="C22" s="378">
        <f>+PEPL!D41</f>
        <v>64485</v>
      </c>
      <c r="D22" s="399">
        <f>+PEPL!A41</f>
        <v>37115</v>
      </c>
      <c r="E22" s="32" t="s">
        <v>87</v>
      </c>
      <c r="F22" s="32" t="s">
        <v>103</v>
      </c>
      <c r="G22" s="32" t="s">
        <v>148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5" customHeight="1" x14ac:dyDescent="0.2">
      <c r="A23" s="253" t="s">
        <v>85</v>
      </c>
      <c r="B23" s="376">
        <f>+PNM!$D$23</f>
        <v>179471.61999999997</v>
      </c>
      <c r="C23" s="285">
        <f>+B23/$H$4</f>
        <v>62972.498245614021</v>
      </c>
      <c r="D23" s="399">
        <f>+PNM!A23</f>
        <v>37114</v>
      </c>
      <c r="E23" s="32" t="s">
        <v>88</v>
      </c>
      <c r="F23" s="32" t="s">
        <v>118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5" customHeight="1" x14ac:dyDescent="0.2">
      <c r="A24" s="253" t="s">
        <v>34</v>
      </c>
      <c r="B24" s="376">
        <f>+'El Paso'!C39*summary!H4+'El Paso'!E39*summary!H3</f>
        <v>166661.01</v>
      </c>
      <c r="C24" s="285">
        <f>+'El Paso'!H39</f>
        <v>57945</v>
      </c>
      <c r="D24" s="399">
        <f>+'El Paso'!A39</f>
        <v>37115</v>
      </c>
      <c r="E24" s="32" t="s">
        <v>87</v>
      </c>
      <c r="F24" s="32" t="s">
        <v>103</v>
      </c>
      <c r="G24" s="32" t="s">
        <v>122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5" customHeight="1" x14ac:dyDescent="0.2">
      <c r="A25" s="253" t="s">
        <v>106</v>
      </c>
      <c r="B25" s="376">
        <f>+EOG!J41</f>
        <v>160747.45000000001</v>
      </c>
      <c r="C25" s="285">
        <f>+B25/$H$4</f>
        <v>56402.614035087725</v>
      </c>
      <c r="D25" s="398">
        <f>+EOG!A41</f>
        <v>37115</v>
      </c>
      <c r="E25" s="32" t="s">
        <v>88</v>
      </c>
      <c r="F25" s="32" t="s">
        <v>105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5" customHeight="1" x14ac:dyDescent="0.2">
      <c r="A26" s="253" t="s">
        <v>136</v>
      </c>
      <c r="B26" s="376">
        <f>+SidR!D41</f>
        <v>159587.32999999999</v>
      </c>
      <c r="C26" s="285">
        <f>+B26/$H$4</f>
        <v>55995.554385964904</v>
      </c>
      <c r="D26" s="399">
        <f>+SidR!A41</f>
        <v>37115</v>
      </c>
      <c r="E26" s="32" t="s">
        <v>88</v>
      </c>
      <c r="F26" s="32" t="s">
        <v>105</v>
      </c>
      <c r="G26" s="32" t="s">
        <v>169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5" customHeight="1" x14ac:dyDescent="0.2">
      <c r="A27" s="253" t="s">
        <v>32</v>
      </c>
      <c r="B27" s="376">
        <f>+C27*$H$4</f>
        <v>146792.1</v>
      </c>
      <c r="C27" s="285">
        <f>+Lonestar!F42</f>
        <v>51506</v>
      </c>
      <c r="D27" s="398">
        <f>+Lonestar!B42</f>
        <v>37115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5" customHeight="1" x14ac:dyDescent="0.2">
      <c r="A28" s="253" t="s">
        <v>7</v>
      </c>
      <c r="B28" s="376">
        <f>+C28*$H$4</f>
        <v>109109.40000000001</v>
      </c>
      <c r="C28" s="208">
        <f>+Oasis!D40</f>
        <v>38284</v>
      </c>
      <c r="D28" s="399">
        <f>+Oasis!B40</f>
        <v>37115</v>
      </c>
      <c r="E28" s="32" t="s">
        <v>87</v>
      </c>
      <c r="F28" s="32" t="s">
        <v>105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5" customHeight="1" x14ac:dyDescent="0.2">
      <c r="A29" s="253" t="s">
        <v>117</v>
      </c>
      <c r="B29" s="376">
        <f>+C29*$H$4</f>
        <v>70608.75</v>
      </c>
      <c r="C29" s="208">
        <f>+'PG&amp;E'!D40</f>
        <v>24775</v>
      </c>
      <c r="D29" s="399">
        <f>+'PG&amp;E'!A40</f>
        <v>37115</v>
      </c>
      <c r="E29" s="32" t="s">
        <v>87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5" customHeight="1" x14ac:dyDescent="0.2">
      <c r="A30" s="375" t="s">
        <v>98</v>
      </c>
      <c r="B30" s="376">
        <f>+burlington!D42</f>
        <v>23583.75</v>
      </c>
      <c r="C30" s="285">
        <f>+B30/$H$3</f>
        <v>9035.9195402298847</v>
      </c>
      <c r="D30" s="398">
        <f>+burlington!A42</f>
        <v>37115</v>
      </c>
      <c r="E30" s="206" t="s">
        <v>88</v>
      </c>
      <c r="F30" s="32" t="s">
        <v>116</v>
      </c>
      <c r="G30" s="32" t="s">
        <v>151</v>
      </c>
      <c r="H30" s="206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5" customHeight="1" x14ac:dyDescent="0.2">
      <c r="A31" s="253" t="s">
        <v>1</v>
      </c>
      <c r="B31" s="376">
        <f>+C31*$H$3</f>
        <v>19851.66</v>
      </c>
      <c r="C31" s="208">
        <f>+NW!$F$41</f>
        <v>7606</v>
      </c>
      <c r="D31" s="398">
        <f>+NW!B41</f>
        <v>37115</v>
      </c>
      <c r="E31" s="32" t="s">
        <v>87</v>
      </c>
      <c r="F31" s="32" t="s">
        <v>118</v>
      </c>
      <c r="G31" s="38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5" customHeight="1" x14ac:dyDescent="0.2">
      <c r="A32" s="375" t="s">
        <v>74</v>
      </c>
      <c r="B32" s="429">
        <f>+transcol!$D$43</f>
        <v>2336.9000000000015</v>
      </c>
      <c r="C32" s="293">
        <f>+B32/$H$4</f>
        <v>819.96491228070226</v>
      </c>
      <c r="D32" s="398">
        <f>+transcol!A43</f>
        <v>37114</v>
      </c>
      <c r="E32" s="206" t="s">
        <v>88</v>
      </c>
      <c r="F32" s="206" t="s">
        <v>118</v>
      </c>
      <c r="G32" s="304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8" customHeight="1" x14ac:dyDescent="0.2">
      <c r="A33" s="32" t="s">
        <v>99</v>
      </c>
      <c r="B33" s="47">
        <f>SUM(B8:B32)</f>
        <v>7598167.5700000012</v>
      </c>
      <c r="C33" s="69">
        <f>SUM(C8:C32)</f>
        <v>2711136.712522686</v>
      </c>
      <c r="D33" s="205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5" customHeight="1" x14ac:dyDescent="0.2">
      <c r="A34" s="32"/>
      <c r="B34" s="47"/>
      <c r="C34" s="69"/>
      <c r="D34" s="205"/>
      <c r="E34" s="32"/>
      <c r="F34" s="381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56" t="s">
        <v>92</v>
      </c>
      <c r="B35" s="357" t="s">
        <v>17</v>
      </c>
      <c r="C35" s="358" t="s">
        <v>0</v>
      </c>
      <c r="D35" s="367" t="s">
        <v>154</v>
      </c>
      <c r="E35" s="356" t="s">
        <v>93</v>
      </c>
      <c r="F35" s="359" t="s">
        <v>104</v>
      </c>
      <c r="G35" s="356" t="s">
        <v>101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75" t="s">
        <v>140</v>
      </c>
      <c r="B36" s="376">
        <f>+Citizens!D18</f>
        <v>-826908.71000000008</v>
      </c>
      <c r="C36" s="208">
        <f>+B36/$H$4</f>
        <v>-290143.40701754385</v>
      </c>
      <c r="D36" s="398">
        <f>+Citizens!A18</f>
        <v>37114</v>
      </c>
      <c r="E36" s="206" t="s">
        <v>88</v>
      </c>
      <c r="F36" s="206" t="s">
        <v>102</v>
      </c>
      <c r="G36" s="38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253" t="s">
        <v>138</v>
      </c>
      <c r="B37" s="376">
        <f>+'NS Steel'!D41</f>
        <v>-423610.54000000004</v>
      </c>
      <c r="C37" s="208">
        <f>+B37/$H$4</f>
        <v>-148635.27719298247</v>
      </c>
      <c r="D37" s="399">
        <f>+'NS Steel'!A41</f>
        <v>37115</v>
      </c>
      <c r="E37" s="32" t="s">
        <v>88</v>
      </c>
      <c r="F37" s="32" t="s">
        <v>103</v>
      </c>
      <c r="G37" s="38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253" t="s">
        <v>145</v>
      </c>
      <c r="B38" s="376">
        <f>+'Citizens-Griffith'!D41</f>
        <v>-299819.02</v>
      </c>
      <c r="C38" s="285">
        <f>+B38/$H$4</f>
        <v>-105199.65614035088</v>
      </c>
      <c r="D38" s="398">
        <f>+'Citizens-Griffith'!A41</f>
        <v>37115</v>
      </c>
      <c r="E38" s="32" t="s">
        <v>88</v>
      </c>
      <c r="F38" s="32" t="s">
        <v>102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375" t="s">
        <v>82</v>
      </c>
      <c r="B39" s="376">
        <f>+Agave!$D$24</f>
        <v>-172726.2</v>
      </c>
      <c r="C39" s="208">
        <f>+B39/$H$4</f>
        <v>-60605.68421052632</v>
      </c>
      <c r="D39" s="398">
        <f>+Agave!A24</f>
        <v>37114</v>
      </c>
      <c r="E39" s="206" t="s">
        <v>88</v>
      </c>
      <c r="F39" s="206" t="s">
        <v>105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">
      <c r="A40" s="253" t="s">
        <v>134</v>
      </c>
      <c r="B40" s="376">
        <f>+EPFS!D41</f>
        <v>-78101.179999999993</v>
      </c>
      <c r="C40" s="208">
        <f>+B40/$H$5</f>
        <v>-26296.693602693598</v>
      </c>
      <c r="D40" s="398">
        <f>+EPFS!A41</f>
        <v>37115</v>
      </c>
      <c r="E40" s="32" t="s">
        <v>88</v>
      </c>
      <c r="F40" s="32" t="s">
        <v>105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">
      <c r="A41" s="253" t="s">
        <v>112</v>
      </c>
      <c r="B41" s="376">
        <f>+Continental!F43</f>
        <v>-5216.57</v>
      </c>
      <c r="C41" s="208">
        <f>+B41/$H$4</f>
        <v>-1830.375438596491</v>
      </c>
      <c r="D41" s="399">
        <f>+Continental!A43</f>
        <v>37109</v>
      </c>
      <c r="E41" s="32" t="s">
        <v>88</v>
      </c>
      <c r="F41" s="32" t="s">
        <v>118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5" customHeight="1" x14ac:dyDescent="0.2">
      <c r="A42" s="375" t="s">
        <v>132</v>
      </c>
      <c r="B42" s="379">
        <f>+Calpine!D41</f>
        <v>-5050.3900000000031</v>
      </c>
      <c r="C42" s="380">
        <f>+B42/$H$4</f>
        <v>-1772.0666666666677</v>
      </c>
      <c r="D42" s="398">
        <f>+Calpine!A41</f>
        <v>37115</v>
      </c>
      <c r="E42" s="206" t="s">
        <v>88</v>
      </c>
      <c r="F42" s="206" t="s">
        <v>102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76">
        <f>SUM(B36:B42)</f>
        <v>-1811432.6099999999</v>
      </c>
      <c r="C43" s="208">
        <f>SUM(C36:C42)</f>
        <v>-634483.16026936017</v>
      </c>
      <c r="D43" s="383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8" customHeight="1" x14ac:dyDescent="0.2">
      <c r="A44" s="32"/>
      <c r="B44" s="379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384">
        <f>+B43+B33</f>
        <v>5786734.9600000009</v>
      </c>
      <c r="C45" s="385">
        <f>+C43+C33</f>
        <v>2076653.5522533259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86"/>
      <c r="C60" s="387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388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5"/>
      <c r="D66" s="389"/>
      <c r="E66" s="390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5"/>
      <c r="D67" s="391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5"/>
      <c r="D68" s="391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5"/>
      <c r="D69" s="39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5"/>
      <c r="D70" s="393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394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394"/>
      <c r="C72" s="69"/>
      <c r="D72" s="388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395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395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394"/>
      <c r="C75" s="14"/>
      <c r="D75" s="388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94"/>
      <c r="C76" s="69"/>
      <c r="D76" s="388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94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86"/>
      <c r="C78" s="396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5"/>
      <c r="C6" s="80"/>
      <c r="D6" s="80">
        <f t="shared" ref="D6:D14" si="0">+C6-B6</f>
        <v>0</v>
      </c>
    </row>
    <row r="7" spans="1:8" x14ac:dyDescent="0.2">
      <c r="A7" s="32">
        <v>3531</v>
      </c>
      <c r="B7" s="323">
        <v>-297163</v>
      </c>
      <c r="C7" s="80">
        <v>-148335</v>
      </c>
      <c r="D7" s="80">
        <f t="shared" si="0"/>
        <v>148828</v>
      </c>
    </row>
    <row r="8" spans="1:8" x14ac:dyDescent="0.2">
      <c r="A8" s="32">
        <v>60667</v>
      </c>
      <c r="B8" s="323">
        <v>-18400</v>
      </c>
      <c r="C8" s="80"/>
      <c r="D8" s="80">
        <f t="shared" si="0"/>
        <v>18400</v>
      </c>
      <c r="H8" s="254"/>
    </row>
    <row r="9" spans="1:8" x14ac:dyDescent="0.2">
      <c r="A9" s="32">
        <v>60749</v>
      </c>
      <c r="B9" s="323">
        <v>337577</v>
      </c>
      <c r="C9" s="80">
        <v>109694</v>
      </c>
      <c r="D9" s="80">
        <f t="shared" si="0"/>
        <v>-227883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-35512</v>
      </c>
    </row>
    <row r="19" spans="1:5" x14ac:dyDescent="0.2">
      <c r="A19" s="32" t="s">
        <v>84</v>
      </c>
      <c r="B19" s="69"/>
      <c r="C19" s="69"/>
      <c r="D19" s="73">
        <f>+summary!H4</f>
        <v>2.85</v>
      </c>
    </row>
    <row r="20" spans="1:5" x14ac:dyDescent="0.2">
      <c r="B20" s="69"/>
      <c r="C20" s="69"/>
      <c r="D20" s="75">
        <f>+D19*D18</f>
        <v>-101209.2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453">
        <v>704039.33</v>
      </c>
      <c r="E22" s="254"/>
    </row>
    <row r="23" spans="1:5" x14ac:dyDescent="0.2">
      <c r="B23" s="69"/>
      <c r="C23" s="80"/>
      <c r="D23" s="298"/>
      <c r="E23" s="254"/>
    </row>
    <row r="24" spans="1:5" ht="12" thickBot="1" x14ac:dyDescent="0.25">
      <c r="A24" s="49">
        <v>37114</v>
      </c>
      <c r="B24" s="69"/>
      <c r="C24" s="69"/>
      <c r="D24" s="352">
        <f>+D22+D20</f>
        <v>602830.13</v>
      </c>
      <c r="E24" s="254"/>
    </row>
    <row r="25" spans="1:5" ht="12" thickTop="1" x14ac:dyDescent="0.2">
      <c r="B25" s="69"/>
      <c r="C25" s="69"/>
      <c r="D25" s="69"/>
      <c r="E25" s="254"/>
    </row>
    <row r="31" spans="1:5" x14ac:dyDescent="0.2">
      <c r="A31" s="32" t="s">
        <v>158</v>
      </c>
    </row>
    <row r="32" spans="1:5" x14ac:dyDescent="0.2">
      <c r="A32" s="49">
        <f>+A22</f>
        <v>37103</v>
      </c>
      <c r="D32" s="212">
        <v>80036</v>
      </c>
    </row>
    <row r="33" spans="1:4" x14ac:dyDescent="0.2">
      <c r="A33" s="49">
        <f>+A24</f>
        <v>37114</v>
      </c>
      <c r="D33" s="380">
        <f>+D18</f>
        <v>-35512</v>
      </c>
    </row>
    <row r="34" spans="1:4" x14ac:dyDescent="0.2">
      <c r="D34" s="14">
        <f>+D33+D32</f>
        <v>44524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A24" sqref="A24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9236</v>
      </c>
      <c r="B5" s="365">
        <v>-26264</v>
      </c>
      <c r="C5" s="90">
        <v>-14608</v>
      </c>
      <c r="D5" s="90">
        <f t="shared" ref="D5:D13" si="0">+C5-B5</f>
        <v>11656</v>
      </c>
      <c r="E5" s="69"/>
      <c r="F5" s="70"/>
    </row>
    <row r="6" spans="1:13" x14ac:dyDescent="0.2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5">
        <v>-1163062</v>
      </c>
      <c r="C7" s="90">
        <v>-1295806</v>
      </c>
      <c r="D7" s="90">
        <f t="shared" si="0"/>
        <v>-132744</v>
      </c>
      <c r="E7" s="285"/>
      <c r="F7" s="70"/>
    </row>
    <row r="8" spans="1:13" x14ac:dyDescent="0.2">
      <c r="A8" s="87">
        <v>58710</v>
      </c>
      <c r="B8" s="365">
        <v>-21847</v>
      </c>
      <c r="C8" s="90">
        <v>-484</v>
      </c>
      <c r="D8" s="90">
        <f t="shared" si="0"/>
        <v>21363</v>
      </c>
      <c r="E8" s="285"/>
      <c r="F8" s="70"/>
    </row>
    <row r="9" spans="1:13" x14ac:dyDescent="0.2">
      <c r="A9" s="87">
        <v>60921</v>
      </c>
      <c r="B9" s="319">
        <v>1006064</v>
      </c>
      <c r="C9" s="90">
        <v>1043670</v>
      </c>
      <c r="D9" s="90">
        <f t="shared" si="0"/>
        <v>37606</v>
      </c>
      <c r="E9" s="285"/>
      <c r="F9" s="70"/>
    </row>
    <row r="10" spans="1:13" x14ac:dyDescent="0.2">
      <c r="A10" s="87">
        <v>78026</v>
      </c>
      <c r="B10" s="365"/>
      <c r="C10" s="90">
        <v>24400</v>
      </c>
      <c r="D10" s="90">
        <f t="shared" si="0"/>
        <v>24400</v>
      </c>
      <c r="E10" s="285"/>
      <c r="F10" s="283"/>
    </row>
    <row r="11" spans="1:13" x14ac:dyDescent="0.2">
      <c r="A11" s="87">
        <v>500084</v>
      </c>
      <c r="B11" s="365">
        <v>-7547</v>
      </c>
      <c r="C11" s="90">
        <v>-11000</v>
      </c>
      <c r="D11" s="90">
        <f t="shared" si="0"/>
        <v>-3453</v>
      </c>
      <c r="E11" s="286"/>
      <c r="F11" s="283"/>
    </row>
    <row r="12" spans="1:13" x14ac:dyDescent="0.2">
      <c r="A12" s="333">
        <v>500085</v>
      </c>
      <c r="B12" s="365"/>
      <c r="C12" s="90"/>
      <c r="D12" s="90">
        <f t="shared" si="0"/>
        <v>0</v>
      </c>
      <c r="E12" s="285"/>
      <c r="F12" s="283"/>
    </row>
    <row r="13" spans="1:13" x14ac:dyDescent="0.2">
      <c r="A13" s="87">
        <v>500097</v>
      </c>
      <c r="B13" s="336">
        <v>-11</v>
      </c>
      <c r="C13" s="90"/>
      <c r="D13" s="90">
        <f t="shared" si="0"/>
        <v>11</v>
      </c>
      <c r="E13" s="285"/>
      <c r="F13" s="283"/>
    </row>
    <row r="14" spans="1:13" x14ac:dyDescent="0.2">
      <c r="A14" s="87"/>
      <c r="B14" s="90"/>
      <c r="C14" s="90"/>
      <c r="D14" s="90"/>
      <c r="E14" s="285"/>
      <c r="F14" s="283"/>
    </row>
    <row r="15" spans="1:13" x14ac:dyDescent="0.2">
      <c r="A15" s="87"/>
      <c r="B15" s="90"/>
      <c r="C15" s="90"/>
      <c r="D15" s="90"/>
      <c r="E15" s="285"/>
      <c r="F15" s="283"/>
    </row>
    <row r="16" spans="1:13" x14ac:dyDescent="0.2">
      <c r="A16" s="87"/>
      <c r="B16" s="88"/>
      <c r="C16" s="88"/>
      <c r="D16" s="94"/>
      <c r="E16" s="285"/>
      <c r="F16" s="283"/>
    </row>
    <row r="17" spans="1:7" x14ac:dyDescent="0.2">
      <c r="A17" s="87"/>
      <c r="B17" s="88"/>
      <c r="C17" s="88"/>
      <c r="D17" s="88">
        <f>SUM(D5:D16)</f>
        <v>-41161</v>
      </c>
      <c r="E17" s="285"/>
      <c r="F17" s="283"/>
    </row>
    <row r="18" spans="1:7" x14ac:dyDescent="0.2">
      <c r="A18" s="87" t="s">
        <v>84</v>
      </c>
      <c r="B18" s="88"/>
      <c r="C18" s="88"/>
      <c r="D18" s="95">
        <f>+summary!H4</f>
        <v>2.85</v>
      </c>
      <c r="E18" s="287"/>
      <c r="F18" s="283"/>
    </row>
    <row r="19" spans="1:7" x14ac:dyDescent="0.2">
      <c r="A19" s="87"/>
      <c r="B19" s="88"/>
      <c r="C19" s="88"/>
      <c r="D19" s="96">
        <f>+D18*D17</f>
        <v>-117308.85</v>
      </c>
      <c r="E19" s="209"/>
      <c r="F19" s="284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37103</v>
      </c>
      <c r="B21" s="88"/>
      <c r="C21" s="88"/>
      <c r="D21" s="458">
        <v>296780.46999999997</v>
      </c>
      <c r="E21" s="209"/>
      <c r="F21" s="66"/>
    </row>
    <row r="22" spans="1:7" x14ac:dyDescent="0.2">
      <c r="A22" s="87"/>
      <c r="B22" s="88"/>
      <c r="C22" s="88"/>
      <c r="D22" s="322"/>
      <c r="E22" s="209"/>
      <c r="F22" s="66"/>
    </row>
    <row r="23" spans="1:7" ht="13.5" thickBot="1" x14ac:dyDescent="0.25">
      <c r="A23" s="99">
        <v>37114</v>
      </c>
      <c r="B23" s="88"/>
      <c r="C23" s="88"/>
      <c r="D23" s="334">
        <f>+D21+D19</f>
        <v>179471.61999999997</v>
      </c>
      <c r="E23" s="209"/>
      <c r="F23" s="66"/>
    </row>
    <row r="24" spans="1:7" ht="13.5" thickTop="1" x14ac:dyDescent="0.2">
      <c r="E24" s="288"/>
    </row>
    <row r="25" spans="1:7" x14ac:dyDescent="0.2">
      <c r="E25" s="288"/>
    </row>
    <row r="27" spans="1:7" x14ac:dyDescent="0.2">
      <c r="A27" s="32" t="s">
        <v>158</v>
      </c>
      <c r="B27" s="32"/>
      <c r="C27" s="32"/>
      <c r="D27" s="32"/>
    </row>
    <row r="28" spans="1:7" x14ac:dyDescent="0.2">
      <c r="A28" s="49">
        <f>+A21</f>
        <v>37103</v>
      </c>
      <c r="B28" s="32"/>
      <c r="C28" s="32"/>
      <c r="D28" s="212">
        <v>67620</v>
      </c>
    </row>
    <row r="29" spans="1:7" x14ac:dyDescent="0.2">
      <c r="A29" s="49">
        <v>37114</v>
      </c>
      <c r="B29" s="32"/>
      <c r="C29" s="32"/>
      <c r="D29" s="380">
        <f>+D17</f>
        <v>-41161</v>
      </c>
    </row>
    <row r="30" spans="1:7" x14ac:dyDescent="0.2">
      <c r="A30" s="32"/>
      <c r="B30" s="32"/>
      <c r="C30" s="32"/>
      <c r="D30" s="14">
        <f>+D29+D28</f>
        <v>26459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5"/>
      <c r="E36" s="69"/>
      <c r="F36" s="70"/>
      <c r="G36" s="32"/>
    </row>
    <row r="37" spans="1:7" x14ac:dyDescent="0.2">
      <c r="B37" s="69"/>
      <c r="C37" s="69"/>
      <c r="D37" s="305"/>
      <c r="E37" s="69"/>
      <c r="F37" s="70"/>
      <c r="G37" s="32"/>
    </row>
    <row r="38" spans="1:7" x14ac:dyDescent="0.2">
      <c r="B38" s="69"/>
      <c r="C38" s="69"/>
      <c r="D38" s="305"/>
      <c r="E38" s="69"/>
      <c r="F38" s="70"/>
      <c r="G38" s="32"/>
    </row>
    <row r="39" spans="1:7" x14ac:dyDescent="0.2">
      <c r="B39" s="69"/>
      <c r="C39" s="69"/>
      <c r="D39" s="305"/>
      <c r="E39" s="69"/>
      <c r="F39" s="70"/>
      <c r="G39" s="32"/>
    </row>
    <row r="40" spans="1:7" x14ac:dyDescent="0.2">
      <c r="B40" s="69"/>
      <c r="C40" s="69"/>
      <c r="D40" s="305"/>
      <c r="E40" s="69"/>
      <c r="F40" s="70"/>
      <c r="G40" s="32"/>
    </row>
    <row r="41" spans="1:7" x14ac:dyDescent="0.2">
      <c r="B41" s="69"/>
      <c r="C41" s="69"/>
      <c r="D41" s="305"/>
      <c r="E41" s="69"/>
      <c r="F41" s="70"/>
      <c r="G41" s="32"/>
    </row>
    <row r="42" spans="1:7" x14ac:dyDescent="0.2">
      <c r="B42" s="69"/>
      <c r="C42" s="69"/>
      <c r="D42" s="305"/>
      <c r="E42" s="69"/>
      <c r="F42" s="70"/>
      <c r="G42" s="32"/>
    </row>
    <row r="43" spans="1:7" x14ac:dyDescent="0.2">
      <c r="B43" s="69"/>
      <c r="C43" s="69"/>
      <c r="D43" s="305"/>
      <c r="E43" s="69"/>
      <c r="F43" s="70"/>
      <c r="G43" s="32"/>
    </row>
    <row r="44" spans="1:7" x14ac:dyDescent="0.2">
      <c r="B44" s="69"/>
      <c r="C44" s="69"/>
      <c r="D44" s="306"/>
      <c r="E44" s="285"/>
      <c r="F44" s="283"/>
      <c r="G44" s="206"/>
    </row>
    <row r="45" spans="1:7" x14ac:dyDescent="0.2">
      <c r="B45" s="69"/>
      <c r="C45" s="69"/>
      <c r="D45" s="306"/>
      <c r="E45" s="285"/>
      <c r="F45" s="283"/>
      <c r="G45" s="206"/>
    </row>
    <row r="46" spans="1:7" x14ac:dyDescent="0.2">
      <c r="A46" s="32"/>
      <c r="B46" s="69"/>
      <c r="C46" s="69"/>
      <c r="D46" s="285"/>
      <c r="E46" s="285"/>
      <c r="F46" s="283"/>
      <c r="G46" s="206"/>
    </row>
    <row r="47" spans="1:7" x14ac:dyDescent="0.2">
      <c r="A47" s="32"/>
      <c r="B47" s="69"/>
      <c r="C47" s="69"/>
      <c r="D47" s="287"/>
      <c r="E47" s="287"/>
      <c r="F47" s="283"/>
      <c r="G47" s="206"/>
    </row>
    <row r="48" spans="1:7" x14ac:dyDescent="0.2">
      <c r="B48" s="69"/>
      <c r="C48" s="69"/>
      <c r="D48" s="285"/>
      <c r="E48" s="285"/>
      <c r="F48" s="284"/>
      <c r="G48" s="206"/>
    </row>
    <row r="49" spans="1:7" x14ac:dyDescent="0.2">
      <c r="B49" s="69"/>
      <c r="C49" s="69"/>
      <c r="D49" s="285"/>
      <c r="E49" s="285"/>
      <c r="F49" s="284"/>
      <c r="G49" s="206"/>
    </row>
    <row r="50" spans="1:7" x14ac:dyDescent="0.2">
      <c r="C50" s="302"/>
      <c r="D50" s="302"/>
      <c r="E50" s="302"/>
      <c r="F50" s="303"/>
      <c r="G50" s="304"/>
    </row>
    <row r="51" spans="1:7" x14ac:dyDescent="0.2">
      <c r="A51" s="32"/>
      <c r="C51" s="302"/>
      <c r="D51" s="302"/>
      <c r="E51" s="302"/>
      <c r="F51" s="303"/>
    </row>
    <row r="52" spans="1:7" x14ac:dyDescent="0.2">
      <c r="A52" s="32"/>
      <c r="C52" s="302"/>
      <c r="D52" s="302"/>
      <c r="E52" s="302"/>
      <c r="F52" s="303"/>
    </row>
    <row r="53" spans="1:7" x14ac:dyDescent="0.2">
      <c r="A53" s="32"/>
      <c r="C53" s="302"/>
      <c r="D53" s="302"/>
      <c r="E53" s="302"/>
      <c r="F53" s="303"/>
    </row>
    <row r="54" spans="1:7" x14ac:dyDescent="0.2">
      <c r="A54" s="32"/>
      <c r="C54" s="302"/>
      <c r="D54" s="302"/>
      <c r="E54" s="302"/>
      <c r="F54" s="303"/>
    </row>
    <row r="55" spans="1:7" x14ac:dyDescent="0.2">
      <c r="A55" s="32"/>
      <c r="C55" s="302"/>
      <c r="D55" s="302"/>
      <c r="E55" s="288"/>
      <c r="F55" s="288"/>
    </row>
    <row r="56" spans="1:7" x14ac:dyDescent="0.2">
      <c r="C56" s="302"/>
      <c r="D56" s="302"/>
      <c r="E56" s="288"/>
      <c r="F56" s="288"/>
    </row>
    <row r="57" spans="1:7" x14ac:dyDescent="0.2">
      <c r="C57" s="302"/>
      <c r="D57" s="302"/>
      <c r="E57" s="288"/>
      <c r="F57" s="288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31" workbookViewId="3">
      <selection activeCell="D37" sqref="D37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">
      <c r="A8">
        <v>6</v>
      </c>
      <c r="B8" s="90">
        <v>39309</v>
      </c>
      <c r="C8" s="90">
        <v>39455</v>
      </c>
      <c r="D8" s="90"/>
      <c r="E8" s="90"/>
      <c r="F8" s="90">
        <f t="shared" si="0"/>
        <v>146</v>
      </c>
    </row>
    <row r="9" spans="1:6" x14ac:dyDescent="0.2">
      <c r="A9">
        <v>7</v>
      </c>
      <c r="B9" s="90">
        <v>17078</v>
      </c>
      <c r="C9" s="90">
        <v>21455</v>
      </c>
      <c r="D9" s="90"/>
      <c r="E9" s="90"/>
      <c r="F9" s="90">
        <f t="shared" si="0"/>
        <v>4377</v>
      </c>
    </row>
    <row r="10" spans="1:6" x14ac:dyDescent="0.2">
      <c r="A10">
        <v>8</v>
      </c>
      <c r="B10" s="90">
        <v>38021</v>
      </c>
      <c r="C10" s="90">
        <v>38122</v>
      </c>
      <c r="D10" s="90"/>
      <c r="E10" s="90"/>
      <c r="F10" s="90">
        <f t="shared" si="0"/>
        <v>101</v>
      </c>
    </row>
    <row r="11" spans="1:6" x14ac:dyDescent="0.2">
      <c r="A11">
        <v>9</v>
      </c>
      <c r="B11" s="90">
        <v>50313</v>
      </c>
      <c r="C11" s="90">
        <v>34788</v>
      </c>
      <c r="D11" s="90"/>
      <c r="E11" s="90"/>
      <c r="F11" s="90">
        <f t="shared" si="0"/>
        <v>-15525</v>
      </c>
    </row>
    <row r="12" spans="1:6" x14ac:dyDescent="0.2">
      <c r="A12">
        <v>10</v>
      </c>
      <c r="B12" s="90">
        <v>41422</v>
      </c>
      <c r="C12" s="90">
        <v>41455</v>
      </c>
      <c r="D12" s="90">
        <v>-663</v>
      </c>
      <c r="E12" s="90"/>
      <c r="F12" s="90">
        <f t="shared" si="0"/>
        <v>696</v>
      </c>
    </row>
    <row r="13" spans="1:6" x14ac:dyDescent="0.2">
      <c r="A13">
        <v>11</v>
      </c>
      <c r="B13" s="90">
        <v>41404</v>
      </c>
      <c r="C13" s="90">
        <v>41455</v>
      </c>
      <c r="D13" s="90">
        <v>-302</v>
      </c>
      <c r="E13" s="90"/>
      <c r="F13" s="90">
        <f t="shared" si="0"/>
        <v>353</v>
      </c>
    </row>
    <row r="14" spans="1:6" x14ac:dyDescent="0.2">
      <c r="A14">
        <v>12</v>
      </c>
      <c r="B14" s="88">
        <v>51512</v>
      </c>
      <c r="C14" s="88">
        <v>46739</v>
      </c>
      <c r="D14" s="88"/>
      <c r="E14" s="88"/>
      <c r="F14" s="90">
        <f t="shared" si="0"/>
        <v>-4773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">
      <c r="A20">
        <v>18</v>
      </c>
      <c r="B20" s="347"/>
      <c r="C20" s="347"/>
      <c r="D20" s="14"/>
      <c r="E20" s="14"/>
      <c r="F20" s="90">
        <f t="shared" si="0"/>
        <v>0</v>
      </c>
    </row>
    <row r="21" spans="1:6" x14ac:dyDescent="0.2">
      <c r="A21">
        <v>19</v>
      </c>
      <c r="B21" s="347"/>
      <c r="C21" s="347"/>
      <c r="D21" s="14"/>
      <c r="E21" s="14"/>
      <c r="F21" s="90">
        <f t="shared" si="0"/>
        <v>0</v>
      </c>
    </row>
    <row r="22" spans="1:6" x14ac:dyDescent="0.2">
      <c r="A22">
        <v>20</v>
      </c>
      <c r="B22" s="347"/>
      <c r="C22" s="347"/>
      <c r="D22" s="14"/>
      <c r="E22" s="14"/>
      <c r="F22" s="90">
        <f t="shared" si="0"/>
        <v>0</v>
      </c>
    </row>
    <row r="23" spans="1:6" x14ac:dyDescent="0.2">
      <c r="A23">
        <v>21</v>
      </c>
      <c r="B23" s="347"/>
      <c r="C23" s="347"/>
      <c r="D23" s="14"/>
      <c r="E23" s="14"/>
      <c r="F23" s="90">
        <f t="shared" si="0"/>
        <v>0</v>
      </c>
    </row>
    <row r="24" spans="1:6" x14ac:dyDescent="0.2">
      <c r="A24">
        <v>22</v>
      </c>
      <c r="B24" s="347"/>
      <c r="C24" s="347"/>
      <c r="D24" s="14"/>
      <c r="E24" s="14"/>
      <c r="F24" s="90">
        <f t="shared" si="0"/>
        <v>0</v>
      </c>
    </row>
    <row r="25" spans="1:6" x14ac:dyDescent="0.2">
      <c r="A25">
        <v>23</v>
      </c>
      <c r="B25" s="347"/>
      <c r="C25" s="347"/>
      <c r="D25" s="14"/>
      <c r="E25" s="14"/>
      <c r="F25" s="90">
        <f t="shared" si="0"/>
        <v>0</v>
      </c>
    </row>
    <row r="26" spans="1:6" x14ac:dyDescent="0.2">
      <c r="A26">
        <v>24</v>
      </c>
      <c r="B26" s="347"/>
      <c r="C26" s="347"/>
      <c r="D26" s="14"/>
      <c r="E26" s="14"/>
      <c r="F26" s="90">
        <f t="shared" si="0"/>
        <v>0</v>
      </c>
    </row>
    <row r="27" spans="1:6" x14ac:dyDescent="0.2">
      <c r="A27">
        <v>25</v>
      </c>
      <c r="B27" s="347"/>
      <c r="C27" s="347"/>
      <c r="D27" s="14"/>
      <c r="E27" s="14"/>
      <c r="F27" s="90">
        <f t="shared" si="0"/>
        <v>0</v>
      </c>
    </row>
    <row r="28" spans="1:6" x14ac:dyDescent="0.2">
      <c r="A28">
        <v>26</v>
      </c>
      <c r="B28" s="347"/>
      <c r="C28" s="347"/>
      <c r="D28" s="14"/>
      <c r="E28" s="14"/>
      <c r="F28" s="90">
        <f t="shared" si="0"/>
        <v>0</v>
      </c>
    </row>
    <row r="29" spans="1:6" x14ac:dyDescent="0.2">
      <c r="A29">
        <v>27</v>
      </c>
      <c r="B29" s="347"/>
      <c r="C29" s="347"/>
      <c r="D29" s="14"/>
      <c r="E29" s="14"/>
      <c r="F29" s="90">
        <f t="shared" si="0"/>
        <v>0</v>
      </c>
    </row>
    <row r="30" spans="1:6" x14ac:dyDescent="0.2">
      <c r="A30">
        <v>28</v>
      </c>
      <c r="B30" s="347"/>
      <c r="C30" s="347"/>
      <c r="D30" s="14"/>
      <c r="E30" s="14"/>
      <c r="F30" s="90">
        <f t="shared" si="0"/>
        <v>0</v>
      </c>
    </row>
    <row r="31" spans="1:6" x14ac:dyDescent="0.2">
      <c r="A31">
        <v>29</v>
      </c>
      <c r="B31" s="347"/>
      <c r="C31" s="347"/>
      <c r="D31" s="14"/>
      <c r="E31" s="14"/>
      <c r="F31" s="90">
        <f t="shared" si="0"/>
        <v>0</v>
      </c>
    </row>
    <row r="32" spans="1:6" x14ac:dyDescent="0.2">
      <c r="A32">
        <v>30</v>
      </c>
      <c r="B32" s="347"/>
      <c r="C32" s="347"/>
      <c r="D32" s="14"/>
      <c r="E32" s="14"/>
      <c r="F32" s="90">
        <f t="shared" si="0"/>
        <v>0</v>
      </c>
    </row>
    <row r="33" spans="1:6" x14ac:dyDescent="0.2">
      <c r="A33">
        <v>31</v>
      </c>
      <c r="B33" s="347"/>
      <c r="C33" s="347"/>
      <c r="D33" s="14"/>
      <c r="E33" s="14"/>
      <c r="F33" s="90">
        <f t="shared" si="0"/>
        <v>0</v>
      </c>
    </row>
    <row r="34" spans="1:6" x14ac:dyDescent="0.2">
      <c r="B34" s="297">
        <f>SUM(B3:B33)</f>
        <v>430226</v>
      </c>
      <c r="C34" s="297">
        <f>SUM(C3:C33)</f>
        <v>441307</v>
      </c>
      <c r="D34" s="14">
        <f>SUM(D3:D33)</f>
        <v>-965</v>
      </c>
      <c r="E34" s="14">
        <f>SUM(E3:E33)</f>
        <v>0</v>
      </c>
      <c r="F34" s="14">
        <f>SUM(F3:F33)</f>
        <v>12046</v>
      </c>
    </row>
    <row r="35" spans="1:6" x14ac:dyDescent="0.2">
      <c r="D35" s="14"/>
      <c r="E35" s="14"/>
      <c r="F35" s="14"/>
    </row>
    <row r="36" spans="1:6" x14ac:dyDescent="0.2">
      <c r="F36" s="351"/>
    </row>
    <row r="37" spans="1:6" x14ac:dyDescent="0.2">
      <c r="A37" s="263">
        <v>37103</v>
      </c>
      <c r="B37" s="14"/>
      <c r="C37" s="14"/>
      <c r="D37" s="14"/>
      <c r="E37" s="14"/>
      <c r="F37" s="452">
        <f>120271+30271</f>
        <v>150542</v>
      </c>
    </row>
    <row r="38" spans="1:6" x14ac:dyDescent="0.2">
      <c r="A38" s="263">
        <v>37115</v>
      </c>
      <c r="B38" s="14"/>
      <c r="C38" s="14"/>
      <c r="D38" s="14"/>
      <c r="E38" s="14"/>
      <c r="F38" s="150">
        <f>+F37+F34</f>
        <v>162588</v>
      </c>
    </row>
    <row r="39" spans="1:6" x14ac:dyDescent="0.2">
      <c r="F39" s="304"/>
    </row>
    <row r="40" spans="1:6" x14ac:dyDescent="0.2">
      <c r="F40" s="304"/>
    </row>
    <row r="41" spans="1:6" x14ac:dyDescent="0.2">
      <c r="F41" s="304"/>
    </row>
    <row r="42" spans="1:6" x14ac:dyDescent="0.2">
      <c r="A42" s="32" t="s">
        <v>159</v>
      </c>
      <c r="B42" s="32"/>
      <c r="C42" s="32"/>
      <c r="D42" s="47"/>
      <c r="F42" s="304"/>
    </row>
    <row r="43" spans="1:6" x14ac:dyDescent="0.2">
      <c r="A43" s="49">
        <f>+A37</f>
        <v>37103</v>
      </c>
      <c r="B43" s="32"/>
      <c r="C43" s="32"/>
      <c r="D43" s="446">
        <f>201367.37+184384.51</f>
        <v>385751.88</v>
      </c>
      <c r="F43" s="304"/>
    </row>
    <row r="44" spans="1:6" x14ac:dyDescent="0.2">
      <c r="A44" s="49">
        <f>+A38</f>
        <v>37115</v>
      </c>
      <c r="B44" s="32"/>
      <c r="C44" s="32"/>
      <c r="D44" s="410">
        <f>+F34*'by type'!J4</f>
        <v>34331.1</v>
      </c>
      <c r="F44" s="304"/>
    </row>
    <row r="45" spans="1:6" x14ac:dyDescent="0.2">
      <c r="A45" s="32"/>
      <c r="B45" s="32"/>
      <c r="C45" s="32"/>
      <c r="D45" s="202">
        <f>+D44+D43</f>
        <v>420082.98</v>
      </c>
      <c r="F45" s="304"/>
    </row>
    <row r="46" spans="1:6" x14ac:dyDescent="0.2">
      <c r="F46" s="304"/>
    </row>
    <row r="47" spans="1:6" x14ac:dyDescent="0.2">
      <c r="F47" s="304"/>
    </row>
    <row r="48" spans="1:6" x14ac:dyDescent="0.2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9" workbookViewId="3">
      <selection activeCell="C38" sqref="C38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">
      <c r="A9" s="10">
        <v>6</v>
      </c>
      <c r="B9" s="11">
        <v>-20508</v>
      </c>
      <c r="C9" s="11">
        <v>-20000</v>
      </c>
      <c r="D9" s="25">
        <f t="shared" si="0"/>
        <v>508</v>
      </c>
    </row>
    <row r="10" spans="1:4" x14ac:dyDescent="0.2">
      <c r="A10" s="10">
        <v>7</v>
      </c>
      <c r="B10" s="129">
        <v>-20768</v>
      </c>
      <c r="C10" s="11">
        <v>-20000</v>
      </c>
      <c r="D10" s="25">
        <f t="shared" si="0"/>
        <v>768</v>
      </c>
    </row>
    <row r="11" spans="1:4" x14ac:dyDescent="0.2">
      <c r="A11" s="10">
        <v>8</v>
      </c>
      <c r="B11" s="11">
        <v>-21004</v>
      </c>
      <c r="C11" s="11">
        <v>-19966</v>
      </c>
      <c r="D11" s="25">
        <f t="shared" si="0"/>
        <v>1038</v>
      </c>
    </row>
    <row r="12" spans="1:4" x14ac:dyDescent="0.2">
      <c r="A12" s="10">
        <v>9</v>
      </c>
      <c r="B12" s="11">
        <v>-20992</v>
      </c>
      <c r="C12" s="11">
        <v>-20000</v>
      </c>
      <c r="D12" s="25">
        <f t="shared" si="0"/>
        <v>992</v>
      </c>
    </row>
    <row r="13" spans="1:4" x14ac:dyDescent="0.2">
      <c r="A13" s="10">
        <v>10</v>
      </c>
      <c r="B13" s="11">
        <v>-21007</v>
      </c>
      <c r="C13" s="11">
        <v>-20702</v>
      </c>
      <c r="D13" s="25">
        <f t="shared" si="0"/>
        <v>305</v>
      </c>
    </row>
    <row r="14" spans="1:4" x14ac:dyDescent="0.2">
      <c r="A14" s="10">
        <v>11</v>
      </c>
      <c r="B14" s="11">
        <v>-20996</v>
      </c>
      <c r="C14" s="11">
        <v>-19967</v>
      </c>
      <c r="D14" s="25">
        <f t="shared" si="0"/>
        <v>1029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-228228</v>
      </c>
      <c r="C35" s="11">
        <f>SUM(C4:C34)</f>
        <v>-221244</v>
      </c>
      <c r="D35" s="11">
        <f>SUM(D4:D34)</f>
        <v>6984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37103</v>
      </c>
      <c r="D38" s="247">
        <v>135803</v>
      </c>
    </row>
    <row r="39" spans="1:4" x14ac:dyDescent="0.2">
      <c r="A39" s="2"/>
      <c r="D39" s="24"/>
    </row>
    <row r="40" spans="1:4" x14ac:dyDescent="0.2">
      <c r="A40" s="57">
        <v>37114</v>
      </c>
      <c r="D40" s="51">
        <f>+D38+D35</f>
        <v>142787</v>
      </c>
    </row>
    <row r="44" spans="1:4" x14ac:dyDescent="0.2">
      <c r="A44" s="32" t="s">
        <v>159</v>
      </c>
      <c r="B44" s="32"/>
      <c r="C44" s="32"/>
      <c r="D44" s="47"/>
    </row>
    <row r="45" spans="1:4" x14ac:dyDescent="0.2">
      <c r="A45" s="49">
        <f>+A38</f>
        <v>37103</v>
      </c>
      <c r="B45" s="32"/>
      <c r="C45" s="32"/>
      <c r="D45" s="202">
        <v>82140</v>
      </c>
    </row>
    <row r="46" spans="1:4" x14ac:dyDescent="0.2">
      <c r="A46" s="49">
        <f>+A40</f>
        <v>37114</v>
      </c>
      <c r="B46" s="32"/>
      <c r="C46" s="32"/>
      <c r="D46" s="410">
        <f>+D35*'by type'!J4</f>
        <v>19904.400000000001</v>
      </c>
    </row>
    <row r="47" spans="1:4" x14ac:dyDescent="0.2">
      <c r="A47" s="32"/>
      <c r="B47" s="32"/>
      <c r="C47" s="32"/>
      <c r="D47" s="202">
        <f>+D46+D45</f>
        <v>102044.4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36" workbookViewId="3">
      <selection activeCell="F38" sqref="F38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24635</v>
      </c>
      <c r="C8" s="11">
        <v>26316</v>
      </c>
      <c r="D8" s="129">
        <v>9400</v>
      </c>
      <c r="E8" s="11">
        <v>8750</v>
      </c>
      <c r="F8" s="11"/>
      <c r="G8" s="11"/>
      <c r="H8" s="11"/>
      <c r="I8" s="11"/>
      <c r="J8" s="11">
        <f t="shared" si="0"/>
        <v>1031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24092</v>
      </c>
      <c r="C9" s="11">
        <v>26316</v>
      </c>
      <c r="D9" s="11">
        <v>9085</v>
      </c>
      <c r="E9" s="11">
        <v>8750</v>
      </c>
      <c r="F9" s="11"/>
      <c r="G9" s="11"/>
      <c r="H9" s="11"/>
      <c r="I9" s="11"/>
      <c r="J9" s="11">
        <f t="shared" si="0"/>
        <v>1889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23913</v>
      </c>
      <c r="C10" s="11">
        <v>26316</v>
      </c>
      <c r="D10" s="129">
        <v>7801</v>
      </c>
      <c r="E10" s="11">
        <v>8750</v>
      </c>
      <c r="F10" s="11"/>
      <c r="G10" s="11"/>
      <c r="H10" s="11">
        <v>67</v>
      </c>
      <c r="I10" s="11"/>
      <c r="J10" s="11">
        <f t="shared" si="0"/>
        <v>3285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23713</v>
      </c>
      <c r="C11" s="11">
        <v>26316</v>
      </c>
      <c r="D11" s="11">
        <v>9583</v>
      </c>
      <c r="E11" s="11">
        <v>8750</v>
      </c>
      <c r="F11" s="11"/>
      <c r="G11" s="11"/>
      <c r="H11" s="11"/>
      <c r="I11" s="11"/>
      <c r="J11" s="11">
        <f t="shared" si="0"/>
        <v>1770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23424</v>
      </c>
      <c r="C12" s="11">
        <v>22812</v>
      </c>
      <c r="D12" s="11">
        <v>9134</v>
      </c>
      <c r="E12" s="11">
        <v>8248</v>
      </c>
      <c r="F12" s="11"/>
      <c r="G12" s="11"/>
      <c r="H12" s="11"/>
      <c r="I12" s="11"/>
      <c r="J12" s="11">
        <f t="shared" si="0"/>
        <v>-1498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23086</v>
      </c>
      <c r="C13" s="11">
        <v>22816</v>
      </c>
      <c r="D13" s="11">
        <v>9222</v>
      </c>
      <c r="E13" s="11">
        <v>8250</v>
      </c>
      <c r="F13" s="11"/>
      <c r="G13" s="11"/>
      <c r="H13" s="11"/>
      <c r="I13" s="11"/>
      <c r="J13" s="11">
        <f t="shared" si="0"/>
        <v>-1242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22763</v>
      </c>
      <c r="C14" s="11">
        <v>22784</v>
      </c>
      <c r="D14" s="11">
        <v>9130</v>
      </c>
      <c r="E14" s="11">
        <v>8239</v>
      </c>
      <c r="F14" s="11"/>
      <c r="G14" s="11"/>
      <c r="H14" s="11"/>
      <c r="I14" s="11"/>
      <c r="J14" s="11">
        <f t="shared" si="0"/>
        <v>-870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22799</v>
      </c>
      <c r="C15" s="11">
        <v>22796</v>
      </c>
      <c r="D15" s="11">
        <v>9160</v>
      </c>
      <c r="E15" s="11">
        <v>8243</v>
      </c>
      <c r="F15" s="11"/>
      <c r="G15" s="11"/>
      <c r="H15" s="11"/>
      <c r="I15" s="11"/>
      <c r="J15" s="11">
        <f t="shared" si="0"/>
        <v>-920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289950</v>
      </c>
      <c r="C35" s="11">
        <f t="shared" ref="C35:I35" si="1">SUM(C4:C34)</f>
        <v>301313</v>
      </c>
      <c r="D35" s="11">
        <f t="shared" si="1"/>
        <v>110633</v>
      </c>
      <c r="E35" s="11">
        <f t="shared" si="1"/>
        <v>102898</v>
      </c>
      <c r="F35" s="11">
        <f t="shared" si="1"/>
        <v>0</v>
      </c>
      <c r="G35" s="11">
        <f t="shared" si="1"/>
        <v>0</v>
      </c>
      <c r="H35" s="11">
        <f t="shared" si="1"/>
        <v>67</v>
      </c>
      <c r="I35" s="11">
        <f t="shared" si="1"/>
        <v>176</v>
      </c>
      <c r="J35" s="11">
        <f>SUM(J4:J34)</f>
        <v>3737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2.85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10650.45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2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37103</v>
      </c>
      <c r="C39" s="25"/>
      <c r="E39" s="25"/>
      <c r="G39" s="25"/>
      <c r="I39" s="25"/>
      <c r="J39" s="455">
        <v>150097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7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37115</v>
      </c>
      <c r="J41" s="337">
        <f>+J39+J37</f>
        <v>160747.45000000001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2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37103</v>
      </c>
      <c r="B46" s="32"/>
      <c r="C46" s="32"/>
      <c r="D46" s="212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37115</v>
      </c>
      <c r="B47" s="32"/>
      <c r="C47" s="32"/>
      <c r="D47" s="380">
        <f>+J35</f>
        <v>3737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-56285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1" workbookViewId="3">
      <selection activeCell="C34" sqref="C34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9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-87770</v>
      </c>
      <c r="C6" s="24">
        <v>-89330</v>
      </c>
      <c r="D6" s="24"/>
      <c r="E6" s="24"/>
      <c r="F6" s="24">
        <f>+C6+E6-B6-D6</f>
        <v>-1560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-85416</v>
      </c>
      <c r="C9" s="24">
        <v>-89090</v>
      </c>
      <c r="D9" s="51"/>
      <c r="E9" s="24"/>
      <c r="F9" s="24">
        <f t="shared" si="0"/>
        <v>-3674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-79179</v>
      </c>
      <c r="C10" s="24">
        <v>-79090</v>
      </c>
      <c r="D10" s="51"/>
      <c r="E10" s="24"/>
      <c r="F10" s="24">
        <f t="shared" si="0"/>
        <v>89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-79663</v>
      </c>
      <c r="C11" s="24">
        <v>-79090</v>
      </c>
      <c r="D11" s="24"/>
      <c r="E11" s="24"/>
      <c r="F11" s="24">
        <f t="shared" si="0"/>
        <v>573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-110402</v>
      </c>
      <c r="C12" s="24">
        <v>-111234</v>
      </c>
      <c r="D12" s="51">
        <v>-10778</v>
      </c>
      <c r="E12" s="24">
        <v>-10000</v>
      </c>
      <c r="F12" s="24">
        <f t="shared" si="0"/>
        <v>-54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-84430</v>
      </c>
      <c r="C13" s="24">
        <v>-82502</v>
      </c>
      <c r="D13" s="24">
        <v>-10987</v>
      </c>
      <c r="E13" s="24">
        <v>-10000</v>
      </c>
      <c r="F13" s="24">
        <f t="shared" si="0"/>
        <v>2915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-116235</v>
      </c>
      <c r="C14" s="24">
        <v>-118726</v>
      </c>
      <c r="D14" s="24">
        <v>-16703</v>
      </c>
      <c r="E14" s="24">
        <v>-16908</v>
      </c>
      <c r="F14" s="24">
        <f t="shared" si="0"/>
        <v>-2696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-88623</v>
      </c>
      <c r="C15" s="24">
        <v>-89290</v>
      </c>
      <c r="D15" s="24">
        <v>-8183</v>
      </c>
      <c r="E15" s="24">
        <v>-10000</v>
      </c>
      <c r="F15" s="24">
        <f t="shared" si="0"/>
        <v>-2484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-99112</v>
      </c>
      <c r="C16" s="24">
        <v>-99924</v>
      </c>
      <c r="D16" s="24"/>
      <c r="E16" s="24"/>
      <c r="F16" s="24">
        <f t="shared" si="0"/>
        <v>-812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-99695</v>
      </c>
      <c r="C17" s="24">
        <v>-99924</v>
      </c>
      <c r="D17" s="24"/>
      <c r="E17" s="24"/>
      <c r="F17" s="24">
        <f t="shared" si="0"/>
        <v>-229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-1105805</v>
      </c>
      <c r="C37" s="24">
        <f>SUM(C6:C36)</f>
        <v>-1107154</v>
      </c>
      <c r="D37" s="24">
        <f>SUM(D6:D36)</f>
        <v>-46651</v>
      </c>
      <c r="E37" s="24">
        <f>SUM(E6:E36)</f>
        <v>-46908</v>
      </c>
      <c r="F37" s="24">
        <f>SUM(F6:F36)</f>
        <v>-1606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2.85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-4577.1000000000004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8">
        <v>37103</v>
      </c>
      <c r="E40" s="14"/>
      <c r="F40" s="454">
        <v>469765.91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8">
        <v>37115</v>
      </c>
      <c r="E41" s="14"/>
      <c r="F41" s="104">
        <f>+F40+F39</f>
        <v>465188.81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158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212">
        <v>29027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37115</v>
      </c>
      <c r="B47" s="32"/>
      <c r="C47" s="32"/>
      <c r="D47" s="380">
        <f>+F37</f>
        <v>-1606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27421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5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8" workbookViewId="3">
      <selection activeCell="D48" sqref="D48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60">
        <f>+summary!H4</f>
        <v>2.85</v>
      </c>
    </row>
    <row r="41" spans="1:6" x14ac:dyDescent="0.2">
      <c r="F41" s="138">
        <f>+F40*F39</f>
        <v>0</v>
      </c>
    </row>
    <row r="42" spans="1:6" x14ac:dyDescent="0.2">
      <c r="A42" s="57">
        <v>37103</v>
      </c>
      <c r="C42" s="15"/>
      <c r="F42" s="360">
        <v>-5216.57</v>
      </c>
    </row>
    <row r="43" spans="1:6" x14ac:dyDescent="0.2">
      <c r="A43" s="57">
        <v>37109</v>
      </c>
      <c r="C43" s="48"/>
      <c r="F43" s="138">
        <f>+F42+F41</f>
        <v>-5216.57</v>
      </c>
    </row>
    <row r="47" spans="1:6" x14ac:dyDescent="0.2">
      <c r="A47" s="32" t="s">
        <v>158</v>
      </c>
      <c r="B47" s="32"/>
      <c r="C47" s="32"/>
      <c r="D47" s="32"/>
    </row>
    <row r="48" spans="1:6" x14ac:dyDescent="0.2">
      <c r="A48" s="49">
        <f>+A42</f>
        <v>37103</v>
      </c>
      <c r="B48" s="32"/>
      <c r="C48" s="32"/>
      <c r="D48" s="212">
        <v>-17302</v>
      </c>
    </row>
    <row r="49" spans="1:4" x14ac:dyDescent="0.2">
      <c r="A49" s="49">
        <f>+A43</f>
        <v>37109</v>
      </c>
      <c r="B49" s="32"/>
      <c r="C49" s="32"/>
      <c r="D49" s="380">
        <f>+F39</f>
        <v>0</v>
      </c>
    </row>
    <row r="50" spans="1:4" x14ac:dyDescent="0.2">
      <c r="A50" s="32"/>
      <c r="B50" s="32"/>
      <c r="C50" s="32"/>
      <c r="D50" s="14">
        <f>+D49+D48</f>
        <v>-17302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7" workbookViewId="3">
      <selection activeCell="C43" sqref="C43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5789</v>
      </c>
      <c r="C8" s="11">
        <v>7579</v>
      </c>
      <c r="D8" s="25">
        <f>+C8-B8</f>
        <v>1790</v>
      </c>
    </row>
    <row r="9" spans="1:4" x14ac:dyDescent="0.2">
      <c r="A9" s="10">
        <v>2</v>
      </c>
      <c r="B9" s="11">
        <v>2411</v>
      </c>
      <c r="C9" s="11">
        <v>7579</v>
      </c>
      <c r="D9" s="25">
        <f t="shared" ref="D9:D38" si="0">+C9-B9</f>
        <v>5168</v>
      </c>
    </row>
    <row r="10" spans="1:4" x14ac:dyDescent="0.2">
      <c r="A10" s="10">
        <v>3</v>
      </c>
      <c r="B10" s="11">
        <v>7806</v>
      </c>
      <c r="C10" s="11">
        <v>7579</v>
      </c>
      <c r="D10" s="25">
        <f t="shared" si="0"/>
        <v>-227</v>
      </c>
    </row>
    <row r="11" spans="1:4" x14ac:dyDescent="0.2">
      <c r="A11" s="10">
        <v>4</v>
      </c>
      <c r="B11" s="11">
        <v>7637</v>
      </c>
      <c r="C11" s="11">
        <v>7579</v>
      </c>
      <c r="D11" s="25">
        <f t="shared" si="0"/>
        <v>-58</v>
      </c>
    </row>
    <row r="12" spans="1:4" x14ac:dyDescent="0.2">
      <c r="A12" s="10">
        <v>5</v>
      </c>
      <c r="B12" s="11">
        <v>7209</v>
      </c>
      <c r="C12" s="11">
        <v>7579</v>
      </c>
      <c r="D12" s="25">
        <f t="shared" si="0"/>
        <v>370</v>
      </c>
    </row>
    <row r="13" spans="1:4" x14ac:dyDescent="0.2">
      <c r="A13" s="10">
        <v>6</v>
      </c>
      <c r="B13" s="11">
        <v>4529</v>
      </c>
      <c r="C13" s="11">
        <v>7579</v>
      </c>
      <c r="D13" s="25">
        <f t="shared" si="0"/>
        <v>3050</v>
      </c>
    </row>
    <row r="14" spans="1:4" x14ac:dyDescent="0.2">
      <c r="A14" s="10">
        <v>7</v>
      </c>
      <c r="B14" s="11">
        <v>1886</v>
      </c>
      <c r="C14" s="11">
        <v>7579</v>
      </c>
      <c r="D14" s="25">
        <f t="shared" si="0"/>
        <v>5693</v>
      </c>
    </row>
    <row r="15" spans="1:4" x14ac:dyDescent="0.2">
      <c r="A15" s="10">
        <v>8</v>
      </c>
      <c r="B15" s="11">
        <v>0</v>
      </c>
      <c r="C15" s="11">
        <v>7579</v>
      </c>
      <c r="D15" s="25">
        <f t="shared" si="0"/>
        <v>7579</v>
      </c>
    </row>
    <row r="16" spans="1:4" x14ac:dyDescent="0.2">
      <c r="A16" s="10">
        <v>9</v>
      </c>
      <c r="B16" s="11">
        <v>2449</v>
      </c>
      <c r="C16" s="11">
        <v>7579</v>
      </c>
      <c r="D16" s="25">
        <f t="shared" si="0"/>
        <v>5130</v>
      </c>
    </row>
    <row r="17" spans="1:4" x14ac:dyDescent="0.2">
      <c r="A17" s="10">
        <v>10</v>
      </c>
      <c r="B17" s="11">
        <v>7660</v>
      </c>
      <c r="C17" s="11">
        <v>7579</v>
      </c>
      <c r="D17" s="25">
        <f t="shared" si="0"/>
        <v>-81</v>
      </c>
    </row>
    <row r="18" spans="1:4" x14ac:dyDescent="0.2">
      <c r="A18" s="10">
        <v>11</v>
      </c>
      <c r="B18" s="11">
        <v>3951</v>
      </c>
      <c r="C18" s="11">
        <v>7579</v>
      </c>
      <c r="D18" s="25">
        <f t="shared" si="0"/>
        <v>3628</v>
      </c>
    </row>
    <row r="19" spans="1:4" x14ac:dyDescent="0.2">
      <c r="A19" s="10">
        <v>12</v>
      </c>
      <c r="B19" s="11">
        <v>5968</v>
      </c>
      <c r="C19" s="11">
        <v>7579</v>
      </c>
      <c r="D19" s="25">
        <f t="shared" si="0"/>
        <v>1611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57295</v>
      </c>
      <c r="C39" s="11">
        <f>SUM(C8:C38)</f>
        <v>90948</v>
      </c>
      <c r="D39" s="25">
        <f>SUM(D8:D38)</f>
        <v>33653</v>
      </c>
    </row>
    <row r="40" spans="1:4" x14ac:dyDescent="0.2">
      <c r="A40" s="26"/>
      <c r="C40" s="14"/>
      <c r="D40" s="260">
        <f>+summary!H4</f>
        <v>2.85</v>
      </c>
    </row>
    <row r="41" spans="1:4" x14ac:dyDescent="0.2">
      <c r="D41" s="138">
        <f>+D40*D39</f>
        <v>95911.05</v>
      </c>
    </row>
    <row r="42" spans="1:4" x14ac:dyDescent="0.2">
      <c r="A42" s="57">
        <v>37103</v>
      </c>
      <c r="C42" s="15"/>
      <c r="D42" s="369">
        <v>326755</v>
      </c>
    </row>
    <row r="43" spans="1:4" x14ac:dyDescent="0.2">
      <c r="A43" s="57">
        <v>37115</v>
      </c>
      <c r="C43" s="48"/>
      <c r="D43" s="138">
        <f>+D42+D41</f>
        <v>422666.05</v>
      </c>
    </row>
    <row r="46" spans="1:4" x14ac:dyDescent="0.2">
      <c r="A46" s="32" t="s">
        <v>158</v>
      </c>
      <c r="B46" s="32"/>
      <c r="C46" s="32"/>
      <c r="D46" s="32"/>
    </row>
    <row r="47" spans="1:4" x14ac:dyDescent="0.2">
      <c r="A47" s="49">
        <f>+A42</f>
        <v>37103</v>
      </c>
      <c r="B47" s="32"/>
      <c r="C47" s="32"/>
      <c r="D47" s="14">
        <v>6289</v>
      </c>
    </row>
    <row r="48" spans="1:4" x14ac:dyDescent="0.2">
      <c r="A48" s="49">
        <f>+A43</f>
        <v>37115</v>
      </c>
      <c r="B48" s="32"/>
      <c r="C48" s="32"/>
      <c r="D48" s="380">
        <f>+D39</f>
        <v>33653</v>
      </c>
    </row>
    <row r="49" spans="1:4" x14ac:dyDescent="0.2">
      <c r="A49" s="32"/>
      <c r="B49" s="32"/>
      <c r="C49" s="32"/>
      <c r="D49" s="14">
        <f>+D48+D47</f>
        <v>39942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8" workbookViewId="3">
      <selection activeCell="B41" sqref="B41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135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">
      <c r="A8" s="10">
        <v>3</v>
      </c>
      <c r="B8" s="11">
        <v>-41277</v>
      </c>
      <c r="C8" s="11">
        <v>-50000</v>
      </c>
      <c r="D8" s="25">
        <f t="shared" si="0"/>
        <v>-8723</v>
      </c>
    </row>
    <row r="9" spans="1:4" x14ac:dyDescent="0.2">
      <c r="A9" s="10">
        <v>4</v>
      </c>
      <c r="B9" s="11">
        <v>-41015</v>
      </c>
      <c r="C9" s="11">
        <v>-50000</v>
      </c>
      <c r="D9" s="25">
        <f t="shared" si="0"/>
        <v>-8985</v>
      </c>
    </row>
    <row r="10" spans="1:4" x14ac:dyDescent="0.2">
      <c r="A10" s="10">
        <v>5</v>
      </c>
      <c r="B10" s="11">
        <v>-41598</v>
      </c>
      <c r="C10" s="11">
        <v>-50000</v>
      </c>
      <c r="D10" s="25">
        <f t="shared" si="0"/>
        <v>-8402</v>
      </c>
    </row>
    <row r="11" spans="1:4" x14ac:dyDescent="0.2">
      <c r="A11" s="10">
        <v>6</v>
      </c>
      <c r="B11" s="11">
        <v>-67163</v>
      </c>
      <c r="C11" s="11">
        <v>-50000</v>
      </c>
      <c r="D11" s="25">
        <f t="shared" si="0"/>
        <v>17163</v>
      </c>
    </row>
    <row r="12" spans="1:4" x14ac:dyDescent="0.2">
      <c r="A12" s="10">
        <v>7</v>
      </c>
      <c r="B12" s="11">
        <v>-78830</v>
      </c>
      <c r="C12" s="11">
        <v>-80300</v>
      </c>
      <c r="D12" s="25">
        <f t="shared" si="0"/>
        <v>-1470</v>
      </c>
    </row>
    <row r="13" spans="1:4" x14ac:dyDescent="0.2">
      <c r="A13" s="10">
        <v>8</v>
      </c>
      <c r="B13" s="11">
        <v>-82222</v>
      </c>
      <c r="C13" s="11">
        <v>-80300</v>
      </c>
      <c r="D13" s="25">
        <f t="shared" si="0"/>
        <v>1922</v>
      </c>
    </row>
    <row r="14" spans="1:4" x14ac:dyDescent="0.2">
      <c r="A14" s="10">
        <v>9</v>
      </c>
      <c r="B14" s="11">
        <v>-81974</v>
      </c>
      <c r="C14" s="11">
        <v>-80168</v>
      </c>
      <c r="D14" s="25">
        <f t="shared" si="0"/>
        <v>1806</v>
      </c>
    </row>
    <row r="15" spans="1:4" x14ac:dyDescent="0.2">
      <c r="A15" s="10">
        <v>10</v>
      </c>
      <c r="B15" s="11">
        <v>-77458</v>
      </c>
      <c r="C15" s="11">
        <v>-79752</v>
      </c>
      <c r="D15" s="25">
        <f t="shared" si="0"/>
        <v>-2294</v>
      </c>
    </row>
    <row r="16" spans="1:4" x14ac:dyDescent="0.2">
      <c r="A16" s="10">
        <v>11</v>
      </c>
      <c r="B16" s="11">
        <v>-77056</v>
      </c>
      <c r="C16" s="11">
        <v>-79499</v>
      </c>
      <c r="D16" s="25">
        <f t="shared" si="0"/>
        <v>-2443</v>
      </c>
    </row>
    <row r="17" spans="1:4" x14ac:dyDescent="0.2">
      <c r="A17" s="10">
        <v>12</v>
      </c>
      <c r="B17" s="11">
        <v>-78569</v>
      </c>
      <c r="C17" s="11">
        <v>-79795</v>
      </c>
      <c r="D17" s="25">
        <f t="shared" si="0"/>
        <v>-1226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-815944</v>
      </c>
      <c r="C37" s="11">
        <f>SUM(C6:C36)</f>
        <v>-825343</v>
      </c>
      <c r="D37" s="25">
        <f>SUM(D6:D36)</f>
        <v>-9399</v>
      </c>
    </row>
    <row r="38" spans="1:4" x14ac:dyDescent="0.2">
      <c r="A38" s="26"/>
      <c r="C38" s="14"/>
      <c r="D38" s="346">
        <f>+summary!H4</f>
        <v>2.85</v>
      </c>
    </row>
    <row r="39" spans="1:4" x14ac:dyDescent="0.2">
      <c r="D39" s="138">
        <f>+D38*D37</f>
        <v>-26787.15</v>
      </c>
    </row>
    <row r="40" spans="1:4" x14ac:dyDescent="0.2">
      <c r="A40" s="57">
        <v>37103</v>
      </c>
      <c r="C40" s="15"/>
      <c r="D40" s="463">
        <v>21736.76</v>
      </c>
    </row>
    <row r="41" spans="1:4" x14ac:dyDescent="0.2">
      <c r="A41" s="57">
        <v>37115</v>
      </c>
      <c r="C41" s="48"/>
      <c r="D41" s="138">
        <f>+D40+D39</f>
        <v>-5050.3900000000031</v>
      </c>
    </row>
    <row r="44" spans="1:4" x14ac:dyDescent="0.2">
      <c r="A44" s="32" t="s">
        <v>158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f>117315-4335-4130</f>
        <v>108850</v>
      </c>
    </row>
    <row r="46" spans="1:4" x14ac:dyDescent="0.2">
      <c r="A46" s="49">
        <f>+A41</f>
        <v>37115</v>
      </c>
      <c r="B46" s="32"/>
      <c r="C46" s="32"/>
      <c r="D46" s="380">
        <f>+D37</f>
        <v>-9399</v>
      </c>
    </row>
    <row r="47" spans="1:4" x14ac:dyDescent="0.2">
      <c r="A47" s="32"/>
      <c r="B47" s="32"/>
      <c r="C47" s="32"/>
      <c r="D47" s="14">
        <f>+D46+D45</f>
        <v>99451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5" workbookViewId="3">
      <selection activeCell="A41" sqref="A41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">
      <c r="A9" s="10">
        <v>4</v>
      </c>
      <c r="B9" s="11">
        <v>37821</v>
      </c>
      <c r="C9" s="11">
        <v>33628</v>
      </c>
      <c r="D9" s="25">
        <f t="shared" si="0"/>
        <v>-4193</v>
      </c>
    </row>
    <row r="10" spans="1:4" x14ac:dyDescent="0.2">
      <c r="A10" s="10">
        <v>5</v>
      </c>
      <c r="B10" s="11">
        <v>35429</v>
      </c>
      <c r="C10" s="11">
        <v>38484</v>
      </c>
      <c r="D10" s="25">
        <f t="shared" si="0"/>
        <v>3055</v>
      </c>
    </row>
    <row r="11" spans="1:4" x14ac:dyDescent="0.2">
      <c r="A11" s="10">
        <v>6</v>
      </c>
      <c r="B11" s="129">
        <v>39523</v>
      </c>
      <c r="C11" s="11">
        <v>38484</v>
      </c>
      <c r="D11" s="25">
        <f t="shared" si="0"/>
        <v>-1039</v>
      </c>
    </row>
    <row r="12" spans="1:4" x14ac:dyDescent="0.2">
      <c r="A12" s="10">
        <v>7</v>
      </c>
      <c r="B12" s="129">
        <v>40822</v>
      </c>
      <c r="C12" s="11">
        <v>38500</v>
      </c>
      <c r="D12" s="25">
        <f t="shared" si="0"/>
        <v>-2322</v>
      </c>
    </row>
    <row r="13" spans="1:4" x14ac:dyDescent="0.2">
      <c r="A13" s="10">
        <v>8</v>
      </c>
      <c r="B13" s="129">
        <v>41242</v>
      </c>
      <c r="C13" s="11">
        <v>38499</v>
      </c>
      <c r="D13" s="25">
        <f t="shared" si="0"/>
        <v>-2743</v>
      </c>
    </row>
    <row r="14" spans="1:4" x14ac:dyDescent="0.2">
      <c r="A14" s="10">
        <v>9</v>
      </c>
      <c r="B14" s="129">
        <v>39629</v>
      </c>
      <c r="C14" s="11">
        <v>37100</v>
      </c>
      <c r="D14" s="25">
        <f t="shared" si="0"/>
        <v>-2529</v>
      </c>
    </row>
    <row r="15" spans="1:4" x14ac:dyDescent="0.2">
      <c r="A15" s="10">
        <v>10</v>
      </c>
      <c r="B15" s="129">
        <v>39802</v>
      </c>
      <c r="C15" s="11">
        <v>37879</v>
      </c>
      <c r="D15" s="25">
        <f t="shared" si="0"/>
        <v>-1923</v>
      </c>
    </row>
    <row r="16" spans="1:4" x14ac:dyDescent="0.2">
      <c r="A16" s="10">
        <v>11</v>
      </c>
      <c r="B16" s="129">
        <v>39857</v>
      </c>
      <c r="C16" s="11">
        <v>38499</v>
      </c>
      <c r="D16" s="25">
        <f t="shared" si="0"/>
        <v>-1358</v>
      </c>
    </row>
    <row r="17" spans="1:4" x14ac:dyDescent="0.2">
      <c r="A17" s="10">
        <v>12</v>
      </c>
      <c r="B17" s="129">
        <v>18869</v>
      </c>
      <c r="C17" s="11">
        <v>24382</v>
      </c>
      <c r="D17" s="25">
        <f t="shared" si="0"/>
        <v>5513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437596</v>
      </c>
      <c r="C37" s="11">
        <f>SUM(C6:C36)</f>
        <v>424776</v>
      </c>
      <c r="D37" s="25">
        <f>SUM(D6:D36)</f>
        <v>-12820</v>
      </c>
    </row>
    <row r="38" spans="1:4" x14ac:dyDescent="0.2">
      <c r="A38" s="26"/>
      <c r="C38" s="14"/>
      <c r="D38" s="346">
        <f>+summary!H5</f>
        <v>2.97</v>
      </c>
    </row>
    <row r="39" spans="1:4" x14ac:dyDescent="0.2">
      <c r="D39" s="138">
        <f>+D38*D37</f>
        <v>-38075.4</v>
      </c>
    </row>
    <row r="40" spans="1:4" x14ac:dyDescent="0.2">
      <c r="A40" s="57">
        <v>37103</v>
      </c>
      <c r="C40" s="15"/>
      <c r="D40" s="360">
        <v>-40025.78</v>
      </c>
    </row>
    <row r="41" spans="1:4" x14ac:dyDescent="0.2">
      <c r="A41" s="57">
        <v>37115</v>
      </c>
      <c r="C41" s="48"/>
      <c r="D41" s="138">
        <f>+D40+D39</f>
        <v>-78101.179999999993</v>
      </c>
    </row>
    <row r="44" spans="1:4" x14ac:dyDescent="0.2">
      <c r="A44" s="32" t="s">
        <v>158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v>-2443</v>
      </c>
    </row>
    <row r="46" spans="1:4" x14ac:dyDescent="0.2">
      <c r="A46" s="49">
        <f>+A41</f>
        <v>37115</v>
      </c>
      <c r="B46" s="32"/>
      <c r="C46" s="32"/>
      <c r="D46" s="380">
        <f>+D37</f>
        <v>-12820</v>
      </c>
    </row>
    <row r="47" spans="1:4" x14ac:dyDescent="0.2">
      <c r="A47" s="32"/>
      <c r="B47" s="32"/>
      <c r="C47" s="32"/>
      <c r="D47" s="14">
        <f>+D46+D45</f>
        <v>-15263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12" workbookViewId="3">
      <selection activeCell="C16" sqref="C16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325424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-3774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338716</v>
      </c>
      <c r="C9" s="11">
        <v>363512</v>
      </c>
      <c r="D9" s="11">
        <v>73883</v>
      </c>
      <c r="E9" s="11">
        <v>62006</v>
      </c>
      <c r="F9" s="11">
        <v>63277</v>
      </c>
      <c r="G9" s="11">
        <v>61458</v>
      </c>
      <c r="H9" s="11">
        <v>128438</v>
      </c>
      <c r="I9" s="11">
        <v>126142</v>
      </c>
      <c r="J9" s="11">
        <f t="shared" si="0"/>
        <v>8804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307409</v>
      </c>
      <c r="C10" s="11">
        <v>329009</v>
      </c>
      <c r="D10" s="129">
        <v>81561</v>
      </c>
      <c r="E10" s="11">
        <v>62006</v>
      </c>
      <c r="F10" s="129">
        <v>61385</v>
      </c>
      <c r="G10" s="11">
        <v>66177</v>
      </c>
      <c r="H10" s="129">
        <v>128949</v>
      </c>
      <c r="I10" s="11">
        <v>116696</v>
      </c>
      <c r="J10" s="11">
        <f t="shared" si="0"/>
        <v>-5416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335665</v>
      </c>
      <c r="C11" s="11">
        <v>339813</v>
      </c>
      <c r="D11" s="11">
        <v>69904</v>
      </c>
      <c r="E11" s="11">
        <v>62006</v>
      </c>
      <c r="F11" s="11">
        <v>64156</v>
      </c>
      <c r="G11" s="11">
        <v>66309</v>
      </c>
      <c r="H11" s="11">
        <v>123188</v>
      </c>
      <c r="I11" s="11">
        <v>131814</v>
      </c>
      <c r="J11" s="11">
        <f t="shared" si="0"/>
        <v>7029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339468</v>
      </c>
      <c r="C12" s="11">
        <v>343257</v>
      </c>
      <c r="D12" s="11">
        <v>62256</v>
      </c>
      <c r="E12" s="11">
        <v>62006</v>
      </c>
      <c r="F12" s="11">
        <v>68558</v>
      </c>
      <c r="G12" s="11">
        <v>62714</v>
      </c>
      <c r="H12" s="11">
        <v>133641</v>
      </c>
      <c r="I12" s="11">
        <v>126893</v>
      </c>
      <c r="J12" s="11">
        <f t="shared" si="0"/>
        <v>-9053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325004</v>
      </c>
      <c r="C13" s="11">
        <v>326102</v>
      </c>
      <c r="D13" s="129">
        <v>61460</v>
      </c>
      <c r="E13" s="11">
        <v>62006</v>
      </c>
      <c r="F13" s="129">
        <v>56382</v>
      </c>
      <c r="G13" s="11">
        <v>53686</v>
      </c>
      <c r="H13" s="129">
        <v>141587</v>
      </c>
      <c r="I13" s="11">
        <v>135180</v>
      </c>
      <c r="J13" s="11">
        <f t="shared" si="0"/>
        <v>-7459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348691</v>
      </c>
      <c r="C14" s="11">
        <v>329322</v>
      </c>
      <c r="D14" s="11">
        <v>39888</v>
      </c>
      <c r="E14" s="11">
        <v>62006</v>
      </c>
      <c r="F14" s="11">
        <v>62036</v>
      </c>
      <c r="G14" s="11">
        <v>61116</v>
      </c>
      <c r="H14" s="11">
        <v>154963</v>
      </c>
      <c r="I14" s="11">
        <v>154094</v>
      </c>
      <c r="J14" s="11">
        <f t="shared" si="0"/>
        <v>960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343073</v>
      </c>
      <c r="C15" s="11">
        <v>331485</v>
      </c>
      <c r="D15" s="11">
        <v>41055</v>
      </c>
      <c r="E15" s="11">
        <v>62006</v>
      </c>
      <c r="F15" s="11">
        <v>63624</v>
      </c>
      <c r="G15" s="11">
        <v>61306</v>
      </c>
      <c r="H15" s="11">
        <v>145898</v>
      </c>
      <c r="I15" s="11">
        <v>141767</v>
      </c>
      <c r="J15" s="11">
        <f t="shared" si="0"/>
        <v>2914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3975131</v>
      </c>
      <c r="C35" s="11">
        <f t="shared" ref="C35:I35" si="1">SUM(C4:C34)</f>
        <v>4080653</v>
      </c>
      <c r="D35" s="11">
        <f t="shared" si="1"/>
        <v>792199</v>
      </c>
      <c r="E35" s="11">
        <f t="shared" si="1"/>
        <v>727400</v>
      </c>
      <c r="F35" s="11">
        <f t="shared" si="1"/>
        <v>755845</v>
      </c>
      <c r="G35" s="11">
        <f t="shared" si="1"/>
        <v>740882</v>
      </c>
      <c r="H35" s="11">
        <f t="shared" si="1"/>
        <v>1583157</v>
      </c>
      <c r="I35" s="11">
        <f t="shared" si="1"/>
        <v>1550439</v>
      </c>
      <c r="J35" s="11">
        <f>SUM(J4:J34)</f>
        <v>-6958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37103</v>
      </c>
      <c r="C38" s="25"/>
      <c r="E38" s="25"/>
      <c r="G38" s="25"/>
      <c r="I38" s="25"/>
      <c r="J38" s="445">
        <v>310268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37115</v>
      </c>
      <c r="J40" s="51">
        <f>+J38+J35</f>
        <v>303310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+A38</f>
        <v>37103</v>
      </c>
      <c r="B46" s="32"/>
      <c r="C46" s="32"/>
      <c r="D46" s="446">
        <v>1379269.57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+A40</f>
        <v>37115</v>
      </c>
      <c r="B47" s="32"/>
      <c r="C47" s="32"/>
      <c r="D47" s="410">
        <f>+J35*'by type'!J3</f>
        <v>-18160.379999999997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1361109.1900000002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4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412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136</v>
      </c>
    </row>
    <row r="4" spans="1:4" x14ac:dyDescent="0.2">
      <c r="A4" s="3"/>
      <c r="B4" s="59" t="s">
        <v>137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">
      <c r="A11" s="10">
        <v>6</v>
      </c>
      <c r="B11" s="11">
        <v>62745</v>
      </c>
      <c r="C11" s="11">
        <v>62359</v>
      </c>
      <c r="D11" s="25">
        <f t="shared" si="0"/>
        <v>-386</v>
      </c>
    </row>
    <row r="12" spans="1:4" x14ac:dyDescent="0.2">
      <c r="A12" s="10">
        <v>7</v>
      </c>
      <c r="B12" s="11">
        <v>66886</v>
      </c>
      <c r="C12" s="11">
        <v>73126</v>
      </c>
      <c r="D12" s="25">
        <f t="shared" si="0"/>
        <v>6240</v>
      </c>
    </row>
    <row r="13" spans="1:4" x14ac:dyDescent="0.2">
      <c r="A13" s="10">
        <v>8</v>
      </c>
      <c r="B13" s="11">
        <v>66326</v>
      </c>
      <c r="C13" s="11">
        <v>65213</v>
      </c>
      <c r="D13" s="25">
        <f t="shared" si="0"/>
        <v>-1113</v>
      </c>
    </row>
    <row r="14" spans="1:4" x14ac:dyDescent="0.2">
      <c r="A14" s="10">
        <v>9</v>
      </c>
      <c r="B14" s="11">
        <v>63811</v>
      </c>
      <c r="C14" s="11">
        <v>63118</v>
      </c>
      <c r="D14" s="25">
        <f t="shared" si="0"/>
        <v>-693</v>
      </c>
    </row>
    <row r="15" spans="1:4" x14ac:dyDescent="0.2">
      <c r="A15" s="10">
        <v>10</v>
      </c>
      <c r="B15" s="11">
        <v>60111</v>
      </c>
      <c r="C15" s="11">
        <v>59591</v>
      </c>
      <c r="D15" s="25">
        <f t="shared" si="0"/>
        <v>-520</v>
      </c>
    </row>
    <row r="16" spans="1:4" x14ac:dyDescent="0.2">
      <c r="A16" s="10">
        <v>11</v>
      </c>
      <c r="B16" s="11">
        <v>64319</v>
      </c>
      <c r="C16" s="11">
        <v>64464</v>
      </c>
      <c r="D16" s="25">
        <f t="shared" si="0"/>
        <v>145</v>
      </c>
    </row>
    <row r="17" spans="1:4" x14ac:dyDescent="0.2">
      <c r="A17" s="10">
        <v>12</v>
      </c>
      <c r="B17" s="11">
        <v>61945</v>
      </c>
      <c r="C17" s="11">
        <v>63665</v>
      </c>
      <c r="D17" s="25">
        <f t="shared" si="0"/>
        <v>1720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738038</v>
      </c>
      <c r="C37" s="11">
        <f>SUM(C6:C36)</f>
        <v>735227</v>
      </c>
      <c r="D37" s="25">
        <f>SUM(D6:D36)</f>
        <v>-2811</v>
      </c>
    </row>
    <row r="38" spans="1:4" x14ac:dyDescent="0.2">
      <c r="A38" s="26"/>
      <c r="C38" s="14"/>
      <c r="D38" s="346">
        <f>+summary!H5</f>
        <v>2.97</v>
      </c>
    </row>
    <row r="39" spans="1:4" x14ac:dyDescent="0.2">
      <c r="D39" s="138">
        <f>+D38*D37</f>
        <v>-8348.67</v>
      </c>
    </row>
    <row r="40" spans="1:4" x14ac:dyDescent="0.2">
      <c r="A40" s="57">
        <v>37103</v>
      </c>
      <c r="C40" s="15"/>
      <c r="D40" s="369">
        <v>167936</v>
      </c>
    </row>
    <row r="41" spans="1:4" x14ac:dyDescent="0.2">
      <c r="A41" s="57">
        <v>37115</v>
      </c>
      <c r="C41" s="48"/>
      <c r="D41" s="138">
        <f>+D40+D39</f>
        <v>159587.32999999999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1"/>
  <sheetViews>
    <sheetView workbookViewId="0"/>
    <sheetView workbookViewId="1"/>
    <sheetView topLeftCell="A26" workbookViewId="2">
      <selection activeCell="D40" sqref="D40"/>
    </sheetView>
    <sheetView topLeftCell="A31" workbookViewId="3">
      <selection activeCell="A42" sqref="A42"/>
    </sheetView>
  </sheetViews>
  <sheetFormatPr defaultRowHeight="12.75" x14ac:dyDescent="0.2"/>
  <sheetData>
    <row r="3" spans="1:5" ht="15" x14ac:dyDescent="0.25">
      <c r="A3" s="134"/>
      <c r="B3" s="3" t="s">
        <v>138</v>
      </c>
      <c r="C3" s="87"/>
      <c r="D3" s="87"/>
      <c r="E3" s="87"/>
    </row>
    <row r="4" spans="1:5" x14ac:dyDescent="0.2">
      <c r="A4" s="3"/>
      <c r="B4" s="348" t="s">
        <v>139</v>
      </c>
      <c r="C4" s="87"/>
      <c r="D4" s="3"/>
      <c r="E4" s="87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>
        <v>-2001</v>
      </c>
      <c r="C6" s="11">
        <v>-2139</v>
      </c>
      <c r="D6" s="25">
        <f>+C6-B6</f>
        <v>-138</v>
      </c>
    </row>
    <row r="7" spans="1:5" x14ac:dyDescent="0.2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5" x14ac:dyDescent="0.2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5" x14ac:dyDescent="0.2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5" x14ac:dyDescent="0.2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5" x14ac:dyDescent="0.2">
      <c r="A11" s="10">
        <v>6</v>
      </c>
      <c r="B11" s="11">
        <v>-1725</v>
      </c>
      <c r="C11" s="11">
        <v>-2453</v>
      </c>
      <c r="D11" s="25">
        <f t="shared" si="0"/>
        <v>-728</v>
      </c>
    </row>
    <row r="12" spans="1:5" x14ac:dyDescent="0.2">
      <c r="A12" s="10">
        <v>7</v>
      </c>
      <c r="B12" s="11">
        <v>-1957</v>
      </c>
      <c r="C12" s="11">
        <v>-2139</v>
      </c>
      <c r="D12" s="25">
        <f t="shared" si="0"/>
        <v>-182</v>
      </c>
    </row>
    <row r="13" spans="1:5" x14ac:dyDescent="0.2">
      <c r="A13" s="10">
        <v>8</v>
      </c>
      <c r="B13" s="11">
        <v>-1968</v>
      </c>
      <c r="C13" s="11">
        <v>-2139</v>
      </c>
      <c r="D13" s="25">
        <f t="shared" si="0"/>
        <v>-171</v>
      </c>
    </row>
    <row r="14" spans="1:5" x14ac:dyDescent="0.2">
      <c r="A14" s="10">
        <v>9</v>
      </c>
      <c r="B14" s="11">
        <v>-76</v>
      </c>
      <c r="C14" s="11">
        <v>-711</v>
      </c>
      <c r="D14" s="25">
        <f t="shared" si="0"/>
        <v>-635</v>
      </c>
    </row>
    <row r="15" spans="1:5" x14ac:dyDescent="0.2">
      <c r="A15" s="10">
        <v>10</v>
      </c>
      <c r="B15" s="11">
        <v>-800</v>
      </c>
      <c r="C15" s="11">
        <v>-2139</v>
      </c>
      <c r="D15" s="25">
        <f t="shared" si="0"/>
        <v>-1339</v>
      </c>
    </row>
    <row r="16" spans="1:5" x14ac:dyDescent="0.2">
      <c r="A16" s="10">
        <v>11</v>
      </c>
      <c r="B16" s="11">
        <v>-1249</v>
      </c>
      <c r="C16" s="11">
        <v>-2139</v>
      </c>
      <c r="D16" s="25">
        <f t="shared" si="0"/>
        <v>-890</v>
      </c>
    </row>
    <row r="17" spans="1:4" x14ac:dyDescent="0.2">
      <c r="A17" s="10">
        <v>12</v>
      </c>
      <c r="B17" s="11">
        <v>-1989</v>
      </c>
      <c r="C17" s="11">
        <v>-2139</v>
      </c>
      <c r="D17" s="25">
        <f t="shared" si="0"/>
        <v>-150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-15192</v>
      </c>
      <c r="C37" s="11">
        <f>SUM(C6:C36)</f>
        <v>-25496</v>
      </c>
      <c r="D37" s="25">
        <f>SUM(D6:D36)</f>
        <v>-10304</v>
      </c>
    </row>
    <row r="38" spans="1:4" x14ac:dyDescent="0.2">
      <c r="A38" s="26"/>
      <c r="C38" s="14"/>
      <c r="D38" s="346">
        <f>+summary!H4</f>
        <v>2.85</v>
      </c>
    </row>
    <row r="39" spans="1:4" x14ac:dyDescent="0.2">
      <c r="D39" s="138">
        <f>+D38*D37</f>
        <v>-29366.400000000001</v>
      </c>
    </row>
    <row r="40" spans="1:4" x14ac:dyDescent="0.2">
      <c r="A40" s="57">
        <v>37103</v>
      </c>
      <c r="C40" s="15"/>
      <c r="D40" s="360">
        <v>-394244.14</v>
      </c>
    </row>
    <row r="41" spans="1:4" x14ac:dyDescent="0.2">
      <c r="A41" s="57">
        <v>37115</v>
      </c>
      <c r="C41" s="48"/>
      <c r="D41" s="138">
        <f>+D40+D39</f>
        <v>-423610.54000000004</v>
      </c>
    </row>
    <row r="47" spans="1:4" x14ac:dyDescent="0.2">
      <c r="A47" s="32" t="s">
        <v>158</v>
      </c>
      <c r="B47" s="32"/>
      <c r="C47" s="32"/>
      <c r="D47" s="32"/>
    </row>
    <row r="48" spans="1:4" x14ac:dyDescent="0.2">
      <c r="A48" s="49">
        <f>+A40</f>
        <v>37103</v>
      </c>
      <c r="B48" s="32"/>
      <c r="C48" s="32"/>
      <c r="D48" s="212">
        <v>-68282</v>
      </c>
    </row>
    <row r="49" spans="1:4" x14ac:dyDescent="0.2">
      <c r="A49" s="49">
        <f>+A41</f>
        <v>37115</v>
      </c>
      <c r="B49" s="32"/>
      <c r="C49" s="32"/>
      <c r="D49" s="380">
        <f>+D37</f>
        <v>-10304</v>
      </c>
    </row>
    <row r="50" spans="1:4" x14ac:dyDescent="0.2">
      <c r="A50" s="32"/>
      <c r="B50" s="32"/>
      <c r="C50" s="32"/>
      <c r="D50" s="14">
        <f>+D49+D48</f>
        <v>-78586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10" workbookViewId="3">
      <selection activeCell="C17" sqref="C17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145</v>
      </c>
      <c r="C3" s="87"/>
      <c r="D3" s="87"/>
    </row>
    <row r="4" spans="1:4" x14ac:dyDescent="0.2">
      <c r="A4" s="3"/>
      <c r="B4" s="348" t="s">
        <v>141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>
        <v>-115</v>
      </c>
      <c r="D6" s="25">
        <f>+C6-B6</f>
        <v>-115</v>
      </c>
    </row>
    <row r="7" spans="1:4" x14ac:dyDescent="0.2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">
      <c r="A8" s="10">
        <v>3</v>
      </c>
      <c r="B8" s="11"/>
      <c r="C8" s="11">
        <v>-4</v>
      </c>
      <c r="D8" s="25">
        <f t="shared" si="0"/>
        <v>-4</v>
      </c>
    </row>
    <row r="9" spans="1:4" x14ac:dyDescent="0.2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">
      <c r="A10" s="10">
        <v>5</v>
      </c>
      <c r="B10" s="11">
        <v>-62427</v>
      </c>
      <c r="C10" s="11">
        <v>-29082</v>
      </c>
      <c r="D10" s="25">
        <f t="shared" si="0"/>
        <v>33345</v>
      </c>
    </row>
    <row r="11" spans="1:4" x14ac:dyDescent="0.2">
      <c r="A11" s="10">
        <v>6</v>
      </c>
      <c r="B11" s="11">
        <v>-88065</v>
      </c>
      <c r="C11" s="11">
        <v>-70000</v>
      </c>
      <c r="D11" s="25">
        <f t="shared" si="0"/>
        <v>18065</v>
      </c>
    </row>
    <row r="12" spans="1:4" x14ac:dyDescent="0.2">
      <c r="A12" s="10">
        <v>7</v>
      </c>
      <c r="B12" s="11">
        <v>-97070</v>
      </c>
      <c r="C12" s="11">
        <v>-108756</v>
      </c>
      <c r="D12" s="25">
        <f t="shared" si="0"/>
        <v>-11686</v>
      </c>
    </row>
    <row r="13" spans="1:4" x14ac:dyDescent="0.2">
      <c r="A13" s="10">
        <v>8</v>
      </c>
      <c r="B13" s="11">
        <v>-94202</v>
      </c>
      <c r="C13" s="11">
        <v>-117060</v>
      </c>
      <c r="D13" s="25">
        <f t="shared" si="0"/>
        <v>-22858</v>
      </c>
    </row>
    <row r="14" spans="1:4" x14ac:dyDescent="0.2">
      <c r="A14" s="10">
        <v>9</v>
      </c>
      <c r="B14" s="11">
        <v>-22431</v>
      </c>
      <c r="C14" s="11">
        <v>-43500</v>
      </c>
      <c r="D14" s="25">
        <f t="shared" si="0"/>
        <v>-21069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>
        <v>-407</v>
      </c>
      <c r="C16" s="11"/>
      <c r="D16" s="25">
        <f t="shared" si="0"/>
        <v>407</v>
      </c>
    </row>
    <row r="17" spans="1:4" x14ac:dyDescent="0.2">
      <c r="A17" s="10">
        <v>12</v>
      </c>
      <c r="B17" s="11">
        <v>-13134</v>
      </c>
      <c r="C17" s="11">
        <v>-20000</v>
      </c>
      <c r="D17" s="25">
        <f t="shared" si="0"/>
        <v>-6866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-406535</v>
      </c>
      <c r="C37" s="11">
        <f>SUM(C6:C36)</f>
        <v>-388517</v>
      </c>
      <c r="D37" s="25">
        <f>SUM(D6:D36)</f>
        <v>18018</v>
      </c>
    </row>
    <row r="38" spans="1:4" x14ac:dyDescent="0.2">
      <c r="A38" s="26"/>
      <c r="C38" s="14"/>
      <c r="D38" s="346">
        <f>+summary!H4</f>
        <v>2.85</v>
      </c>
    </row>
    <row r="39" spans="1:4" x14ac:dyDescent="0.2">
      <c r="D39" s="138">
        <f>+D38*D37</f>
        <v>51351.3</v>
      </c>
    </row>
    <row r="40" spans="1:4" x14ac:dyDescent="0.2">
      <c r="A40" s="57">
        <v>37103</v>
      </c>
      <c r="C40" s="15"/>
      <c r="D40" s="360">
        <v>-351170.32</v>
      </c>
    </row>
    <row r="41" spans="1:4" x14ac:dyDescent="0.2">
      <c r="A41" s="57">
        <v>37115</v>
      </c>
      <c r="C41" s="48"/>
      <c r="D41" s="138">
        <f>+D40+D39</f>
        <v>-299819.02</v>
      </c>
    </row>
    <row r="42" spans="1:4" x14ac:dyDescent="0.2">
      <c r="D42" s="24"/>
    </row>
    <row r="45" spans="1:4" x14ac:dyDescent="0.2">
      <c r="A45" s="32" t="s">
        <v>158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212">
        <v>-150287</v>
      </c>
    </row>
    <row r="47" spans="1:4" x14ac:dyDescent="0.2">
      <c r="A47" s="49">
        <f>+A41</f>
        <v>37115</v>
      </c>
      <c r="B47" s="32"/>
      <c r="C47" s="32"/>
      <c r="D47" s="380">
        <f>+D37</f>
        <v>18018</v>
      </c>
    </row>
    <row r="48" spans="1:4" x14ac:dyDescent="0.2">
      <c r="A48" s="32"/>
      <c r="B48" s="32"/>
      <c r="C48" s="32"/>
      <c r="D48" s="14">
        <f>+D47+D46</f>
        <v>-132269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B7" sqref="B7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140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56659</v>
      </c>
      <c r="B5" s="343">
        <v>-11385</v>
      </c>
      <c r="C5" s="90">
        <v>-1287</v>
      </c>
      <c r="D5" s="90">
        <f>+C5-B5</f>
        <v>10098</v>
      </c>
      <c r="E5" s="285"/>
      <c r="F5" s="283"/>
    </row>
    <row r="6" spans="1:13" x14ac:dyDescent="0.2">
      <c r="A6" s="87">
        <v>500046</v>
      </c>
      <c r="B6" s="90">
        <v>-229</v>
      </c>
      <c r="C6" s="90"/>
      <c r="D6" s="90">
        <f t="shared" ref="D6:D11" si="0">+C6-B6</f>
        <v>229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">
      <c r="A8" s="87">
        <v>500134</v>
      </c>
      <c r="B8" s="92"/>
      <c r="C8" s="90"/>
      <c r="D8" s="90">
        <f t="shared" si="0"/>
        <v>0</v>
      </c>
      <c r="E8" s="285"/>
      <c r="F8" s="283"/>
    </row>
    <row r="9" spans="1:13" x14ac:dyDescent="0.2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">
      <c r="A11" s="87">
        <v>500619</v>
      </c>
      <c r="B11" s="319"/>
      <c r="C11" s="90"/>
      <c r="D11" s="355">
        <f t="shared" si="0"/>
        <v>0</v>
      </c>
      <c r="E11" s="285"/>
      <c r="F11" s="283"/>
    </row>
    <row r="12" spans="1:13" x14ac:dyDescent="0.2">
      <c r="A12" s="87"/>
      <c r="B12" s="88"/>
      <c r="C12" s="88"/>
      <c r="D12" s="88">
        <f>SUM(D5:D11)</f>
        <v>10327</v>
      </c>
      <c r="E12" s="285"/>
      <c r="F12" s="283"/>
    </row>
    <row r="13" spans="1:13" x14ac:dyDescent="0.2">
      <c r="A13" s="87" t="s">
        <v>84</v>
      </c>
      <c r="B13" s="88"/>
      <c r="C13" s="88"/>
      <c r="D13" s="95">
        <f>+summary!H4</f>
        <v>2.85</v>
      </c>
      <c r="E13" s="287"/>
      <c r="F13" s="283"/>
    </row>
    <row r="14" spans="1:13" x14ac:dyDescent="0.2">
      <c r="A14" s="87"/>
      <c r="B14" s="88"/>
      <c r="C14" s="88"/>
      <c r="D14" s="96">
        <f>+D13*D12</f>
        <v>29431.95</v>
      </c>
      <c r="E14" s="209"/>
      <c r="F14" s="284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37103</v>
      </c>
      <c r="B16" s="88"/>
      <c r="C16" s="88"/>
      <c r="D16" s="458">
        <v>-856340.66</v>
      </c>
      <c r="E16" s="209"/>
      <c r="F16" s="66"/>
    </row>
    <row r="17" spans="1:7" x14ac:dyDescent="0.2">
      <c r="A17" s="87"/>
      <c r="B17" s="88"/>
      <c r="C17" s="88"/>
      <c r="D17" s="322"/>
      <c r="E17" s="209"/>
      <c r="F17" s="66"/>
    </row>
    <row r="18" spans="1:7" ht="13.5" thickBot="1" x14ac:dyDescent="0.25">
      <c r="A18" s="99">
        <v>37114</v>
      </c>
      <c r="B18" s="88"/>
      <c r="C18" s="88"/>
      <c r="D18" s="334">
        <f>+D16+D14</f>
        <v>-826908.71000000008</v>
      </c>
      <c r="E18" s="209"/>
      <c r="F18" s="66"/>
    </row>
    <row r="19" spans="1:7" ht="13.5" thickTop="1" x14ac:dyDescent="0.2">
      <c r="E19" s="288"/>
    </row>
    <row r="21" spans="1:7" x14ac:dyDescent="0.2">
      <c r="A21" s="32" t="s">
        <v>158</v>
      </c>
      <c r="B21" s="32"/>
      <c r="C21" s="32"/>
      <c r="D21" s="32"/>
    </row>
    <row r="22" spans="1:7" x14ac:dyDescent="0.2">
      <c r="A22" s="49">
        <f>+A16</f>
        <v>37103</v>
      </c>
      <c r="B22" s="32"/>
      <c r="C22" s="32"/>
      <c r="D22" s="212">
        <v>-187753</v>
      </c>
    </row>
    <row r="23" spans="1:7" x14ac:dyDescent="0.2">
      <c r="A23" s="49">
        <f>+A18</f>
        <v>37114</v>
      </c>
      <c r="B23" s="32"/>
      <c r="C23" s="32"/>
      <c r="D23" s="380">
        <f>+D12</f>
        <v>10327</v>
      </c>
    </row>
    <row r="24" spans="1:7" x14ac:dyDescent="0.2">
      <c r="A24" s="32"/>
      <c r="B24" s="32"/>
      <c r="C24" s="32"/>
      <c r="D24" s="14">
        <f>+D23+D22</f>
        <v>-177426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32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148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">
      <c r="A11" s="10">
        <v>6</v>
      </c>
      <c r="B11" s="11"/>
      <c r="C11" s="11">
        <v>-2368</v>
      </c>
      <c r="D11" s="25">
        <f t="shared" si="0"/>
        <v>-2368</v>
      </c>
    </row>
    <row r="12" spans="1:4" x14ac:dyDescent="0.2">
      <c r="A12" s="10">
        <v>7</v>
      </c>
      <c r="B12" s="11"/>
      <c r="C12" s="11">
        <v>-2368</v>
      </c>
      <c r="D12" s="25">
        <f t="shared" si="0"/>
        <v>-2368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-11840</v>
      </c>
      <c r="D37" s="25">
        <f>SUM(D6:D36)</f>
        <v>-11840</v>
      </c>
    </row>
    <row r="38" spans="1:4" x14ac:dyDescent="0.2">
      <c r="A38" s="26"/>
      <c r="C38" s="14"/>
      <c r="D38" s="361"/>
    </row>
    <row r="39" spans="1:4" x14ac:dyDescent="0.2">
      <c r="D39" s="138"/>
    </row>
    <row r="40" spans="1:4" x14ac:dyDescent="0.2">
      <c r="A40" s="57">
        <v>37103</v>
      </c>
      <c r="C40" s="15"/>
      <c r="D40" s="445">
        <v>76325</v>
      </c>
    </row>
    <row r="41" spans="1:4" x14ac:dyDescent="0.2">
      <c r="A41" s="57">
        <v>37115</v>
      </c>
      <c r="C41" s="48"/>
      <c r="D41" s="25">
        <f>+D40+D37</f>
        <v>64485</v>
      </c>
    </row>
    <row r="44" spans="1:4" x14ac:dyDescent="0.2">
      <c r="A44" s="32" t="s">
        <v>159</v>
      </c>
      <c r="B44" s="32"/>
      <c r="C44" s="32"/>
      <c r="D44" s="47"/>
    </row>
    <row r="45" spans="1:4" x14ac:dyDescent="0.2">
      <c r="A45" s="49">
        <f>+A40</f>
        <v>37103</v>
      </c>
      <c r="B45" s="32"/>
      <c r="C45" s="32"/>
      <c r="D45" s="446">
        <v>341220.3</v>
      </c>
    </row>
    <row r="46" spans="1:4" x14ac:dyDescent="0.2">
      <c r="A46" s="49">
        <f>+A41</f>
        <v>37115</v>
      </c>
      <c r="B46" s="32"/>
      <c r="C46" s="32"/>
      <c r="D46" s="410">
        <f>+D37*'by type'!J4</f>
        <v>-33744</v>
      </c>
    </row>
    <row r="47" spans="1:4" x14ac:dyDescent="0.2">
      <c r="A47" s="32"/>
      <c r="B47" s="32"/>
      <c r="C47" s="32"/>
      <c r="D47" s="202">
        <f>+D46+D45</f>
        <v>307476.3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33" workbookViewId="3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">
      <c r="A11" s="10">
        <v>5</v>
      </c>
      <c r="B11" s="129">
        <v>111357</v>
      </c>
      <c r="C11" s="11">
        <v>111062</v>
      </c>
      <c r="D11" s="25">
        <f t="shared" si="0"/>
        <v>-295</v>
      </c>
    </row>
    <row r="12" spans="1:4" x14ac:dyDescent="0.2">
      <c r="A12" s="10">
        <v>6</v>
      </c>
      <c r="B12" s="11">
        <v>113863</v>
      </c>
      <c r="C12" s="11">
        <v>113152</v>
      </c>
      <c r="D12" s="25">
        <f t="shared" si="0"/>
        <v>-711</v>
      </c>
    </row>
    <row r="13" spans="1:4" x14ac:dyDescent="0.2">
      <c r="A13" s="10">
        <v>7</v>
      </c>
      <c r="B13" s="129">
        <v>89887</v>
      </c>
      <c r="C13" s="11">
        <v>128168</v>
      </c>
      <c r="D13" s="25">
        <f t="shared" si="0"/>
        <v>38281</v>
      </c>
    </row>
    <row r="14" spans="1:4" x14ac:dyDescent="0.2">
      <c r="A14" s="10">
        <v>8</v>
      </c>
      <c r="B14" s="11">
        <v>120044</v>
      </c>
      <c r="C14" s="11">
        <v>119268</v>
      </c>
      <c r="D14" s="25">
        <f t="shared" si="0"/>
        <v>-776</v>
      </c>
    </row>
    <row r="15" spans="1:4" x14ac:dyDescent="0.2">
      <c r="A15" s="10">
        <v>9</v>
      </c>
      <c r="B15" s="11">
        <v>117369</v>
      </c>
      <c r="C15" s="11">
        <v>115843</v>
      </c>
      <c r="D15" s="25">
        <f t="shared" si="0"/>
        <v>-1526</v>
      </c>
    </row>
    <row r="16" spans="1:4" x14ac:dyDescent="0.2">
      <c r="A16" s="10">
        <v>10</v>
      </c>
      <c r="B16" s="11">
        <v>103180</v>
      </c>
      <c r="C16" s="11">
        <v>98992</v>
      </c>
      <c r="D16" s="25">
        <f t="shared" si="0"/>
        <v>-4188</v>
      </c>
    </row>
    <row r="17" spans="1:4" x14ac:dyDescent="0.2">
      <c r="A17" s="10">
        <v>11</v>
      </c>
      <c r="B17" s="11">
        <v>108603</v>
      </c>
      <c r="C17" s="11">
        <v>107939</v>
      </c>
      <c r="D17" s="25">
        <f t="shared" si="0"/>
        <v>-664</v>
      </c>
    </row>
    <row r="18" spans="1:4" x14ac:dyDescent="0.2">
      <c r="A18" s="10">
        <v>12</v>
      </c>
      <c r="B18" s="11">
        <v>111232</v>
      </c>
      <c r="C18" s="11">
        <v>110704</v>
      </c>
      <c r="D18" s="25">
        <f t="shared" si="0"/>
        <v>-528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1362262</v>
      </c>
      <c r="C38" s="11">
        <f>SUM(C7:C37)</f>
        <v>1385337</v>
      </c>
      <c r="D38" s="11">
        <f>SUM(D7:D37)</f>
        <v>23075</v>
      </c>
    </row>
    <row r="39" spans="1:4" x14ac:dyDescent="0.2">
      <c r="A39" s="26"/>
      <c r="C39" s="14"/>
      <c r="D39" s="106">
        <f>+summary!H3</f>
        <v>2.61</v>
      </c>
    </row>
    <row r="40" spans="1:4" x14ac:dyDescent="0.2">
      <c r="D40" s="138">
        <f>+D39*D38</f>
        <v>60225.75</v>
      </c>
    </row>
    <row r="41" spans="1:4" x14ac:dyDescent="0.2">
      <c r="A41" s="57">
        <v>37103</v>
      </c>
      <c r="C41" s="15"/>
      <c r="D41" s="371">
        <v>-36642</v>
      </c>
    </row>
    <row r="42" spans="1:4" x14ac:dyDescent="0.2">
      <c r="A42" s="57">
        <v>37115</v>
      </c>
      <c r="D42" s="337">
        <f>+D41+D40</f>
        <v>23583.75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8" workbookViewId="3">
      <selection activeCell="B17" sqref="B17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-29297</v>
      </c>
      <c r="C10" s="11"/>
      <c r="D10" s="11"/>
      <c r="E10" s="11">
        <v>-28307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-64051</v>
      </c>
      <c r="C11" s="11">
        <v>-11000</v>
      </c>
      <c r="D11" s="129"/>
      <c r="E11" s="11">
        <v>-51049</v>
      </c>
      <c r="F11" s="11">
        <f t="shared" si="0"/>
        <v>2002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-35246</v>
      </c>
      <c r="C12" s="11"/>
      <c r="D12" s="11"/>
      <c r="E12" s="11">
        <v>-34257</v>
      </c>
      <c r="F12" s="11">
        <f t="shared" si="0"/>
        <v>989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>
        <v>-61903</v>
      </c>
      <c r="C13" s="11">
        <v>-10000</v>
      </c>
      <c r="D13" s="129"/>
      <c r="E13" s="11">
        <v>-49974</v>
      </c>
      <c r="F13" s="11">
        <f t="shared" si="0"/>
        <v>1929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-63569</v>
      </c>
      <c r="C14" s="11">
        <v>-17500</v>
      </c>
      <c r="D14" s="129"/>
      <c r="E14" s="11">
        <v>-44910</v>
      </c>
      <c r="F14" s="11">
        <f t="shared" si="0"/>
        <v>1159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-57587</v>
      </c>
      <c r="C15" s="11">
        <v>-27000</v>
      </c>
      <c r="D15" s="11"/>
      <c r="E15" s="11">
        <v>-28288</v>
      </c>
      <c r="F15" s="11">
        <f t="shared" si="0"/>
        <v>2299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-57418</v>
      </c>
      <c r="C16" s="11">
        <v>-27000</v>
      </c>
      <c r="D16" s="11"/>
      <c r="E16" s="11">
        <v>-28592</v>
      </c>
      <c r="F16" s="11">
        <f t="shared" si="0"/>
        <v>1826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-594504</v>
      </c>
      <c r="C36" s="44">
        <f>SUM(C5:C35)</f>
        <v>-161000</v>
      </c>
      <c r="D36" s="43">
        <f>SUM(D5:D35)</f>
        <v>-90</v>
      </c>
      <c r="E36" s="44">
        <f>SUM(E5:E35)</f>
        <v>-418427</v>
      </c>
      <c r="F36" s="11">
        <f>SUM(F5:F35)</f>
        <v>15167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-433504</v>
      </c>
      <c r="D37" s="24"/>
      <c r="E37" s="24">
        <f>+D36-E36</f>
        <v>418337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37103</v>
      </c>
      <c r="C41" s="14"/>
      <c r="D41" s="50"/>
      <c r="E41" s="50"/>
      <c r="F41" s="247">
        <v>36339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37115</v>
      </c>
      <c r="C42" s="14"/>
      <c r="D42" s="50"/>
      <c r="E42" s="50"/>
      <c r="F42" s="51">
        <f>+F41+F36</f>
        <v>51506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159</v>
      </c>
      <c r="B46" s="32"/>
      <c r="C46" s="32"/>
      <c r="D46" s="47"/>
    </row>
    <row r="47" spans="1:12" x14ac:dyDescent="0.2">
      <c r="A47" s="49">
        <f>+B41</f>
        <v>37103</v>
      </c>
      <c r="B47" s="32"/>
      <c r="C47" s="32"/>
      <c r="D47" s="202">
        <v>-29968.41</v>
      </c>
    </row>
    <row r="48" spans="1:12" x14ac:dyDescent="0.2">
      <c r="A48" s="49">
        <f>+B42</f>
        <v>37115</v>
      </c>
      <c r="B48" s="32"/>
      <c r="C48" s="32"/>
      <c r="D48" s="410">
        <f>+F36*'by type'!J4</f>
        <v>43225.950000000004</v>
      </c>
    </row>
    <row r="49" spans="1:4" x14ac:dyDescent="0.2">
      <c r="A49" s="32"/>
      <c r="B49" s="32"/>
      <c r="C49" s="32"/>
      <c r="D49" s="202">
        <f>+D48+D47</f>
        <v>13257.540000000005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6" workbookViewId="3">
      <selection activeCell="C39" sqref="C39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-149502</v>
      </c>
      <c r="C4" s="11">
        <v>-150326</v>
      </c>
      <c r="D4" s="25">
        <f>+C4-B4</f>
        <v>-824</v>
      </c>
    </row>
    <row r="5" spans="1:4" x14ac:dyDescent="0.2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">
      <c r="A8" s="10">
        <v>5</v>
      </c>
      <c r="B8" s="129">
        <v>-231789</v>
      </c>
      <c r="C8" s="11">
        <v>-235157</v>
      </c>
      <c r="D8" s="25">
        <f t="shared" si="0"/>
        <v>-3368</v>
      </c>
    </row>
    <row r="9" spans="1:4" x14ac:dyDescent="0.2">
      <c r="A9" s="10">
        <v>6</v>
      </c>
      <c r="B9" s="129">
        <v>-172231</v>
      </c>
      <c r="C9" s="11">
        <v>-181280</v>
      </c>
      <c r="D9" s="25">
        <f t="shared" si="0"/>
        <v>-9049</v>
      </c>
    </row>
    <row r="10" spans="1:4" x14ac:dyDescent="0.2">
      <c r="A10" s="10">
        <v>7</v>
      </c>
      <c r="B10" s="129">
        <v>-117605</v>
      </c>
      <c r="C10" s="11">
        <v>-116400</v>
      </c>
      <c r="D10" s="25">
        <f t="shared" si="0"/>
        <v>1205</v>
      </c>
    </row>
    <row r="11" spans="1:4" x14ac:dyDescent="0.2">
      <c r="A11" s="10">
        <v>8</v>
      </c>
      <c r="B11" s="11">
        <v>-109940</v>
      </c>
      <c r="C11" s="11">
        <v>-109486</v>
      </c>
      <c r="D11" s="25">
        <f t="shared" si="0"/>
        <v>454</v>
      </c>
    </row>
    <row r="12" spans="1:4" x14ac:dyDescent="0.2">
      <c r="A12" s="10">
        <v>9</v>
      </c>
      <c r="B12" s="11">
        <v>-138076</v>
      </c>
      <c r="C12" s="11">
        <v>-137436</v>
      </c>
      <c r="D12" s="25">
        <f t="shared" si="0"/>
        <v>640</v>
      </c>
    </row>
    <row r="13" spans="1:4" x14ac:dyDescent="0.2">
      <c r="A13" s="10">
        <v>10</v>
      </c>
      <c r="B13" s="11">
        <v>-158047</v>
      </c>
      <c r="C13" s="11">
        <v>-156889</v>
      </c>
      <c r="D13" s="25">
        <f t="shared" si="0"/>
        <v>1158</v>
      </c>
    </row>
    <row r="14" spans="1:4" x14ac:dyDescent="0.2">
      <c r="A14" s="10">
        <v>11</v>
      </c>
      <c r="B14" s="11">
        <v>-221811</v>
      </c>
      <c r="C14" s="11">
        <v>-219321</v>
      </c>
      <c r="D14" s="25">
        <f t="shared" si="0"/>
        <v>2490</v>
      </c>
    </row>
    <row r="15" spans="1:4" x14ac:dyDescent="0.2">
      <c r="A15" s="10">
        <v>12</v>
      </c>
      <c r="B15" s="11">
        <v>-161285</v>
      </c>
      <c r="C15" s="11">
        <v>-160322</v>
      </c>
      <c r="D15" s="25">
        <f t="shared" si="0"/>
        <v>963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-2101807</v>
      </c>
      <c r="C35" s="11">
        <f>SUM(C4:C34)</f>
        <v>-2101932</v>
      </c>
      <c r="D35" s="11">
        <f>SUM(D4:D34)</f>
        <v>-125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9">
        <v>37103</v>
      </c>
      <c r="D38" s="247">
        <v>24900</v>
      </c>
    </row>
    <row r="39" spans="1:30" x14ac:dyDescent="0.2">
      <c r="A39" s="12"/>
      <c r="D39" s="24"/>
    </row>
    <row r="40" spans="1:30" x14ac:dyDescent="0.2">
      <c r="A40" s="249">
        <v>37115</v>
      </c>
      <c r="D40" s="24">
        <f>+D38+D35</f>
        <v>24775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159</v>
      </c>
      <c r="B44" s="32"/>
      <c r="C44" s="32"/>
      <c r="D44" s="47"/>
      <c r="K44"/>
    </row>
    <row r="45" spans="1:30" x14ac:dyDescent="0.2">
      <c r="A45" s="49">
        <f>+A38</f>
        <v>37103</v>
      </c>
      <c r="B45" s="32"/>
      <c r="C45" s="32"/>
      <c r="D45" s="446">
        <v>-156083.38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37115</v>
      </c>
      <c r="B46" s="32"/>
      <c r="C46" s="32"/>
      <c r="D46" s="410">
        <f>+D35*'by type'!J4</f>
        <v>-356.25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-156439.63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7" workbookViewId="3">
      <selection activeCell="A41" sqref="A4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">
      <c r="A9" s="10">
        <v>6</v>
      </c>
      <c r="B9" s="11">
        <v>-734353</v>
      </c>
      <c r="C9" s="11">
        <v>-750409</v>
      </c>
      <c r="D9" s="11">
        <v>-9877</v>
      </c>
      <c r="E9" s="11">
        <v>-10000</v>
      </c>
      <c r="F9" s="25">
        <f t="shared" si="0"/>
        <v>-16179</v>
      </c>
      <c r="H9" s="10"/>
      <c r="I9" s="11"/>
    </row>
    <row r="10" spans="1:11" x14ac:dyDescent="0.2">
      <c r="A10" s="10">
        <v>7</v>
      </c>
      <c r="B10" s="129">
        <v>-729199</v>
      </c>
      <c r="C10" s="11">
        <v>-722209</v>
      </c>
      <c r="D10" s="129">
        <v>-25859</v>
      </c>
      <c r="E10" s="11">
        <v>-25000</v>
      </c>
      <c r="F10" s="25">
        <f t="shared" si="0"/>
        <v>7849</v>
      </c>
      <c r="H10" s="10"/>
      <c r="I10" s="11"/>
    </row>
    <row r="11" spans="1:11" x14ac:dyDescent="0.2">
      <c r="A11" s="10">
        <v>8</v>
      </c>
      <c r="B11" s="11">
        <v>-719904</v>
      </c>
      <c r="C11" s="11">
        <v>-715180</v>
      </c>
      <c r="D11" s="11">
        <v>-27002</v>
      </c>
      <c r="E11" s="11">
        <v>-25000</v>
      </c>
      <c r="F11" s="25">
        <f t="shared" si="0"/>
        <v>6726</v>
      </c>
      <c r="H11" s="10"/>
      <c r="I11" s="11"/>
    </row>
    <row r="12" spans="1:11" x14ac:dyDescent="0.2">
      <c r="A12" s="10">
        <v>9</v>
      </c>
      <c r="B12" s="11">
        <v>-725690</v>
      </c>
      <c r="C12" s="11">
        <v>-722897</v>
      </c>
      <c r="D12" s="11">
        <v>-51038</v>
      </c>
      <c r="E12" s="11">
        <v>-50000</v>
      </c>
      <c r="F12" s="25">
        <f t="shared" si="0"/>
        <v>3831</v>
      </c>
      <c r="H12" s="10"/>
      <c r="I12" s="11"/>
    </row>
    <row r="13" spans="1:11" x14ac:dyDescent="0.2">
      <c r="A13" s="10">
        <v>10</v>
      </c>
      <c r="B13" s="11">
        <v>-740803</v>
      </c>
      <c r="C13" s="11">
        <v>-742788</v>
      </c>
      <c r="D13" s="129">
        <v>-51972</v>
      </c>
      <c r="E13" s="11">
        <v>-50000</v>
      </c>
      <c r="F13" s="25">
        <f t="shared" si="0"/>
        <v>-13</v>
      </c>
      <c r="H13" s="10"/>
      <c r="I13" s="11"/>
    </row>
    <row r="14" spans="1:11" x14ac:dyDescent="0.2">
      <c r="A14" s="10">
        <v>11</v>
      </c>
      <c r="B14" s="11">
        <v>-752259</v>
      </c>
      <c r="C14" s="11">
        <v>-753379</v>
      </c>
      <c r="D14" s="11">
        <v>-124</v>
      </c>
      <c r="E14" s="11"/>
      <c r="F14" s="25">
        <f t="shared" si="0"/>
        <v>-996</v>
      </c>
      <c r="H14" s="10"/>
      <c r="I14" s="11"/>
    </row>
    <row r="15" spans="1:11" x14ac:dyDescent="0.2">
      <c r="A15" s="10">
        <v>12</v>
      </c>
      <c r="B15" s="11">
        <v>-743592</v>
      </c>
      <c r="C15" s="11">
        <v>-743981</v>
      </c>
      <c r="D15" s="11">
        <v>-51999</v>
      </c>
      <c r="E15" s="11">
        <v>-50000</v>
      </c>
      <c r="F15" s="25">
        <f t="shared" si="0"/>
        <v>1610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-8899992</v>
      </c>
      <c r="C35" s="11">
        <f>SUM(C4:C34)</f>
        <v>-8925348</v>
      </c>
      <c r="D35" s="11">
        <f>SUM(D4:D34)</f>
        <v>-337969</v>
      </c>
      <c r="E35" s="11">
        <f>SUM(E4:E34)</f>
        <v>-330000</v>
      </c>
      <c r="F35" s="11">
        <f>SUM(F4:F34)</f>
        <v>-17387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37103</v>
      </c>
      <c r="F38" s="452">
        <v>145102</v>
      </c>
    </row>
    <row r="39" spans="1:45" x14ac:dyDescent="0.2">
      <c r="A39" s="2"/>
      <c r="F39" s="24"/>
    </row>
    <row r="40" spans="1:45" x14ac:dyDescent="0.2">
      <c r="A40" s="57">
        <v>37115</v>
      </c>
      <c r="F40" s="51">
        <f>+F38+F35</f>
        <v>127715</v>
      </c>
    </row>
    <row r="42" spans="1:45" x14ac:dyDescent="0.2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">
      <c r="A44" s="32" t="s">
        <v>159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">
      <c r="A45" s="49">
        <f>+A38</f>
        <v>37103</v>
      </c>
      <c r="B45" s="32"/>
      <c r="C45" s="32"/>
      <c r="D45" s="446">
        <v>448413.9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">
      <c r="A46" s="49">
        <f>+A40</f>
        <v>37115</v>
      </c>
      <c r="B46" s="32"/>
      <c r="C46" s="32"/>
      <c r="D46" s="410">
        <f>+F35*'by type'!J4</f>
        <v>-49552.950000000004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">
      <c r="A47" s="32"/>
      <c r="B47" s="32"/>
      <c r="C47" s="32"/>
      <c r="D47" s="202">
        <f>+D46+D45</f>
        <v>398860.95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workbookViewId="3">
      <selection activeCell="B15" sqref="B15:C15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4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+G4+E4+C4-F4-D4-B4</f>
        <v>25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+G5+E5+C5-F5-D5-B5</f>
        <v>-386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1352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-151514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1121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29">
        <v>-151656</v>
      </c>
      <c r="C8" s="11">
        <v>-150001</v>
      </c>
      <c r="D8" s="11">
        <v>-55077</v>
      </c>
      <c r="E8" s="11">
        <v>-56162</v>
      </c>
      <c r="F8" s="11"/>
      <c r="G8" s="11"/>
      <c r="H8" s="11">
        <f t="shared" si="0"/>
        <v>570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-153786</v>
      </c>
      <c r="C9" s="11">
        <v>-150001</v>
      </c>
      <c r="D9" s="11">
        <v>-52179</v>
      </c>
      <c r="E9" s="11">
        <v>-56162</v>
      </c>
      <c r="F9" s="11"/>
      <c r="G9" s="11"/>
      <c r="H9" s="11">
        <f t="shared" si="0"/>
        <v>-198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29">
        <v>-138012</v>
      </c>
      <c r="C10" s="11">
        <v>-58418</v>
      </c>
      <c r="D10" s="11">
        <v>-1800</v>
      </c>
      <c r="E10" s="11">
        <v>-79718</v>
      </c>
      <c r="F10" s="11"/>
      <c r="G10" s="11"/>
      <c r="H10" s="11">
        <f t="shared" si="0"/>
        <v>1676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-144890</v>
      </c>
      <c r="C11" s="11">
        <v>-82115</v>
      </c>
      <c r="D11" s="129">
        <v>-48170</v>
      </c>
      <c r="E11" s="11">
        <v>-109950</v>
      </c>
      <c r="F11" s="11"/>
      <c r="G11" s="11"/>
      <c r="H11" s="11">
        <f t="shared" si="0"/>
        <v>995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-123111</v>
      </c>
      <c r="C12" s="11">
        <v>-64023</v>
      </c>
      <c r="D12" s="11">
        <v>-1611</v>
      </c>
      <c r="E12" s="11">
        <v>-59950</v>
      </c>
      <c r="F12" s="11"/>
      <c r="G12" s="11"/>
      <c r="H12" s="11">
        <f t="shared" si="0"/>
        <v>749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-150419</v>
      </c>
      <c r="C13" s="11">
        <v>-90703</v>
      </c>
      <c r="D13" s="11"/>
      <c r="E13" s="129">
        <v>-59808</v>
      </c>
      <c r="F13" s="11"/>
      <c r="G13" s="11"/>
      <c r="H13" s="11">
        <f t="shared" si="0"/>
        <v>-92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>
        <v>-159142</v>
      </c>
      <c r="C14" s="11">
        <v>-138136</v>
      </c>
      <c r="D14" s="11">
        <v>-58416</v>
      </c>
      <c r="E14" s="11">
        <v>-79950</v>
      </c>
      <c r="F14" s="11"/>
      <c r="G14" s="11"/>
      <c r="H14" s="11">
        <f t="shared" si="0"/>
        <v>-528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-1562181</v>
      </c>
      <c r="C35" s="44">
        <f t="shared" si="1"/>
        <v>-1133345</v>
      </c>
      <c r="D35" s="11">
        <f t="shared" si="1"/>
        <v>-392134</v>
      </c>
      <c r="E35" s="44">
        <f t="shared" si="1"/>
        <v>-815686</v>
      </c>
      <c r="F35" s="11">
        <f t="shared" si="1"/>
        <v>0</v>
      </c>
      <c r="G35" s="11">
        <f t="shared" si="1"/>
        <v>0</v>
      </c>
      <c r="H35" s="11">
        <f t="shared" si="1"/>
        <v>5284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2.85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15059.4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60">
        <v>460835.37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37114</v>
      </c>
      <c r="F39" s="47"/>
      <c r="G39" s="47"/>
      <c r="H39" s="137">
        <f>+H38+H37</f>
        <v>475894.77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158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111236</v>
      </c>
      <c r="F46" s="11"/>
      <c r="G46" s="11"/>
      <c r="H46" s="11"/>
      <c r="J46" s="102"/>
      <c r="L46" s="2"/>
    </row>
    <row r="47" spans="1:14" x14ac:dyDescent="0.2">
      <c r="A47" s="101"/>
      <c r="B47" s="49">
        <f>+E39</f>
        <v>37114</v>
      </c>
      <c r="E47" s="380">
        <f>+H35</f>
        <v>5284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116520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9" workbookViewId="3">
      <selection activeCell="A40" sqref="A40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-306663</v>
      </c>
      <c r="E5" s="11">
        <v>-308597</v>
      </c>
      <c r="F5" s="11"/>
      <c r="G5" s="11"/>
      <c r="H5" s="24">
        <f>+E5-D5+C5-B5</f>
        <v>-1934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v>-256855</v>
      </c>
      <c r="E6" s="11">
        <v>-261199</v>
      </c>
      <c r="F6" s="11"/>
      <c r="G6" s="11"/>
      <c r="H6" s="24">
        <f t="shared" ref="H6:H35" si="0">+E6-D6+C6-B6</f>
        <v>-4344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v>-279637</v>
      </c>
      <c r="E7" s="129">
        <v>-280376</v>
      </c>
      <c r="F7" s="11"/>
      <c r="G7" s="11"/>
      <c r="H7" s="24">
        <f t="shared" si="0"/>
        <v>-739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-263561</v>
      </c>
      <c r="E8" s="129">
        <v>-267286</v>
      </c>
      <c r="F8" s="11"/>
      <c r="G8" s="11"/>
      <c r="H8" s="24">
        <f t="shared" si="0"/>
        <v>-3725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-239483</v>
      </c>
      <c r="E9" s="11">
        <v>-241704</v>
      </c>
      <c r="F9" s="11"/>
      <c r="G9" s="11"/>
      <c r="H9" s="24">
        <f t="shared" si="0"/>
        <v>-2221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-258498</v>
      </c>
      <c r="E10" s="11">
        <v>-262660</v>
      </c>
      <c r="F10" s="11"/>
      <c r="G10" s="11"/>
      <c r="H10" s="24">
        <f t="shared" si="0"/>
        <v>-4162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-249479</v>
      </c>
      <c r="E11" s="11">
        <v>-254013</v>
      </c>
      <c r="F11" s="11"/>
      <c r="G11" s="11"/>
      <c r="H11" s="24">
        <f t="shared" si="0"/>
        <v>-4534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v>-272276</v>
      </c>
      <c r="E12" s="11">
        <v>-274969</v>
      </c>
      <c r="F12" s="11"/>
      <c r="G12" s="11"/>
      <c r="H12" s="24">
        <f t="shared" si="0"/>
        <v>-2693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-266075</v>
      </c>
      <c r="E13" s="11">
        <v>-268577</v>
      </c>
      <c r="F13" s="11"/>
      <c r="G13" s="11"/>
      <c r="H13" s="24">
        <f t="shared" si="0"/>
        <v>-2502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-278307</v>
      </c>
      <c r="E14" s="11">
        <v>-283415</v>
      </c>
      <c r="F14" s="11"/>
      <c r="G14" s="11"/>
      <c r="H14" s="24">
        <f t="shared" si="0"/>
        <v>-5108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-287669</v>
      </c>
      <c r="E15" s="11">
        <v>-288213</v>
      </c>
      <c r="F15" s="11"/>
      <c r="G15" s="11"/>
      <c r="H15" s="24">
        <f t="shared" si="0"/>
        <v>-544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v>-273937</v>
      </c>
      <c r="E16" s="11">
        <v>-275351</v>
      </c>
      <c r="F16" s="11"/>
      <c r="G16" s="11"/>
      <c r="H16" s="24">
        <f t="shared" si="0"/>
        <v>-1414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-3232440</v>
      </c>
      <c r="E36" s="11">
        <f t="shared" si="15"/>
        <v>-3266360</v>
      </c>
      <c r="F36" s="11">
        <f t="shared" si="15"/>
        <v>0</v>
      </c>
      <c r="G36" s="11">
        <f t="shared" si="15"/>
        <v>0</v>
      </c>
      <c r="H36" s="11">
        <f t="shared" si="15"/>
        <v>-33920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-33920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37103</v>
      </c>
      <c r="B38" s="2" t="s">
        <v>46</v>
      </c>
      <c r="C38" s="448">
        <v>64269</v>
      </c>
      <c r="D38" s="338"/>
      <c r="E38" s="449">
        <v>27596</v>
      </c>
      <c r="F38" s="24"/>
      <c r="G38" s="24"/>
      <c r="H38" s="240">
        <f>+C38+E38+G38</f>
        <v>91865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37115</v>
      </c>
      <c r="B39" s="2" t="s">
        <v>46</v>
      </c>
      <c r="C39" s="131">
        <f>+C38+C37</f>
        <v>64269</v>
      </c>
      <c r="D39" s="259"/>
      <c r="E39" s="131">
        <f>+E38+E37</f>
        <v>-6324</v>
      </c>
      <c r="F39" s="259"/>
      <c r="G39" s="131"/>
      <c r="H39" s="131">
        <f>+H38+H36</f>
        <v>57945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50"/>
      <c r="E40" s="250"/>
      <c r="F40" s="254"/>
      <c r="G40" s="250"/>
      <c r="H40" s="34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159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v>37103</v>
      </c>
      <c r="B44" s="32"/>
      <c r="C44" s="450">
        <v>-1582961</v>
      </c>
      <c r="D44" s="207"/>
      <c r="E44" s="451">
        <v>1186736.6200000001</v>
      </c>
      <c r="F44" s="47">
        <f>+E44+C44</f>
        <v>-396224.37999999989</v>
      </c>
      <c r="G44" s="252"/>
      <c r="H44" s="41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37115</v>
      </c>
      <c r="B45" s="32"/>
      <c r="C45" s="47">
        <f>+C37*summary!H4</f>
        <v>0</v>
      </c>
      <c r="D45" s="207"/>
      <c r="E45" s="412">
        <f>+E37*summary!H3</f>
        <v>-88531.199999999997</v>
      </c>
      <c r="F45" s="47">
        <f>+E45+C45</f>
        <v>-88531.199999999997</v>
      </c>
      <c r="G45" s="252"/>
      <c r="H45" s="41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</v>
      </c>
      <c r="D46" s="207"/>
      <c r="E46" s="412">
        <f>+E45+E44</f>
        <v>1098205.4200000002</v>
      </c>
      <c r="F46" s="47">
        <f>+E46+C46</f>
        <v>-484755.57999999984</v>
      </c>
      <c r="G46" s="252"/>
      <c r="H46" s="41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12"/>
      <c r="D47" s="412"/>
      <c r="E47" s="412"/>
      <c r="F47" s="47"/>
      <c r="G47" s="252"/>
      <c r="H47" s="41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7" workbookViewId="3">
      <selection activeCell="C41" sqref="C41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119572</v>
      </c>
      <c r="C11" s="11">
        <v>113703</v>
      </c>
      <c r="D11" s="25">
        <f t="shared" si="0"/>
        <v>-5869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112545</v>
      </c>
      <c r="C12" s="11">
        <v>111866</v>
      </c>
      <c r="D12" s="25">
        <f t="shared" si="0"/>
        <v>-679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112164</v>
      </c>
      <c r="C13" s="11">
        <v>113431</v>
      </c>
      <c r="D13" s="25">
        <f t="shared" si="0"/>
        <v>1267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113044</v>
      </c>
      <c r="C14" s="11">
        <v>111560</v>
      </c>
      <c r="D14" s="25">
        <f t="shared" si="0"/>
        <v>-1484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116403</v>
      </c>
      <c r="C15" s="11">
        <v>112898</v>
      </c>
      <c r="D15" s="25">
        <f t="shared" si="0"/>
        <v>-3505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103748</v>
      </c>
      <c r="C16" s="11">
        <v>104833</v>
      </c>
      <c r="D16" s="25">
        <f t="shared" si="0"/>
        <v>1085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107912</v>
      </c>
      <c r="C17" s="11">
        <v>106898</v>
      </c>
      <c r="D17" s="25">
        <f t="shared" si="0"/>
        <v>-1014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1333976</v>
      </c>
      <c r="C37" s="11">
        <f>SUM(C6:C36)</f>
        <v>1363568</v>
      </c>
      <c r="D37" s="11">
        <f>SUM(D6:D36)</f>
        <v>29592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">
      <c r="A39" s="57">
        <v>37103</v>
      </c>
      <c r="C39" s="15"/>
      <c r="D39" s="247">
        <v>54883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">
      <c r="A40" s="57">
        <v>37115</v>
      </c>
      <c r="C40" s="48"/>
      <c r="D40" s="25">
        <f>+D39+D37</f>
        <v>84475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">
      <c r="C41" s="47"/>
      <c r="H41" s="250"/>
      <c r="I41" s="250"/>
      <c r="J41" s="250"/>
      <c r="K41" s="250"/>
      <c r="L41" s="250"/>
    </row>
    <row r="42" spans="1:16" x14ac:dyDescent="0.2">
      <c r="A42" s="57"/>
      <c r="C42" s="50"/>
      <c r="D42" s="25"/>
      <c r="H42" s="250"/>
      <c r="I42" s="250"/>
      <c r="J42" s="250"/>
      <c r="K42" s="250"/>
      <c r="L42" s="250"/>
    </row>
    <row r="43" spans="1:16" x14ac:dyDescent="0.2">
      <c r="A43" s="57"/>
      <c r="C43" s="50"/>
      <c r="H43" s="250"/>
      <c r="I43" s="250"/>
      <c r="J43" s="250"/>
      <c r="K43" s="250"/>
      <c r="L43" s="250"/>
    </row>
    <row r="44" spans="1:16" x14ac:dyDescent="0.2">
      <c r="A44" s="32" t="s">
        <v>159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">
      <c r="A45" s="49">
        <f>+A39</f>
        <v>37103</v>
      </c>
      <c r="B45" s="32"/>
      <c r="C45" s="32"/>
      <c r="D45" s="202">
        <v>411751.53</v>
      </c>
    </row>
    <row r="46" spans="1:16" x14ac:dyDescent="0.2">
      <c r="A46" s="49">
        <f>+A40</f>
        <v>37115</v>
      </c>
      <c r="B46" s="32"/>
      <c r="C46" s="32"/>
      <c r="D46" s="410">
        <f>+D37*'by type'!J3</f>
        <v>77235.12</v>
      </c>
    </row>
    <row r="47" spans="1:16" x14ac:dyDescent="0.2">
      <c r="A47" s="32"/>
      <c r="B47" s="32"/>
      <c r="C47" s="32"/>
      <c r="D47" s="202">
        <f>+D46+D45</f>
        <v>488986.65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2001-08-10T20:50:03Z</cp:lastPrinted>
  <dcterms:created xsi:type="dcterms:W3CDTF">2000-03-28T16:52:23Z</dcterms:created>
  <dcterms:modified xsi:type="dcterms:W3CDTF">2023-09-16T19:57:59Z</dcterms:modified>
</cp:coreProperties>
</file>