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335267-E91B-403C-B303-DE04FAFFD931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activeTab="1"/>
    <workbookView xWindow="-120" yWindow="-120" windowWidth="38640" windowHeight="15720" tabRatio="60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D27" i="11"/>
  <c r="H27" i="11"/>
  <c r="AC27" i="11"/>
  <c r="AE27" i="11"/>
  <c r="AF27" i="11"/>
  <c r="AI27" i="11"/>
  <c r="AL27" i="11"/>
  <c r="AM27" i="11"/>
  <c r="AN27" i="11"/>
  <c r="AO27" i="11"/>
  <c r="AP27" i="11"/>
  <c r="D28" i="11"/>
  <c r="H28" i="11"/>
  <c r="AC28" i="11"/>
  <c r="AF28" i="11"/>
  <c r="AI28" i="11"/>
  <c r="AL28" i="11"/>
  <c r="AM28" i="11"/>
  <c r="AN28" i="11"/>
  <c r="AO28" i="11"/>
  <c r="AP28" i="11"/>
  <c r="D29" i="11"/>
  <c r="H29" i="11"/>
  <c r="AC29" i="11"/>
  <c r="AF29" i="11"/>
  <c r="AI29" i="11"/>
  <c r="AL29" i="11"/>
  <c r="AM29" i="11"/>
  <c r="AN29" i="11"/>
  <c r="AO29" i="11"/>
  <c r="AP29" i="11"/>
  <c r="D30" i="11"/>
  <c r="H30" i="11"/>
  <c r="AC30" i="11"/>
  <c r="AF30" i="11"/>
  <c r="AI30" i="11"/>
  <c r="AL30" i="11"/>
  <c r="AM30" i="11"/>
  <c r="AN30" i="11"/>
  <c r="AO30" i="11"/>
  <c r="AP30" i="11"/>
  <c r="D31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<sst xmlns="http://schemas.openxmlformats.org/spreadsheetml/2006/main" count="667" uniqueCount="205">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</sst>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</v>
          </cell>
          <cell r="K39">
            <v>2.63</v>
          </cell>
          <cell r="M39">
            <v>2.81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abSelected="1" workbookViewId="3">
      <selection activeCell="A2" sqref="A2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2.63</v>
      </c>
      <c r="K3" s="437">
        <f ca="1">NOW()</f>
        <v>37132.645659374997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2.81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2.9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72274.61</v>
      </c>
      <c r="C12" s="402">
        <f>+B12/$J$4</f>
        <v>25720.501779359431</v>
      </c>
      <c r="D12" s="14">
        <f>+Calpine!D47</f>
        <v>126835</v>
      </c>
      <c r="E12" s="70">
        <f>+C12-D12</f>
        <v>-101114.49822064057</v>
      </c>
      <c r="F12" s="397">
        <f>+Calpine!A41</f>
        <v>37130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-214702.67</v>
      </c>
      <c r="C13" s="401">
        <f>+B13/$J$4</f>
        <v>-76406.644128113883</v>
      </c>
      <c r="D13" s="14">
        <f>+'Citizens-Griffith'!D48</f>
        <v>-101722</v>
      </c>
      <c r="E13" s="70">
        <f>+C13-D13</f>
        <v>25315.355871886117</v>
      </c>
      <c r="F13" s="397">
        <f>+'Citizens-Griffith'!A41</f>
        <v>37130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-430861.25</v>
      </c>
      <c r="C14" s="401">
        <f>+B14/$J$4</f>
        <v>-153331.40569395016</v>
      </c>
      <c r="D14" s="14">
        <f>+'NS Steel'!D50</f>
        <v>-81313</v>
      </c>
      <c r="E14" s="70">
        <f>+C14-D14</f>
        <v>-72018.405693950161</v>
      </c>
      <c r="F14" s="398">
        <f>+'NS Steel'!A41</f>
        <v>37130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-783780.84000000008</v>
      </c>
      <c r="C15" s="403">
        <f>+B15/$J$4</f>
        <v>-278925.56583629898</v>
      </c>
      <c r="D15" s="379">
        <f>+Citizens!D24</f>
        <v>-161931</v>
      </c>
      <c r="E15" s="72">
        <f>+C15-D15</f>
        <v>-116994.56583629898</v>
      </c>
      <c r="F15" s="397">
        <f>+Citizens!A18</f>
        <v>37130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-1357070.1500000001</v>
      </c>
      <c r="C16" s="428">
        <f>SUBTOTAL(9,C12:C15)</f>
        <v>-482943.11387900356</v>
      </c>
      <c r="D16" s="429">
        <f>SUBTOTAL(9,D12:D15)</f>
        <v>-218131</v>
      </c>
      <c r="E16" s="430">
        <f>SUBTOTAL(9,E12:E15)</f>
        <v>-264812.11387900356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29015.68</v>
      </c>
      <c r="C19" s="401">
        <f>+B19/$J$4</f>
        <v>10325.864768683274</v>
      </c>
      <c r="D19" s="14">
        <f>+transcol!D50</f>
        <v>-40837</v>
      </c>
      <c r="E19" s="70">
        <f>+C19-D19</f>
        <v>51162.86476868327</v>
      </c>
      <c r="F19" s="398">
        <f>+transcol!A43</f>
        <v>37130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8367.82</v>
      </c>
      <c r="C20" s="405">
        <f>+B20/$J$3</f>
        <v>3181.680608365019</v>
      </c>
      <c r="D20" s="379">
        <f>+burlington!D49</f>
        <v>2156</v>
      </c>
      <c r="E20" s="72">
        <f>+C20-D20</f>
        <v>1025.680608365019</v>
      </c>
      <c r="F20" s="397">
        <f>+burlington!A42</f>
        <v>37130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37383.5</v>
      </c>
      <c r="C21" s="422">
        <f>SUBTOTAL(9,C19:C20)</f>
        <v>13507.545377048293</v>
      </c>
      <c r="D21" s="429">
        <f>SUBTOTAL(9,D19:D20)</f>
        <v>-38681</v>
      </c>
      <c r="E21" s="430">
        <f>SUBTOTAL(9,E19:E20)</f>
        <v>52188.545377048285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321556.17999999993</v>
      </c>
      <c r="C24" s="401">
        <f t="shared" ref="C24:C35" si="0">+B24/$J$4</f>
        <v>114432.80427046261</v>
      </c>
      <c r="D24" s="14">
        <f>+NNG!D34</f>
        <v>-56079</v>
      </c>
      <c r="E24" s="70">
        <f t="shared" ref="E24:E37" si="1">+C24-D24</f>
        <v>170511.8042704626</v>
      </c>
      <c r="F24" s="397">
        <f>+NNG!A24</f>
        <v>37130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536617.18999999994</v>
      </c>
      <c r="C25" s="401">
        <f t="shared" si="0"/>
        <v>190966.97153024908</v>
      </c>
      <c r="D25" s="14">
        <f>+Conoco!D48</f>
        <v>68063</v>
      </c>
      <c r="E25" s="70">
        <f t="shared" si="1"/>
        <v>122903.97153024908</v>
      </c>
      <c r="F25" s="397">
        <f>+Conoco!A41</f>
        <v>37130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420792.42000000004</v>
      </c>
      <c r="C26" s="401">
        <f t="shared" si="0"/>
        <v>149748.19217081851</v>
      </c>
      <c r="D26" s="14">
        <f>+'Amoco Abo'!D49</f>
        <v>-243388</v>
      </c>
      <c r="E26" s="70">
        <f t="shared" si="1"/>
        <v>393136.19217081851</v>
      </c>
      <c r="F26" s="398">
        <f>+'Amoco Abo'!A43</f>
        <v>37130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446749.19999999995</v>
      </c>
      <c r="C27" s="401">
        <f t="shared" si="0"/>
        <v>158985.48042704625</v>
      </c>
      <c r="D27" s="14">
        <f>+KN_Westar!D48</f>
        <v>20836</v>
      </c>
      <c r="E27" s="70">
        <f t="shared" si="1"/>
        <v>138149.48042704625</v>
      </c>
      <c r="F27" s="398">
        <f>+KN_Westar!A41</f>
        <v>37130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247391.84999999963</v>
      </c>
      <c r="C28" s="402">
        <f t="shared" si="0"/>
        <v>88039.804270462497</v>
      </c>
      <c r="D28" s="14">
        <f>+DEFS!M53</f>
        <v>428123</v>
      </c>
      <c r="E28" s="70">
        <f t="shared" si="1"/>
        <v>-340083.19572953752</v>
      </c>
      <c r="F28" s="398">
        <f>+DEFS!A40</f>
        <v>37130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482889.83999999997</v>
      </c>
      <c r="C29" s="401">
        <f t="shared" si="0"/>
        <v>171846.91814946619</v>
      </c>
      <c r="D29" s="14">
        <f>+CIG!D49</f>
        <v>61853</v>
      </c>
      <c r="E29" s="70">
        <f t="shared" si="1"/>
        <v>109993.91814946619</v>
      </c>
      <c r="F29" s="398">
        <f>+CIG!A43</f>
        <v>37130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330829.57</v>
      </c>
      <c r="C30" s="401">
        <f t="shared" si="0"/>
        <v>117732.94306049822</v>
      </c>
      <c r="D30" s="14">
        <f>+mewborne!D49</f>
        <v>131454</v>
      </c>
      <c r="E30" s="70">
        <f t="shared" si="1"/>
        <v>-13721.056939501781</v>
      </c>
      <c r="F30" s="398">
        <f>+mewborne!A43</f>
        <v>37130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485054.76</v>
      </c>
      <c r="C31" s="401">
        <f t="shared" si="0"/>
        <v>172617.35231316727</v>
      </c>
      <c r="D31" s="14">
        <f>+PGETX!E48</f>
        <v>119855</v>
      </c>
      <c r="E31" s="70">
        <f t="shared" si="1"/>
        <v>52762.35231316727</v>
      </c>
      <c r="F31" s="398">
        <f>+PGETX!E39</f>
        <v>37130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134480.48999999996</v>
      </c>
      <c r="C32" s="401">
        <f t="shared" si="0"/>
        <v>47857.825622775788</v>
      </c>
      <c r="D32" s="14">
        <f>+PNM!D30</f>
        <v>9862</v>
      </c>
      <c r="E32" s="70">
        <f t="shared" si="1"/>
        <v>37995.825622775788</v>
      </c>
      <c r="F32" s="398">
        <f>+PNM!A23</f>
        <v>37130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85492.290000000008</v>
      </c>
      <c r="C33" s="401">
        <f t="shared" si="0"/>
        <v>30424.302491103204</v>
      </c>
      <c r="D33" s="14">
        <f>+EOG!D48</f>
        <v>-83013</v>
      </c>
      <c r="E33" s="70">
        <f t="shared" si="1"/>
        <v>113437.30249110321</v>
      </c>
      <c r="F33" s="397">
        <f>+EOG!A41</f>
        <v>37130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5040.2</v>
      </c>
      <c r="C34" s="401">
        <f t="shared" si="0"/>
        <v>1793.6654804270461</v>
      </c>
      <c r="D34" s="14">
        <f>+SidR!D48</f>
        <v>55101</v>
      </c>
      <c r="E34" s="70">
        <f t="shared" si="1"/>
        <v>-53307.334519572956</v>
      </c>
      <c r="F34" s="398">
        <f>+SidR!A41</f>
        <v>37130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-1856.4306049822062</v>
      </c>
      <c r="D35" s="14">
        <f>+Continental!D50</f>
        <v>-17302</v>
      </c>
      <c r="E35" s="70">
        <f t="shared" si="1"/>
        <v>15445.569395017794</v>
      </c>
      <c r="F35" s="398">
        <f>+Continental!A43</f>
        <v>37130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-125590.39999999999</v>
      </c>
      <c r="C36" s="402">
        <f>+B36/$J$5</f>
        <v>-43307.034482758623</v>
      </c>
      <c r="D36" s="14">
        <f>+EPFS!D47</f>
        <v>-32266</v>
      </c>
      <c r="E36" s="70">
        <f t="shared" si="1"/>
        <v>-11041.034482758623</v>
      </c>
      <c r="F36" s="397">
        <f>+EPFS!A41</f>
        <v>37130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-147623.11000000002</v>
      </c>
      <c r="C37" s="403">
        <f>+B37/$J$4</f>
        <v>-52534.914590747336</v>
      </c>
      <c r="D37" s="379">
        <f>+Agave!D31</f>
        <v>-87382</v>
      </c>
      <c r="E37" s="72">
        <f t="shared" si="1"/>
        <v>34847.085409252664</v>
      </c>
      <c r="F37" s="397">
        <f>+Agave!A24</f>
        <v>37130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3218463.91</v>
      </c>
      <c r="C38" s="428">
        <f>SUBTOTAL(9,C24:C37)</f>
        <v>1146747.8801079884</v>
      </c>
      <c r="D38" s="429">
        <f>SUBTOTAL(9,D24:D37)</f>
        <v>375717</v>
      </c>
      <c r="E38" s="430">
        <f>SUBTOTAL(9,E24:E37)</f>
        <v>771030.88010798872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1898777.2599999995</v>
      </c>
      <c r="C40" s="428">
        <f>SUBTOTAL(9,C12:C37)</f>
        <v>677312.31160603336</v>
      </c>
      <c r="D40" s="429">
        <f>SUBTOTAL(9,D12:D37)</f>
        <v>118905</v>
      </c>
      <c r="E40" s="430">
        <f>SUBTOTAL(9,E12:E37)</f>
        <v>558407.31160603324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2.63</v>
      </c>
      <c r="K46" s="437">
        <f ca="1">NOW()</f>
        <v>37132.645659374997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2.81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2.9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150635</v>
      </c>
      <c r="C55" s="375">
        <f>+B55*$J$4</f>
        <v>423284.35000000003</v>
      </c>
      <c r="D55" s="47">
        <f>+Mojave!D47</f>
        <v>123817.92</v>
      </c>
      <c r="E55" s="47">
        <f>+C55-D55</f>
        <v>299466.43000000005</v>
      </c>
      <c r="F55" s="398">
        <f>+Mojave!A40</f>
        <v>37130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174925</v>
      </c>
      <c r="C56" s="375">
        <f>+B56*$J$4</f>
        <v>491539.25</v>
      </c>
      <c r="D56" s="47">
        <f>+SoCal!D47</f>
        <v>532216.53</v>
      </c>
      <c r="E56" s="47">
        <f>+C56-D56</f>
        <v>-40677.280000000028</v>
      </c>
      <c r="F56" s="398">
        <f>+SoCal!A40</f>
        <v>37130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180278.36000000002</v>
      </c>
      <c r="D57" s="47">
        <f>+'El Paso'!C46</f>
        <v>-1583278.53</v>
      </c>
      <c r="E57" s="47">
        <f>+C57-D57</f>
        <v>1763556.8900000001</v>
      </c>
      <c r="F57" s="398">
        <f>+'El Paso'!A39</f>
        <v>37130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40407</v>
      </c>
      <c r="C58" s="378">
        <f>+B58*$J$4</f>
        <v>113543.67</v>
      </c>
      <c r="D58" s="378">
        <f>+'PG&amp;E'!D47</f>
        <v>-112508.71</v>
      </c>
      <c r="E58" s="378">
        <f>+C58-D58</f>
        <v>226052.38</v>
      </c>
      <c r="F58" s="398">
        <f>+'PG&amp;E'!A40</f>
        <v>37130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430123</v>
      </c>
      <c r="C59" s="421">
        <f>SUBTOTAL(9,C55:C58)</f>
        <v>1208645.6300000001</v>
      </c>
      <c r="D59" s="421">
        <f>SUBTOTAL(9,D55:D58)</f>
        <v>-1039752.7899999999</v>
      </c>
      <c r="E59" s="421">
        <f>SUBTOTAL(9,E55:E58)</f>
        <v>2248398.42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282816</v>
      </c>
      <c r="C62" s="375">
        <f>+B62*$J$3</f>
        <v>743806.08</v>
      </c>
      <c r="D62" s="47">
        <f>+williams!D48</f>
        <v>1307070.81</v>
      </c>
      <c r="E62" s="47">
        <f>+C62-D62</f>
        <v>-563264.7300000001</v>
      </c>
      <c r="F62" s="397">
        <f>+williams!A40</f>
        <v>37130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138607</v>
      </c>
      <c r="C63" s="376">
        <f>+B63*J3</f>
        <v>364536.41</v>
      </c>
      <c r="D63" s="202">
        <f>+'Red C'!D52</f>
        <v>667408.1</v>
      </c>
      <c r="E63" s="47">
        <f>+C63-D63</f>
        <v>-302871.69</v>
      </c>
      <c r="F63" s="397">
        <f>+'Red C'!B43</f>
        <v>37130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96673</v>
      </c>
      <c r="C64" s="375">
        <f>+B64*$J$3</f>
        <v>254249.99</v>
      </c>
      <c r="D64" s="47">
        <f>+Amoco!D47</f>
        <v>521659.23000000004</v>
      </c>
      <c r="E64" s="47">
        <f>+C64-D64</f>
        <v>-267409.24000000005</v>
      </c>
      <c r="F64" s="398">
        <f>+Amoco!A40</f>
        <v>37130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-65806</v>
      </c>
      <c r="C65" s="375">
        <f>+B65*$J$3</f>
        <v>-173069.78</v>
      </c>
      <c r="D65" s="47">
        <f>+'El Paso'!F46</f>
        <v>-642189.16999999993</v>
      </c>
      <c r="E65" s="47">
        <f>+C65-D65</f>
        <v>469119.3899999999</v>
      </c>
      <c r="F65" s="398">
        <f>+'El Paso'!A39</f>
        <v>37130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72208</v>
      </c>
      <c r="C66" s="378">
        <f>+B66*$J$3</f>
        <v>189907.03999999998</v>
      </c>
      <c r="D66" s="378">
        <f>+NW!E49</f>
        <v>-311303.7</v>
      </c>
      <c r="E66" s="378">
        <f>+C66-D66</f>
        <v>501210.74</v>
      </c>
      <c r="F66" s="397">
        <f>+NW!B41</f>
        <v>37130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524498</v>
      </c>
      <c r="C67" s="421">
        <f>SUBTOTAL(9,C62:C66)</f>
        <v>1379429.74</v>
      </c>
      <c r="D67" s="421">
        <f>SUBTOTAL(9,D62:D66)</f>
        <v>1542645.2700000003</v>
      </c>
      <c r="E67" s="421">
        <f>SUBTOTAL(9,E62:E66)</f>
        <v>-163215.53000000026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132598</v>
      </c>
      <c r="C70" s="375">
        <f>+B70*$J$4</f>
        <v>372600.38</v>
      </c>
      <c r="D70" s="47">
        <f>+NGPL!D45</f>
        <v>335329.24</v>
      </c>
      <c r="E70" s="47">
        <f>+C70-D70</f>
        <v>37271.140000000014</v>
      </c>
      <c r="F70" s="398">
        <f>+NGPL!A38</f>
        <v>37130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64491</v>
      </c>
      <c r="C71" s="376">
        <f>+B71*$J$4</f>
        <v>181219.71</v>
      </c>
      <c r="D71" s="47">
        <f>+PEPL!D47</f>
        <v>307966.76</v>
      </c>
      <c r="E71" s="47">
        <f>+C71-D71</f>
        <v>-126747.05000000002</v>
      </c>
      <c r="F71" s="398">
        <f>+PEPL!A41</f>
        <v>37130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43457</v>
      </c>
      <c r="C72" s="375">
        <f>+B72*$J$4</f>
        <v>122114.17</v>
      </c>
      <c r="D72" s="47">
        <f>+Oasis!D47</f>
        <v>-263727.17</v>
      </c>
      <c r="E72" s="47">
        <f>+C72-D72</f>
        <v>385841.33999999997</v>
      </c>
      <c r="F72" s="398">
        <f>+Oasis!B40</f>
        <v>37130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71070</v>
      </c>
      <c r="C73" s="378">
        <f>+B73*$J$4</f>
        <v>199706.7</v>
      </c>
      <c r="D73" s="378">
        <f>+Lonestar!D49</f>
        <v>67625.7</v>
      </c>
      <c r="E73" s="378">
        <f>+C73-D73</f>
        <v>132081</v>
      </c>
      <c r="F73" s="397">
        <f>+Lonestar!B42</f>
        <v>37130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311616</v>
      </c>
      <c r="C74" s="421">
        <f>SUBTOTAL(9,C70:C73)</f>
        <v>875640.96</v>
      </c>
      <c r="D74" s="421">
        <f>SUBTOTAL(9,D70:D73)</f>
        <v>447194.53</v>
      </c>
      <c r="E74" s="421">
        <f>SUBTOTAL(9,E70:E73)</f>
        <v>428446.42999999993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1266237</v>
      </c>
      <c r="C76" s="421">
        <f>SUBTOTAL(9,C55:C73)</f>
        <v>3463716.3300000005</v>
      </c>
      <c r="D76" s="421">
        <f>SUBTOTAL(9,D55:D73)</f>
        <v>950087.01000000024</v>
      </c>
      <c r="E76" s="421">
        <f>SUBTOTAL(9,E55:E73)</f>
        <v>2513629.3199999998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5362493.59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1943549.3116060332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1" workbookViewId="3">
      <selection activeCell="E35" sqref="E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145720</v>
      </c>
      <c r="C28" s="150">
        <v>145465</v>
      </c>
      <c r="D28" s="150">
        <v>10112</v>
      </c>
      <c r="E28" s="150">
        <v>12532</v>
      </c>
      <c r="F28" s="11">
        <f t="shared" si="5"/>
        <v>2165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144699</v>
      </c>
      <c r="C29" s="150">
        <v>144643</v>
      </c>
      <c r="D29" s="150">
        <v>14070</v>
      </c>
      <c r="E29" s="150">
        <v>12532</v>
      </c>
      <c r="F29" s="11">
        <f t="shared" si="5"/>
        <v>-1594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143989</v>
      </c>
      <c r="C30" s="150">
        <v>141813</v>
      </c>
      <c r="D30" s="150">
        <v>13039</v>
      </c>
      <c r="E30" s="150">
        <v>12532</v>
      </c>
      <c r="F30" s="11">
        <f t="shared" si="5"/>
        <v>-2683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143943</v>
      </c>
      <c r="C31" s="150">
        <v>144862</v>
      </c>
      <c r="D31" s="150">
        <v>12535</v>
      </c>
      <c r="E31" s="150">
        <v>12532</v>
      </c>
      <c r="F31" s="11">
        <f t="shared" si="5"/>
        <v>916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144473</v>
      </c>
      <c r="C32" s="150">
        <v>144669</v>
      </c>
      <c r="D32" s="150">
        <v>11941</v>
      </c>
      <c r="E32" s="150">
        <v>12532</v>
      </c>
      <c r="F32" s="11">
        <f t="shared" si="5"/>
        <v>787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147274</v>
      </c>
      <c r="C33" s="150">
        <v>147179</v>
      </c>
      <c r="D33" s="150">
        <v>12678</v>
      </c>
      <c r="E33" s="150">
        <v>12532</v>
      </c>
      <c r="F33" s="11">
        <f t="shared" si="5"/>
        <v>-241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146317</v>
      </c>
      <c r="C34" s="150">
        <v>147597</v>
      </c>
      <c r="D34" s="150">
        <v>12557</v>
      </c>
      <c r="E34" s="150">
        <v>12532</v>
      </c>
      <c r="F34" s="11">
        <f t="shared" si="5"/>
        <v>1255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3787317</v>
      </c>
      <c r="C39" s="150">
        <f>SUM(C8:C38)</f>
        <v>3777790</v>
      </c>
      <c r="D39" s="150">
        <f>SUM(D8:D38)</f>
        <v>329343</v>
      </c>
      <c r="E39" s="150">
        <f>SUM(E8:E38)</f>
        <v>330344</v>
      </c>
      <c r="F39" s="11">
        <f t="shared" si="5"/>
        <v>-8526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46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37130</v>
      </c>
      <c r="C43" s="142"/>
      <c r="D43" s="142"/>
      <c r="E43" s="142"/>
      <c r="F43" s="150">
        <f>+F42+F39</f>
        <v>138607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0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37130</v>
      </c>
      <c r="B51" s="32"/>
      <c r="C51" s="32"/>
      <c r="D51" s="408">
        <f>+F39*'by type'!J3</f>
        <v>-22423.379999999997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667408.1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5" workbookViewId="3">
      <selection activeCell="C33" sqref="C3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-36219</v>
      </c>
      <c r="C25" s="24">
        <v>-35934</v>
      </c>
      <c r="D25" s="24">
        <f t="shared" si="0"/>
        <v>285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-87894</v>
      </c>
      <c r="C26" s="24">
        <v>-87282</v>
      </c>
      <c r="D26" s="24">
        <f t="shared" si="0"/>
        <v>612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-50383</v>
      </c>
      <c r="C27" s="24">
        <v>-50285</v>
      </c>
      <c r="D27" s="24">
        <f t="shared" si="0"/>
        <v>98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-65432</v>
      </c>
      <c r="C28" s="24">
        <v>-65738</v>
      </c>
      <c r="D28" s="24">
        <f t="shared" si="0"/>
        <v>-306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-88880</v>
      </c>
      <c r="C29" s="24">
        <v>-88719</v>
      </c>
      <c r="D29" s="24">
        <f t="shared" si="0"/>
        <v>161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-89441</v>
      </c>
      <c r="C30" s="24">
        <v>-88745</v>
      </c>
      <c r="D30" s="24">
        <f t="shared" si="0"/>
        <v>696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-88618</v>
      </c>
      <c r="C31" s="24">
        <v>-88659</v>
      </c>
      <c r="D31" s="24">
        <f t="shared" si="0"/>
        <v>-41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-1629682</v>
      </c>
      <c r="C36" s="24">
        <f>SUM(C5:C35)</f>
        <v>-1621204</v>
      </c>
      <c r="D36" s="24">
        <f t="shared" si="0"/>
        <v>8478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39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37130</v>
      </c>
      <c r="C40" s="24"/>
      <c r="D40" s="195">
        <f>+D36+D38</f>
        <v>43457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0">
        <v>-287550.34999999998</v>
      </c>
    </row>
    <row r="46" spans="1:65" x14ac:dyDescent="0.2">
      <c r="A46" s="49">
        <f>+B40</f>
        <v>37130</v>
      </c>
      <c r="B46" s="32"/>
      <c r="C46" s="32"/>
      <c r="D46" s="408">
        <f>+D36*'by type'!J4</f>
        <v>23823.18</v>
      </c>
    </row>
    <row r="47" spans="1:65" x14ac:dyDescent="0.2">
      <c r="A47" s="32"/>
      <c r="B47" s="32"/>
      <c r="C47" s="32"/>
      <c r="D47" s="202">
        <f>+D46+D45</f>
        <v>-263727.17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905097</v>
      </c>
      <c r="C5" s="90">
        <v>935278</v>
      </c>
      <c r="D5" s="90">
        <f>+C5-B5</f>
        <v>30181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859340</v>
      </c>
      <c r="C7" s="90">
        <v>842565</v>
      </c>
      <c r="D7" s="90">
        <f t="shared" si="0"/>
        <v>-16775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1174590</v>
      </c>
      <c r="C8" s="90">
        <v>1234138</v>
      </c>
      <c r="D8" s="90">
        <f t="shared" si="0"/>
        <v>59548</v>
      </c>
      <c r="E8" s="285"/>
      <c r="F8" s="283"/>
    </row>
    <row r="9" spans="1:13" x14ac:dyDescent="0.2">
      <c r="A9" s="87">
        <v>500293</v>
      </c>
      <c r="B9" s="90">
        <v>393088</v>
      </c>
      <c r="C9" s="90">
        <v>546819</v>
      </c>
      <c r="D9" s="90">
        <f t="shared" si="0"/>
        <v>153731</v>
      </c>
      <c r="E9" s="285"/>
      <c r="F9" s="283"/>
    </row>
    <row r="10" spans="1:13" x14ac:dyDescent="0.2">
      <c r="A10" s="87">
        <v>500302</v>
      </c>
      <c r="B10" s="319"/>
      <c r="C10" s="319">
        <v>10152</v>
      </c>
      <c r="D10" s="90">
        <f t="shared" si="0"/>
        <v>10152</v>
      </c>
      <c r="E10" s="285"/>
      <c r="F10" s="283"/>
    </row>
    <row r="11" spans="1:13" x14ac:dyDescent="0.2">
      <c r="A11" s="87">
        <v>500303</v>
      </c>
      <c r="B11" s="319">
        <v>236730</v>
      </c>
      <c r="C11" s="90">
        <v>301114</v>
      </c>
      <c r="D11" s="90">
        <f t="shared" si="0"/>
        <v>64384</v>
      </c>
      <c r="E11" s="285"/>
      <c r="F11" s="283"/>
    </row>
    <row r="12" spans="1:13" x14ac:dyDescent="0.2">
      <c r="A12" s="91">
        <v>500305</v>
      </c>
      <c r="B12" s="319">
        <v>925899</v>
      </c>
      <c r="C12" s="90">
        <v>1198302</v>
      </c>
      <c r="D12" s="90">
        <f t="shared" si="0"/>
        <v>272403</v>
      </c>
      <c r="E12" s="286"/>
      <c r="F12" s="283"/>
    </row>
    <row r="13" spans="1:13" x14ac:dyDescent="0.2">
      <c r="A13" s="87">
        <v>500307</v>
      </c>
      <c r="B13" s="319">
        <v>96406</v>
      </c>
      <c r="C13" s="90">
        <v>104790</v>
      </c>
      <c r="D13" s="90">
        <f t="shared" si="0"/>
        <v>8384</v>
      </c>
      <c r="E13" s="285"/>
      <c r="F13" s="283"/>
    </row>
    <row r="14" spans="1:13" x14ac:dyDescent="0.2">
      <c r="A14" s="87">
        <v>500313</v>
      </c>
      <c r="B14" s="90"/>
      <c r="C14" s="319">
        <v>2831</v>
      </c>
      <c r="D14" s="90">
        <f t="shared" si="0"/>
        <v>2831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606960</v>
      </c>
      <c r="C16" s="90"/>
      <c r="D16" s="90">
        <f t="shared" si="0"/>
        <v>-606960</v>
      </c>
      <c r="E16" s="285"/>
      <c r="F16" s="283"/>
    </row>
    <row r="17" spans="1:6" x14ac:dyDescent="0.2">
      <c r="A17" s="87">
        <v>500657</v>
      </c>
      <c r="B17" s="335">
        <v>131964</v>
      </c>
      <c r="C17" s="88">
        <v>148449</v>
      </c>
      <c r="D17" s="94">
        <f t="shared" si="0"/>
        <v>16485</v>
      </c>
      <c r="E17" s="285"/>
      <c r="F17" s="283"/>
    </row>
    <row r="18" spans="1:6" x14ac:dyDescent="0.2">
      <c r="A18" s="87"/>
      <c r="B18" s="88"/>
      <c r="C18" s="88"/>
      <c r="D18" s="88">
        <f>SUM(D5:D17)</f>
        <v>-5636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2.81</v>
      </c>
      <c r="E19" s="287"/>
      <c r="F19" s="283"/>
    </row>
    <row r="20" spans="1:6" x14ac:dyDescent="0.2">
      <c r="A20" s="87"/>
      <c r="B20" s="88"/>
      <c r="C20" s="88"/>
      <c r="D20" s="96">
        <f>+D19*D18</f>
        <v>-15837.16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2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37130</v>
      </c>
      <c r="B24" s="88"/>
      <c r="C24" s="88"/>
      <c r="D24" s="334">
        <f>+D22+D20</f>
        <v>-147623.11000000002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37130</v>
      </c>
      <c r="B30" s="32"/>
      <c r="C30" s="32"/>
      <c r="D30" s="379">
        <f>+D18</f>
        <v>-5636</v>
      </c>
    </row>
    <row r="31" spans="1:6" x14ac:dyDescent="0.2">
      <c r="A31" s="32"/>
      <c r="B31" s="32"/>
      <c r="C31" s="32"/>
      <c r="D31" s="14">
        <f>+D30+D29</f>
        <v>-87382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E31" sqref="E3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30402</v>
      </c>
      <c r="D23" s="11">
        <v>28474</v>
      </c>
      <c r="E23" s="11">
        <v>30834</v>
      </c>
      <c r="F23" s="25">
        <f t="shared" si="2"/>
        <v>-2926</v>
      </c>
      <c r="G23" s="25"/>
    </row>
    <row r="24" spans="1:7" x14ac:dyDescent="0.2">
      <c r="A24" s="41">
        <v>21</v>
      </c>
      <c r="B24" s="11">
        <v>36035</v>
      </c>
      <c r="C24" s="11">
        <v>30517</v>
      </c>
      <c r="D24" s="11">
        <v>27197</v>
      </c>
      <c r="E24" s="11">
        <v>30950</v>
      </c>
      <c r="F24" s="25">
        <f t="shared" si="2"/>
        <v>-1765</v>
      </c>
      <c r="G24" s="25"/>
    </row>
    <row r="25" spans="1:7" x14ac:dyDescent="0.2">
      <c r="A25" s="41">
        <v>22</v>
      </c>
      <c r="B25" s="11">
        <v>35506</v>
      </c>
      <c r="C25" s="11">
        <v>30517</v>
      </c>
      <c r="D25" s="11">
        <v>28224</v>
      </c>
      <c r="E25" s="11">
        <v>30949</v>
      </c>
      <c r="F25" s="25">
        <f t="shared" si="2"/>
        <v>-2264</v>
      </c>
      <c r="G25" s="25"/>
    </row>
    <row r="26" spans="1:7" x14ac:dyDescent="0.2">
      <c r="A26" s="41">
        <v>23</v>
      </c>
      <c r="B26" s="11">
        <v>36635</v>
      </c>
      <c r="C26" s="11">
        <v>30517</v>
      </c>
      <c r="D26" s="129">
        <v>27453</v>
      </c>
      <c r="E26" s="11">
        <v>30950</v>
      </c>
      <c r="F26" s="25">
        <f t="shared" si="2"/>
        <v>-2621</v>
      </c>
    </row>
    <row r="27" spans="1:7" x14ac:dyDescent="0.2">
      <c r="A27" s="41">
        <v>24</v>
      </c>
      <c r="B27" s="11">
        <v>36673</v>
      </c>
      <c r="C27" s="11">
        <v>30517</v>
      </c>
      <c r="D27" s="11">
        <v>30643</v>
      </c>
      <c r="E27" s="11">
        <v>30950</v>
      </c>
      <c r="F27" s="25">
        <f t="shared" si="2"/>
        <v>-5849</v>
      </c>
    </row>
    <row r="28" spans="1:7" x14ac:dyDescent="0.2">
      <c r="A28" s="41">
        <v>25</v>
      </c>
      <c r="B28" s="11">
        <v>33829</v>
      </c>
      <c r="C28" s="11">
        <v>30517</v>
      </c>
      <c r="D28" s="11">
        <v>27379</v>
      </c>
      <c r="E28" s="11">
        <v>30950</v>
      </c>
      <c r="F28" s="25">
        <f t="shared" si="2"/>
        <v>259</v>
      </c>
    </row>
    <row r="29" spans="1:7" x14ac:dyDescent="0.2">
      <c r="A29" s="41">
        <v>26</v>
      </c>
      <c r="B29" s="11">
        <v>35973</v>
      </c>
      <c r="C29" s="11">
        <v>30517</v>
      </c>
      <c r="D29" s="11">
        <v>29256</v>
      </c>
      <c r="E29" s="11">
        <v>30950</v>
      </c>
      <c r="F29" s="25">
        <f t="shared" si="2"/>
        <v>-3762</v>
      </c>
    </row>
    <row r="30" spans="1:7" x14ac:dyDescent="0.2">
      <c r="A30" s="41">
        <v>27</v>
      </c>
      <c r="B30" s="11">
        <v>30842</v>
      </c>
      <c r="C30" s="11">
        <v>27017</v>
      </c>
      <c r="D30" s="11">
        <v>31434</v>
      </c>
      <c r="E30" s="11">
        <v>34450</v>
      </c>
      <c r="F30" s="25">
        <f t="shared" si="2"/>
        <v>-809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937548</v>
      </c>
      <c r="C35" s="11">
        <f>SUM(C4:C34)</f>
        <v>877112</v>
      </c>
      <c r="D35" s="11">
        <f>SUM(D4:D34)</f>
        <v>809367</v>
      </c>
      <c r="E35" s="11">
        <f>SUM(E4:E34)</f>
        <v>842735</v>
      </c>
      <c r="F35" s="11">
        <f>+E35-D35+C35-B35</f>
        <v>-27068</v>
      </c>
    </row>
    <row r="36" spans="1:7" x14ac:dyDescent="0.2">
      <c r="A36" s="45"/>
      <c r="C36" s="14">
        <f>+C35-B35</f>
        <v>-60436</v>
      </c>
      <c r="D36" s="14"/>
      <c r="E36" s="14">
        <f>+E35-D35</f>
        <v>33368</v>
      </c>
      <c r="F36" s="47"/>
    </row>
    <row r="37" spans="1:7" x14ac:dyDescent="0.2">
      <c r="C37" s="15">
        <f>+summary!H4</f>
        <v>2.81</v>
      </c>
      <c r="D37" s="15"/>
      <c r="E37" s="15">
        <f>+C37</f>
        <v>2.81</v>
      </c>
      <c r="F37" s="24"/>
    </row>
    <row r="38" spans="1:7" x14ac:dyDescent="0.2">
      <c r="C38" s="48">
        <f>+C37*C36</f>
        <v>-169825.16</v>
      </c>
      <c r="D38" s="47"/>
      <c r="E38" s="48">
        <f>+E37*E36</f>
        <v>93764.08</v>
      </c>
      <c r="F38" s="46">
        <f>+E38+C38</f>
        <v>-76061.08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1">
        <v>612678.27</v>
      </c>
      <c r="D40" s="111"/>
      <c r="E40" s="451">
        <v>0</v>
      </c>
      <c r="F40" s="352">
        <f>+E40+C40</f>
        <v>612678.27</v>
      </c>
      <c r="G40" s="25"/>
    </row>
    <row r="41" spans="1:7" x14ac:dyDescent="0.2">
      <c r="A41" s="57">
        <v>37130</v>
      </c>
      <c r="C41" s="106">
        <f>+C40+C38</f>
        <v>442853.11</v>
      </c>
      <c r="D41" s="106"/>
      <c r="E41" s="106">
        <f>+E40+E38</f>
        <v>93764.08</v>
      </c>
      <c r="F41" s="106">
        <f>+E41+C41</f>
        <v>536617.18999999994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37130</v>
      </c>
      <c r="D47" s="379">
        <f>+F35</f>
        <v>-27068</v>
      </c>
      <c r="E47" s="11"/>
      <c r="F47" s="11"/>
      <c r="G47" s="25"/>
    </row>
    <row r="48" spans="1:7" x14ac:dyDescent="0.2">
      <c r="D48" s="14">
        <f>+D47+D46</f>
        <v>68063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5" workbookViewId="3">
      <selection activeCell="C32" sqref="C3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-5480</v>
      </c>
      <c r="F15" s="11">
        <f t="shared" si="2"/>
        <v>-1465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183412</v>
      </c>
      <c r="C25" s="11">
        <v>215195</v>
      </c>
      <c r="D25" s="11"/>
      <c r="E25" s="11">
        <v>-28318</v>
      </c>
      <c r="F25" s="11">
        <f t="shared" si="2"/>
        <v>3465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167828</v>
      </c>
      <c r="C26" s="11">
        <v>203102</v>
      </c>
      <c r="D26" s="11"/>
      <c r="E26" s="11">
        <v>-36302</v>
      </c>
      <c r="F26" s="11">
        <f t="shared" si="2"/>
        <v>-1028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178676</v>
      </c>
      <c r="C27" s="11">
        <v>190275</v>
      </c>
      <c r="D27" s="11"/>
      <c r="E27" s="11">
        <v>-10586</v>
      </c>
      <c r="F27" s="11">
        <f t="shared" si="2"/>
        <v>1013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175424</v>
      </c>
      <c r="C28" s="11">
        <v>196078</v>
      </c>
      <c r="D28" s="11"/>
      <c r="E28" s="11">
        <v>-20083</v>
      </c>
      <c r="F28" s="11">
        <f t="shared" si="2"/>
        <v>571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183300</v>
      </c>
      <c r="C29" s="11">
        <v>180188</v>
      </c>
      <c r="D29" s="11"/>
      <c r="E29" s="11"/>
      <c r="F29" s="11">
        <f t="shared" si="2"/>
        <v>-3112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186775</v>
      </c>
      <c r="C30" s="11">
        <v>185860</v>
      </c>
      <c r="D30" s="11"/>
      <c r="E30" s="11"/>
      <c r="F30" s="11">
        <f t="shared" si="2"/>
        <v>-915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198508</v>
      </c>
      <c r="C31" s="11">
        <v>203148</v>
      </c>
      <c r="D31" s="11"/>
      <c r="E31" s="11">
        <v>-5993</v>
      </c>
      <c r="F31" s="11">
        <f t="shared" si="2"/>
        <v>-1353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5112851</v>
      </c>
      <c r="C36" s="11">
        <f>SUM(C5:C35)</f>
        <v>5503619</v>
      </c>
      <c r="D36" s="11">
        <f>SUM(D5:D35)</f>
        <v>0</v>
      </c>
      <c r="E36" s="11">
        <f>SUM(E5:E35)</f>
        <v>-323670</v>
      </c>
      <c r="F36" s="11">
        <f>SUM(F5:F35)</f>
        <v>67098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1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37130</v>
      </c>
      <c r="F41" s="353">
        <f>+F39+F36</f>
        <v>72208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0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37130</v>
      </c>
      <c r="C48" s="32"/>
      <c r="D48" s="32"/>
      <c r="E48" s="408">
        <f>+F36*'by type'!J3</f>
        <v>176467.74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-311303.7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8" workbookViewId="3">
      <selection activeCell="C35" sqref="C35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>
        <v>97676</v>
      </c>
      <c r="C28" s="11">
        <v>96772</v>
      </c>
      <c r="D28" s="11">
        <f t="shared" si="0"/>
        <v>-904</v>
      </c>
      <c r="E28" s="10"/>
      <c r="F28" s="11"/>
      <c r="G28" s="11"/>
      <c r="H28" s="11"/>
    </row>
    <row r="29" spans="1:8" x14ac:dyDescent="0.2">
      <c r="A29" s="10">
        <v>22</v>
      </c>
      <c r="B29" s="11">
        <v>94387</v>
      </c>
      <c r="C29" s="11">
        <v>93565</v>
      </c>
      <c r="D29" s="11">
        <f t="shared" si="0"/>
        <v>-822</v>
      </c>
      <c r="E29" s="10"/>
      <c r="F29" s="11"/>
      <c r="G29" s="11"/>
      <c r="H29" s="11"/>
    </row>
    <row r="30" spans="1:8" x14ac:dyDescent="0.2">
      <c r="A30" s="10">
        <v>23</v>
      </c>
      <c r="B30" s="11">
        <v>97972</v>
      </c>
      <c r="C30" s="11">
        <v>98863</v>
      </c>
      <c r="D30" s="11">
        <f t="shared" si="0"/>
        <v>891</v>
      </c>
      <c r="E30" s="10"/>
      <c r="F30" s="11"/>
      <c r="G30" s="11"/>
      <c r="H30" s="11"/>
    </row>
    <row r="31" spans="1:8" x14ac:dyDescent="0.2">
      <c r="A31" s="10">
        <v>24</v>
      </c>
      <c r="B31" s="11">
        <v>94831</v>
      </c>
      <c r="C31" s="11">
        <v>94276</v>
      </c>
      <c r="D31" s="11">
        <f t="shared" si="0"/>
        <v>-555</v>
      </c>
      <c r="E31" s="10"/>
      <c r="F31" s="11"/>
      <c r="G31" s="11"/>
      <c r="H31" s="11"/>
    </row>
    <row r="32" spans="1:8" x14ac:dyDescent="0.2">
      <c r="A32" s="10">
        <v>25</v>
      </c>
      <c r="B32" s="11">
        <v>92197</v>
      </c>
      <c r="C32" s="11">
        <v>91637</v>
      </c>
      <c r="D32" s="11">
        <f t="shared" si="0"/>
        <v>-560</v>
      </c>
      <c r="E32" s="10"/>
      <c r="F32" s="11"/>
      <c r="G32" s="11"/>
      <c r="H32" s="11"/>
    </row>
    <row r="33" spans="1:8" x14ac:dyDescent="0.2">
      <c r="A33" s="10">
        <v>26</v>
      </c>
      <c r="B33" s="11">
        <v>90095</v>
      </c>
      <c r="C33" s="11">
        <v>91775</v>
      </c>
      <c r="D33" s="11">
        <f t="shared" si="0"/>
        <v>1680</v>
      </c>
      <c r="E33" s="10"/>
      <c r="F33" s="11"/>
      <c r="G33" s="11"/>
      <c r="H33" s="11"/>
    </row>
    <row r="34" spans="1:8" x14ac:dyDescent="0.2">
      <c r="A34" s="10">
        <v>27</v>
      </c>
      <c r="B34" s="11">
        <v>87986</v>
      </c>
      <c r="C34" s="11">
        <v>91776</v>
      </c>
      <c r="D34" s="11">
        <f t="shared" si="0"/>
        <v>3790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2528051</v>
      </c>
      <c r="C39" s="11">
        <f>SUM(C8:C38)</f>
        <v>2530689</v>
      </c>
      <c r="D39" s="11">
        <f>SUM(D8:D38)</f>
        <v>2638</v>
      </c>
      <c r="E39" s="10"/>
      <c r="F39" s="11"/>
      <c r="G39" s="11"/>
      <c r="H39" s="11"/>
    </row>
    <row r="40" spans="1:8" x14ac:dyDescent="0.2">
      <c r="A40" s="26"/>
      <c r="D40" s="75">
        <f>+summary!H4</f>
        <v>2.81</v>
      </c>
      <c r="E40" s="26"/>
      <c r="H40" s="75"/>
    </row>
    <row r="41" spans="1:8" x14ac:dyDescent="0.2">
      <c r="D41" s="197">
        <f>+D40*D39</f>
        <v>7412.78</v>
      </c>
      <c r="F41" s="252"/>
      <c r="H41" s="197"/>
    </row>
    <row r="42" spans="1:8" x14ac:dyDescent="0.2">
      <c r="A42" s="57">
        <v>37103</v>
      </c>
      <c r="D42" s="456">
        <v>21602.9</v>
      </c>
      <c r="E42" s="57"/>
      <c r="H42" s="197"/>
    </row>
    <row r="43" spans="1:8" x14ac:dyDescent="0.2">
      <c r="A43" s="57">
        <v>37130</v>
      </c>
      <c r="D43" s="198">
        <f>+D42+D41</f>
        <v>29015.68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37130</v>
      </c>
      <c r="B49" s="32"/>
      <c r="C49" s="32"/>
      <c r="D49" s="379">
        <f>+D39</f>
        <v>2638</v>
      </c>
    </row>
    <row r="50" spans="1:4" x14ac:dyDescent="0.2">
      <c r="A50" s="32"/>
      <c r="B50" s="32"/>
      <c r="C50" s="32"/>
      <c r="D50" s="14">
        <f>+D49+D48</f>
        <v>-40837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" workbookViewId="3">
      <selection activeCell="B9" sqref="B9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54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37130</v>
      </c>
      <c r="J7" s="32"/>
    </row>
    <row r="8" spans="1:10" x14ac:dyDescent="0.2">
      <c r="A8" s="253">
        <v>60874</v>
      </c>
      <c r="B8" s="361">
        <v>4546</v>
      </c>
      <c r="J8" s="32"/>
    </row>
    <row r="9" spans="1:10" x14ac:dyDescent="0.2">
      <c r="A9" s="253">
        <v>78169</v>
      </c>
      <c r="B9" s="361">
        <f>194138-187692</f>
        <v>6446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f>3861-5448</f>
        <v>-1587</v>
      </c>
      <c r="J11" s="32"/>
    </row>
    <row r="12" spans="1:10" x14ac:dyDescent="0.2">
      <c r="A12" s="253">
        <v>500251</v>
      </c>
      <c r="B12" s="332">
        <f>16200-14629</f>
        <v>1571</v>
      </c>
      <c r="J12" s="32"/>
    </row>
    <row r="13" spans="1:10" x14ac:dyDescent="0.2">
      <c r="A13" s="253">
        <v>500254</v>
      </c>
      <c r="B13" s="332">
        <f>2430-3276</f>
        <v>-846</v>
      </c>
      <c r="J13" s="32"/>
    </row>
    <row r="14" spans="1:10" x14ac:dyDescent="0.2">
      <c r="A14" s="32">
        <v>500255</v>
      </c>
      <c r="B14" s="332">
        <f>14850-15953</f>
        <v>-1103</v>
      </c>
      <c r="E14" s="32">
        <v>4840.7299999999996</v>
      </c>
      <c r="J14" s="32"/>
    </row>
    <row r="15" spans="1:10" x14ac:dyDescent="0.2">
      <c r="A15" s="32">
        <v>500262</v>
      </c>
      <c r="B15" s="332">
        <f>10800-5640</f>
        <v>5160</v>
      </c>
      <c r="E15" s="32">
        <v>67.239999999999995</v>
      </c>
      <c r="J15" s="32"/>
    </row>
    <row r="16" spans="1:10" x14ac:dyDescent="0.2">
      <c r="A16" s="290">
        <v>500267</v>
      </c>
      <c r="B16" s="362">
        <f>1598499-1564896</f>
        <v>33603</v>
      </c>
      <c r="E16" s="32">
        <f>+E14-E15</f>
        <v>4773.49</v>
      </c>
      <c r="J16" s="32"/>
    </row>
    <row r="17" spans="1:10" x14ac:dyDescent="0.2">
      <c r="B17" s="14">
        <f>SUM(B8:B16)</f>
        <v>47790</v>
      </c>
      <c r="J17" s="32"/>
    </row>
    <row r="18" spans="1:10" x14ac:dyDescent="0.2">
      <c r="B18" s="15">
        <f>+B31</f>
        <v>2.81</v>
      </c>
      <c r="C18" s="201">
        <f>+B18*B17</f>
        <v>134289.9</v>
      </c>
      <c r="G18" s="32"/>
      <c r="H18" s="413"/>
      <c r="I18" s="14"/>
      <c r="J18" s="32"/>
    </row>
    <row r="19" spans="1:10" x14ac:dyDescent="0.2">
      <c r="C19" s="339">
        <f>+C18+C5</f>
        <v>1297075.94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37103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2.81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37130</v>
      </c>
      <c r="F38" s="379">
        <f>+B17</f>
        <v>47790</v>
      </c>
      <c r="G38" s="379">
        <f>+B30</f>
        <v>0</v>
      </c>
      <c r="H38" s="379">
        <f>+B45</f>
        <v>8548</v>
      </c>
      <c r="I38" s="14"/>
    </row>
    <row r="39" spans="1:9" x14ac:dyDescent="0.2">
      <c r="A39" s="49">
        <v>37103</v>
      </c>
      <c r="C39" s="454">
        <v>732710.21</v>
      </c>
      <c r="F39" s="14">
        <f>+F38+F37</f>
        <v>270816</v>
      </c>
      <c r="G39" s="14">
        <f>+G38+G37</f>
        <v>117857</v>
      </c>
      <c r="H39" s="14">
        <f>+H38+H37</f>
        <v>147358</v>
      </c>
      <c r="I39" s="14">
        <f>+H39+G39+F39</f>
        <v>536031</v>
      </c>
    </row>
    <row r="40" spans="1:9" x14ac:dyDescent="0.2">
      <c r="G40" s="32"/>
      <c r="H40" s="15"/>
      <c r="I40" s="32"/>
    </row>
    <row r="41" spans="1:9" x14ac:dyDescent="0.2">
      <c r="A41" s="249">
        <v>37130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6939</v>
      </c>
      <c r="G43" s="32"/>
      <c r="H43" s="414"/>
      <c r="I43" s="14"/>
    </row>
    <row r="44" spans="1:9" x14ac:dyDescent="0.2">
      <c r="A44" s="32">
        <v>500392</v>
      </c>
      <c r="B44" s="257">
        <v>1609</v>
      </c>
      <c r="G44" s="32"/>
      <c r="H44" s="414"/>
      <c r="I44" s="14"/>
    </row>
    <row r="45" spans="1:9" x14ac:dyDescent="0.2">
      <c r="B45" s="14">
        <f>SUM(B42:B44)</f>
        <v>8548</v>
      </c>
      <c r="G45" s="32"/>
      <c r="H45" s="414"/>
      <c r="I45" s="14"/>
    </row>
    <row r="46" spans="1:9" x14ac:dyDescent="0.2">
      <c r="B46" s="201">
        <f>+B31</f>
        <v>2.81</v>
      </c>
      <c r="C46" s="201">
        <f>+B46*B45</f>
        <v>24019.88</v>
      </c>
      <c r="H46" s="414"/>
      <c r="I46" s="14"/>
    </row>
    <row r="47" spans="1:9" x14ac:dyDescent="0.2">
      <c r="C47" s="339">
        <f>+C46+C39</f>
        <v>756730.09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2426181.2599999998</v>
      </c>
      <c r="I56" s="14">
        <f>SUM(I39:I53)</f>
        <v>591366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14" workbookViewId="3">
      <selection activeCell="E30" sqref="E30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7932</v>
      </c>
      <c r="E24" s="11">
        <v>16205</v>
      </c>
      <c r="F24" s="11">
        <f t="shared" si="0"/>
        <v>8273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25349</v>
      </c>
      <c r="E25" s="11">
        <v>24612</v>
      </c>
      <c r="F25" s="11">
        <f t="shared" si="0"/>
        <v>-737</v>
      </c>
      <c r="I25" s="11"/>
      <c r="J25" s="24"/>
    </row>
    <row r="26" spans="1:10" x14ac:dyDescent="0.2">
      <c r="A26" s="10">
        <v>23</v>
      </c>
      <c r="B26" s="11"/>
      <c r="C26" s="11"/>
      <c r="D26" s="11">
        <v>25784</v>
      </c>
      <c r="E26" s="11">
        <v>24612</v>
      </c>
      <c r="F26" s="11">
        <f t="shared" si="0"/>
        <v>-1172</v>
      </c>
      <c r="I26" s="11"/>
      <c r="J26" s="24"/>
    </row>
    <row r="27" spans="1:10" x14ac:dyDescent="0.2">
      <c r="A27" s="10">
        <v>24</v>
      </c>
      <c r="B27" s="11"/>
      <c r="C27" s="11"/>
      <c r="D27" s="11">
        <v>26042</v>
      </c>
      <c r="E27" s="11">
        <v>24612</v>
      </c>
      <c r="F27" s="11">
        <f t="shared" si="0"/>
        <v>-1430</v>
      </c>
      <c r="I27" s="11"/>
      <c r="J27" s="24"/>
    </row>
    <row r="28" spans="1:10" x14ac:dyDescent="0.2">
      <c r="A28" s="10">
        <v>25</v>
      </c>
      <c r="B28" s="11"/>
      <c r="C28" s="11"/>
      <c r="D28" s="11">
        <v>26050</v>
      </c>
      <c r="E28" s="11">
        <v>24612</v>
      </c>
      <c r="F28" s="11">
        <f t="shared" si="0"/>
        <v>-1438</v>
      </c>
      <c r="I28" s="11"/>
      <c r="J28" s="24"/>
    </row>
    <row r="29" spans="1:10" x14ac:dyDescent="0.2">
      <c r="A29" s="10">
        <v>26</v>
      </c>
      <c r="B29" s="11"/>
      <c r="C29" s="11"/>
      <c r="D29" s="11">
        <v>26033</v>
      </c>
      <c r="E29" s="11">
        <v>24612</v>
      </c>
      <c r="F29" s="11">
        <f t="shared" si="0"/>
        <v>-1421</v>
      </c>
      <c r="I29" s="11"/>
      <c r="J29" s="24"/>
    </row>
    <row r="30" spans="1:10" x14ac:dyDescent="0.2">
      <c r="A30" s="10">
        <v>27</v>
      </c>
      <c r="B30" s="11"/>
      <c r="C30" s="11"/>
      <c r="D30" s="11">
        <v>25939</v>
      </c>
      <c r="E30" s="11">
        <v>24612</v>
      </c>
      <c r="F30" s="11">
        <f t="shared" si="0"/>
        <v>-1327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619120</v>
      </c>
      <c r="E35" s="11">
        <f>SUM(E4:E34)</f>
        <v>656117</v>
      </c>
      <c r="F35" s="11">
        <f>SUM(F4:F34)</f>
        <v>36963</v>
      </c>
      <c r="G35" s="11"/>
      <c r="H35" s="49">
        <f>+A40</f>
        <v>37130</v>
      </c>
      <c r="I35" s="379">
        <f>+C36</f>
        <v>-34</v>
      </c>
      <c r="J35" s="379">
        <f>+E36</f>
        <v>36997</v>
      </c>
      <c r="K35" s="208"/>
      <c r="L35" s="14"/>
    </row>
    <row r="36" spans="1:13" x14ac:dyDescent="0.2">
      <c r="C36" s="25">
        <f>+C35-B35</f>
        <v>-34</v>
      </c>
      <c r="E36" s="25">
        <f>+E35-D35</f>
        <v>36997</v>
      </c>
      <c r="F36" s="25">
        <f>+E36+C36</f>
        <v>36963</v>
      </c>
      <c r="H36" s="32"/>
      <c r="I36" s="14">
        <f>+I35+I34</f>
        <v>-178519</v>
      </c>
      <c r="J36" s="14">
        <f>+J35+J34</f>
        <v>-43535</v>
      </c>
      <c r="K36" s="14">
        <f>+J36+I36</f>
        <v>-222054</v>
      </c>
      <c r="L36" s="14"/>
    </row>
    <row r="37" spans="1:13" x14ac:dyDescent="0.2">
      <c r="C37" s="329">
        <f>+summary!H5</f>
        <v>2.9</v>
      </c>
      <c r="E37" s="104">
        <f>+C37</f>
        <v>2.9</v>
      </c>
      <c r="F37" s="138">
        <f>+F36*E37</f>
        <v>107192.7</v>
      </c>
    </row>
    <row r="38" spans="1:13" x14ac:dyDescent="0.2">
      <c r="C38" s="138">
        <f>+C37*C36</f>
        <v>-98.6</v>
      </c>
      <c r="E38" s="136">
        <f>+E37*E36</f>
        <v>107291.3</v>
      </c>
      <c r="F38" s="138">
        <f>+E38+C38</f>
        <v>107192.7</v>
      </c>
    </row>
    <row r="39" spans="1:13" x14ac:dyDescent="0.2">
      <c r="A39" s="57">
        <v>37103</v>
      </c>
      <c r="B39" s="2" t="s">
        <v>46</v>
      </c>
      <c r="C39" s="369">
        <v>-1023166</v>
      </c>
      <c r="D39" s="338"/>
      <c r="E39" s="449">
        <v>-496043.34</v>
      </c>
      <c r="F39" s="337">
        <f>+E39+C39</f>
        <v>-1519209.34</v>
      </c>
    </row>
    <row r="40" spans="1:13" x14ac:dyDescent="0.2">
      <c r="A40" s="57">
        <v>37130</v>
      </c>
      <c r="B40" s="2" t="s">
        <v>46</v>
      </c>
      <c r="C40" s="330">
        <f>+C39+C38</f>
        <v>-1023264.6</v>
      </c>
      <c r="D40" s="259"/>
      <c r="E40" s="330">
        <f>+E39+E38</f>
        <v>-388752.04000000004</v>
      </c>
      <c r="F40" s="330">
        <f>+E40+C40</f>
        <v>-1412016.6400000001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-2178789.41</v>
      </c>
      <c r="G49" s="250"/>
      <c r="K49" s="14">
        <f>SUM(K36:K48)</f>
        <v>-163243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2426181.2599999998</v>
      </c>
      <c r="M51" s="14">
        <f>+Duke!I56</f>
        <v>591366</v>
      </c>
    </row>
    <row r="53" spans="3:13" x14ac:dyDescent="0.2">
      <c r="F53" s="104">
        <f>+F51+F49</f>
        <v>247391.84999999963</v>
      </c>
      <c r="M53" s="16">
        <f>+M51+K49</f>
        <v>428123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I35" sqref="I35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7180</v>
      </c>
      <c r="C28" s="11">
        <v>6531</v>
      </c>
      <c r="D28" s="11"/>
      <c r="E28" s="11"/>
      <c r="F28" s="11">
        <v>965</v>
      </c>
      <c r="G28" s="11">
        <v>1150</v>
      </c>
      <c r="H28" s="11">
        <v>1220</v>
      </c>
      <c r="I28" s="11">
        <v>1283</v>
      </c>
      <c r="J28" s="25">
        <f t="shared" si="0"/>
        <v>-401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6993</v>
      </c>
      <c r="C29" s="11">
        <v>6531</v>
      </c>
      <c r="D29" s="11"/>
      <c r="E29" s="11"/>
      <c r="F29" s="11">
        <v>1003</v>
      </c>
      <c r="G29" s="11">
        <v>1150</v>
      </c>
      <c r="H29" s="11">
        <v>1451</v>
      </c>
      <c r="I29" s="11">
        <v>1283</v>
      </c>
      <c r="J29" s="25">
        <f t="shared" si="0"/>
        <v>-483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7013</v>
      </c>
      <c r="C30" s="11">
        <v>6531</v>
      </c>
      <c r="D30" s="11"/>
      <c r="E30" s="11"/>
      <c r="F30" s="11">
        <v>810</v>
      </c>
      <c r="G30" s="11">
        <v>1150</v>
      </c>
      <c r="H30" s="11">
        <v>1390</v>
      </c>
      <c r="I30" s="11">
        <v>1283</v>
      </c>
      <c r="J30" s="25">
        <f t="shared" si="0"/>
        <v>-249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7149</v>
      </c>
      <c r="C31" s="11">
        <v>6531</v>
      </c>
      <c r="D31" s="11"/>
      <c r="E31" s="11"/>
      <c r="F31" s="11">
        <v>912</v>
      </c>
      <c r="G31" s="11">
        <v>1150</v>
      </c>
      <c r="H31" s="11">
        <v>1365</v>
      </c>
      <c r="I31" s="11">
        <v>1283</v>
      </c>
      <c r="J31" s="25">
        <f t="shared" si="0"/>
        <v>-462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6994</v>
      </c>
      <c r="C32" s="11">
        <v>6531</v>
      </c>
      <c r="D32" s="11"/>
      <c r="E32" s="11"/>
      <c r="F32" s="11">
        <v>930</v>
      </c>
      <c r="G32" s="11">
        <v>1150</v>
      </c>
      <c r="H32" s="11">
        <v>1337</v>
      </c>
      <c r="I32" s="11">
        <v>1283</v>
      </c>
      <c r="J32" s="25">
        <f t="shared" si="0"/>
        <v>-297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6890</v>
      </c>
      <c r="C33" s="11">
        <v>6531</v>
      </c>
      <c r="D33" s="11"/>
      <c r="E33" s="11"/>
      <c r="F33" s="11">
        <v>1026</v>
      </c>
      <c r="G33" s="11">
        <v>1150</v>
      </c>
      <c r="H33" s="11">
        <v>1320</v>
      </c>
      <c r="I33" s="11">
        <v>1283</v>
      </c>
      <c r="J33" s="25">
        <f t="shared" si="0"/>
        <v>-272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6701</v>
      </c>
      <c r="C34" s="11">
        <v>6531</v>
      </c>
      <c r="D34" s="11"/>
      <c r="E34" s="11"/>
      <c r="F34" s="11">
        <v>411</v>
      </c>
      <c r="G34" s="11">
        <v>1150</v>
      </c>
      <c r="H34" s="11">
        <v>1170</v>
      </c>
      <c r="I34" s="11">
        <v>1283</v>
      </c>
      <c r="J34" s="25">
        <f t="shared" si="0"/>
        <v>682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184724</v>
      </c>
      <c r="C39" s="11">
        <f t="shared" si="1"/>
        <v>169319</v>
      </c>
      <c r="D39" s="11">
        <f t="shared" si="1"/>
        <v>0</v>
      </c>
      <c r="E39" s="11">
        <f t="shared" si="1"/>
        <v>0</v>
      </c>
      <c r="F39" s="11">
        <f t="shared" si="1"/>
        <v>27492</v>
      </c>
      <c r="G39" s="11">
        <f t="shared" si="1"/>
        <v>31050</v>
      </c>
      <c r="H39" s="11">
        <f t="shared" si="1"/>
        <v>37745</v>
      </c>
      <c r="I39" s="11">
        <f t="shared" si="1"/>
        <v>34641</v>
      </c>
      <c r="J39" s="25">
        <f t="shared" si="1"/>
        <v>-14951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-42012.31</v>
      </c>
      <c r="L41"/>
      <c r="R41" s="138"/>
      <c r="X41" s="138"/>
    </row>
    <row r="42" spans="1:24" x14ac:dyDescent="0.2">
      <c r="A42" s="57">
        <v>37103</v>
      </c>
      <c r="C42" s="15"/>
      <c r="J42" s="359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37130</v>
      </c>
      <c r="C43" s="48"/>
      <c r="J43" s="138">
        <f>+J42+J41</f>
        <v>330829.57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37130</v>
      </c>
      <c r="B48" s="32"/>
      <c r="C48" s="32"/>
      <c r="D48" s="379">
        <f>+J39</f>
        <v>-14951</v>
      </c>
      <c r="L48"/>
    </row>
    <row r="49" spans="1:12" x14ac:dyDescent="0.2">
      <c r="A49" s="32"/>
      <c r="B49" s="32"/>
      <c r="C49" s="32"/>
      <c r="D49" s="14">
        <f>+D48+D47</f>
        <v>131454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D35" sqref="D35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11913</v>
      </c>
      <c r="C28" s="11">
        <v>11494</v>
      </c>
      <c r="D28" s="11">
        <v>-36</v>
      </c>
      <c r="E28" s="11"/>
      <c r="F28" s="25">
        <f t="shared" si="0"/>
        <v>-383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10242</v>
      </c>
      <c r="C29" s="11">
        <v>11494</v>
      </c>
      <c r="D29" s="11">
        <v>-104</v>
      </c>
      <c r="E29" s="11"/>
      <c r="F29" s="25">
        <f t="shared" si="0"/>
        <v>1356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12102</v>
      </c>
      <c r="C30" s="11">
        <v>11494</v>
      </c>
      <c r="D30" s="11">
        <v>-81</v>
      </c>
      <c r="E30" s="11"/>
      <c r="F30" s="25">
        <f t="shared" si="0"/>
        <v>-527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12098</v>
      </c>
      <c r="C31" s="11">
        <v>11494</v>
      </c>
      <c r="D31" s="11">
        <v>-121</v>
      </c>
      <c r="E31" s="11"/>
      <c r="F31" s="25">
        <f t="shared" si="0"/>
        <v>-483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12322</v>
      </c>
      <c r="C32" s="11">
        <v>11494</v>
      </c>
      <c r="D32" s="11">
        <v>-47</v>
      </c>
      <c r="E32" s="11"/>
      <c r="F32" s="25">
        <f t="shared" si="0"/>
        <v>-781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12194</v>
      </c>
      <c r="C33" s="11">
        <v>11494</v>
      </c>
      <c r="D33" s="11">
        <v>-58</v>
      </c>
      <c r="E33" s="11"/>
      <c r="F33" s="25">
        <f t="shared" si="0"/>
        <v>-642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11515</v>
      </c>
      <c r="C34" s="11">
        <v>11494</v>
      </c>
      <c r="D34" s="11">
        <v>-65</v>
      </c>
      <c r="E34" s="11"/>
      <c r="F34" s="25">
        <f t="shared" si="0"/>
        <v>44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319040</v>
      </c>
      <c r="C39" s="11">
        <f>SUM(C8:C38)</f>
        <v>310486</v>
      </c>
      <c r="D39" s="11">
        <f>SUM(D8:D38)</f>
        <v>-944</v>
      </c>
      <c r="E39" s="11">
        <f>SUM(E8:E38)</f>
        <v>0</v>
      </c>
      <c r="F39" s="11">
        <f>SUM(F8:F38)</f>
        <v>-7610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-21384.100000000002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0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37130</v>
      </c>
      <c r="C43" s="48"/>
      <c r="D43" s="48"/>
      <c r="E43" s="48"/>
      <c r="F43" s="110">
        <f>+F42+F41</f>
        <v>420792.42000000004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37130</v>
      </c>
      <c r="B48" s="32"/>
      <c r="C48" s="32"/>
      <c r="D48" s="379">
        <f>+F39</f>
        <v>-7610</v>
      </c>
      <c r="E48" s="11"/>
    </row>
    <row r="49" spans="1:5" x14ac:dyDescent="0.2">
      <c r="A49" s="32"/>
      <c r="B49" s="32"/>
      <c r="C49" s="32"/>
      <c r="D49" s="14">
        <f>+D48+D47</f>
        <v>-243388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opLeftCell="A30" workbookViewId="3">
      <selection activeCell="H18" sqref="H18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2.63</v>
      </c>
      <c r="I3" s="407">
        <f ca="1">NOW()</f>
        <v>37132.645659374997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2.81</v>
      </c>
    </row>
    <row r="5" spans="1:32" ht="15" customHeight="1" x14ac:dyDescent="0.2">
      <c r="B5" s="367"/>
      <c r="G5" s="299" t="s">
        <v>120</v>
      </c>
      <c r="H5" s="372">
        <f>+'[1]0701'!$H$39</f>
        <v>2.9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374" t="s">
        <v>29</v>
      </c>
      <c r="B8" s="375">
        <f>+C8*$H$3</f>
        <v>743806.08</v>
      </c>
      <c r="C8" s="285">
        <f>+williams!J40</f>
        <v>282816</v>
      </c>
      <c r="D8" s="397">
        <f>+williams!A40</f>
        <v>37130</v>
      </c>
      <c r="E8" s="206" t="s">
        <v>87</v>
      </c>
      <c r="F8" s="206" t="s">
        <v>151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83</v>
      </c>
      <c r="B9" s="375">
        <f>+Conoco!$F$41</f>
        <v>536617.18999999994</v>
      </c>
      <c r="C9" s="285">
        <f>+B9/$H$4</f>
        <v>190966.97153024908</v>
      </c>
      <c r="D9" s="397">
        <f>+Conoco!A41</f>
        <v>37130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374" t="s">
        <v>33</v>
      </c>
      <c r="B10" s="375">
        <f>+C10*$H$4</f>
        <v>491539.25</v>
      </c>
      <c r="C10" s="208">
        <f>+SoCal!F40</f>
        <v>174925</v>
      </c>
      <c r="D10" s="397">
        <f>+SoCal!A40</f>
        <v>37130</v>
      </c>
      <c r="E10" s="206" t="s">
        <v>87</v>
      </c>
      <c r="F10" s="206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154</v>
      </c>
      <c r="B11" s="375">
        <f>+PGETX!$H$39</f>
        <v>485054.76</v>
      </c>
      <c r="C11" s="285">
        <f>+B11/$H$4</f>
        <v>172617.35231316727</v>
      </c>
      <c r="D11" s="398">
        <f>+PGETX!E39</f>
        <v>37130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113</v>
      </c>
      <c r="B12" s="375">
        <f>+CIG!$D$43</f>
        <v>482889.83999999997</v>
      </c>
      <c r="C12" s="285">
        <f>+B12/$H$4</f>
        <v>171846.91814946619</v>
      </c>
      <c r="D12" s="398">
        <f>+CIG!A43</f>
        <v>37130</v>
      </c>
      <c r="E12" s="32" t="s">
        <v>88</v>
      </c>
      <c r="F12" s="32" t="s">
        <v>116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110</v>
      </c>
      <c r="B13" s="375">
        <f>+KN_Westar!F41</f>
        <v>446749.19999999995</v>
      </c>
      <c r="C13" s="285">
        <f>+B13/$H$4</f>
        <v>158985.48042704625</v>
      </c>
      <c r="D13" s="398">
        <f>+KN_Westar!A41</f>
        <v>37130</v>
      </c>
      <c r="E13" s="32" t="s">
        <v>88</v>
      </c>
      <c r="F13" s="32" t="s">
        <v>103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97</v>
      </c>
      <c r="B14" s="375">
        <f>+C14*$H$4</f>
        <v>423284.35000000003</v>
      </c>
      <c r="C14" s="285">
        <f>+Mojave!D40</f>
        <v>150635</v>
      </c>
      <c r="D14" s="398">
        <f>+Mojave!A40</f>
        <v>37130</v>
      </c>
      <c r="E14" s="32" t="s">
        <v>87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3</v>
      </c>
      <c r="B15" s="375">
        <f>+'Amoco Abo'!$F$43</f>
        <v>420792.42000000004</v>
      </c>
      <c r="C15" s="285">
        <f>+B15/$H$4</f>
        <v>149748.19217081851</v>
      </c>
      <c r="D15" s="398">
        <f>+'Amoco Abo'!A43</f>
        <v>37130</v>
      </c>
      <c r="E15" s="32" t="s">
        <v>88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91</v>
      </c>
      <c r="B16" s="375">
        <f>+C16*$H$4</f>
        <v>372600.38</v>
      </c>
      <c r="C16" s="285">
        <f>+NGPL!F38</f>
        <v>132598</v>
      </c>
      <c r="D16" s="398">
        <f>+NGPL!A38</f>
        <v>37130</v>
      </c>
      <c r="E16" s="32" t="s">
        <v>87</v>
      </c>
      <c r="F16" s="32" t="s">
        <v>118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24</v>
      </c>
      <c r="B17" s="458">
        <f>+C17*$H$3</f>
        <v>364536.41</v>
      </c>
      <c r="C17" s="377">
        <f>+'Red C'!F43</f>
        <v>138607</v>
      </c>
      <c r="D17" s="397">
        <f>+'Red C'!B43</f>
        <v>37130</v>
      </c>
      <c r="E17" s="206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</v>
      </c>
      <c r="B18" s="375">
        <f>+mewborne!$J$43</f>
        <v>330829.57</v>
      </c>
      <c r="C18" s="285">
        <f>+B18/$H$4</f>
        <v>117732.94306049822</v>
      </c>
      <c r="D18" s="398">
        <f>+mewborne!A43</f>
        <v>37130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374" t="s">
        <v>90</v>
      </c>
      <c r="B19" s="375">
        <f>+NNG!$D$24</f>
        <v>321556.17999999993</v>
      </c>
      <c r="C19" s="285">
        <f>+B19/$H$4</f>
        <v>114432.80427046261</v>
      </c>
      <c r="D19" s="397">
        <f>+NNG!A24</f>
        <v>37130</v>
      </c>
      <c r="E19" s="206" t="s">
        <v>88</v>
      </c>
      <c r="F19" s="206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6</v>
      </c>
      <c r="B20" s="375">
        <f>+C20*$H$3</f>
        <v>254249.99</v>
      </c>
      <c r="C20" s="285">
        <f>+Amoco!D40</f>
        <v>96673</v>
      </c>
      <c r="D20" s="398">
        <f>+Amoco!A40</f>
        <v>37130</v>
      </c>
      <c r="E20" s="32" t="s">
        <v>87</v>
      </c>
      <c r="F20" s="32" t="s">
        <v>118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131</v>
      </c>
      <c r="B21" s="375">
        <f>+DEFS!F53</f>
        <v>247391.84999999963</v>
      </c>
      <c r="C21" s="208">
        <f>+B21/$H$4</f>
        <v>88039.804270462497</v>
      </c>
      <c r="D21" s="398">
        <f>+DEFS!A40</f>
        <v>37130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199706.7</v>
      </c>
      <c r="C22" s="285">
        <f>+Lonestar!F42</f>
        <v>71070</v>
      </c>
      <c r="D22" s="397">
        <f>+Lonestar!B42</f>
        <v>37130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</v>
      </c>
      <c r="B23" s="375">
        <f>+C23*$H$3</f>
        <v>189907.03999999998</v>
      </c>
      <c r="C23" s="208">
        <f>+NW!$F$41</f>
        <v>72208</v>
      </c>
      <c r="D23" s="397">
        <f>+NW!B41</f>
        <v>37130</v>
      </c>
      <c r="E23" s="32" t="s">
        <v>87</v>
      </c>
      <c r="F23" s="32" t="s">
        <v>118</v>
      </c>
      <c r="G23" s="381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148</v>
      </c>
      <c r="B24" s="376">
        <f>+C24*$H$4</f>
        <v>181219.71</v>
      </c>
      <c r="C24" s="377">
        <f>+PEPL!D41</f>
        <v>64491</v>
      </c>
      <c r="D24" s="398">
        <f>+PEPL!A41</f>
        <v>37130</v>
      </c>
      <c r="E24" s="32" t="s">
        <v>87</v>
      </c>
      <c r="F24" s="32" t="s">
        <v>103</v>
      </c>
      <c r="G24" s="32" t="s">
        <v>147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134480.48999999996</v>
      </c>
      <c r="C25" s="285">
        <f>+B25/$H$4</f>
        <v>47857.825622775788</v>
      </c>
      <c r="D25" s="398">
        <f>+PNM!A23</f>
        <v>37130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7</v>
      </c>
      <c r="B26" s="375">
        <f>+C26*$H$4</f>
        <v>122114.17</v>
      </c>
      <c r="C26" s="208">
        <f>+Oasis!D40</f>
        <v>43457</v>
      </c>
      <c r="D26" s="398">
        <f>+Oasis!B40</f>
        <v>37130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113543.67</v>
      </c>
      <c r="C27" s="208">
        <f>+'PG&amp;E'!D40</f>
        <v>40407</v>
      </c>
      <c r="D27" s="398">
        <f>+'PG&amp;E'!A40</f>
        <v>37130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106</v>
      </c>
      <c r="B28" s="375">
        <f>+EOG!J41</f>
        <v>85492.290000000008</v>
      </c>
      <c r="C28" s="285">
        <f>+B28/$H$4</f>
        <v>30424.302491103204</v>
      </c>
      <c r="D28" s="397">
        <f>+EOG!A41</f>
        <v>37130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74" t="s">
        <v>132</v>
      </c>
      <c r="B29" s="375">
        <f>+Calpine!D41</f>
        <v>72274.61</v>
      </c>
      <c r="C29" s="208">
        <f>+B29/$H$4</f>
        <v>25720.501779359431</v>
      </c>
      <c r="D29" s="397">
        <f>+Calpine!A41</f>
        <v>37130</v>
      </c>
      <c r="E29" s="206" t="s">
        <v>88</v>
      </c>
      <c r="F29" s="206" t="s">
        <v>102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74</v>
      </c>
      <c r="B30" s="376">
        <f>+transcol!$D$43</f>
        <v>29015.68</v>
      </c>
      <c r="C30" s="377">
        <f>+B30/$H$4</f>
        <v>10325.864768683274</v>
      </c>
      <c r="D30" s="397">
        <f>+transcol!A43</f>
        <v>37130</v>
      </c>
      <c r="E30" s="206" t="s">
        <v>88</v>
      </c>
      <c r="F30" s="206" t="s">
        <v>118</v>
      </c>
      <c r="G30" s="304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374" t="s">
        <v>98</v>
      </c>
      <c r="B31" s="375">
        <f>+burlington!D42</f>
        <v>8367.82</v>
      </c>
      <c r="C31" s="285">
        <f>+B31/$H$3</f>
        <v>3181.680608365019</v>
      </c>
      <c r="D31" s="397">
        <f>+burlington!A42</f>
        <v>37130</v>
      </c>
      <c r="E31" s="206" t="s">
        <v>88</v>
      </c>
      <c r="F31" s="32" t="s">
        <v>116</v>
      </c>
      <c r="G31" s="32" t="s">
        <v>150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34</v>
      </c>
      <c r="B32" s="375">
        <f>+'El Paso'!C39*summary!H4+'El Paso'!E39*summary!H3</f>
        <v>7208.5800000000163</v>
      </c>
      <c r="C32" s="285">
        <f>+'El Paso'!H39</f>
        <v>-1650</v>
      </c>
      <c r="D32" s="398">
        <f>+'El Paso'!A39</f>
        <v>37130</v>
      </c>
      <c r="E32" s="32" t="s">
        <v>87</v>
      </c>
      <c r="F32" s="32" t="s">
        <v>103</v>
      </c>
      <c r="G32" s="32" t="s">
        <v>122</v>
      </c>
      <c r="H32" s="206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253" t="s">
        <v>136</v>
      </c>
      <c r="B33" s="378">
        <f>+SidR!D41</f>
        <v>5040.2</v>
      </c>
      <c r="C33" s="71">
        <f>+B33/$H$4</f>
        <v>1793.6654804270461</v>
      </c>
      <c r="D33" s="398">
        <f>+SidR!A41</f>
        <v>37130</v>
      </c>
      <c r="E33" s="32" t="s">
        <v>88</v>
      </c>
      <c r="F33" s="32" t="s">
        <v>105</v>
      </c>
      <c r="G33" s="32" t="s">
        <v>168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7070268.4300000016</v>
      </c>
      <c r="C34" s="69">
        <f>SUM(C8:C33)</f>
        <v>2549911.3069428843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-783780.84000000008</v>
      </c>
      <c r="C37" s="208">
        <f>+B37/$H$4</f>
        <v>-278925.56583629898</v>
      </c>
      <c r="D37" s="397">
        <f>+Citizens!A18</f>
        <v>37130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-430861.25</v>
      </c>
      <c r="C38" s="208">
        <f>+B38/$H$4</f>
        <v>-153331.40569395016</v>
      </c>
      <c r="D38" s="398">
        <f>+'NS Steel'!A41</f>
        <v>37130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-214702.67</v>
      </c>
      <c r="C39" s="285">
        <f>+B39/$H$4</f>
        <v>-76406.644128113883</v>
      </c>
      <c r="D39" s="397">
        <f>+'Citizens-Griffith'!A41</f>
        <v>37130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4" t="s">
        <v>82</v>
      </c>
      <c r="B40" s="375">
        <f>+Agave!$D$24</f>
        <v>-147623.11000000002</v>
      </c>
      <c r="C40" s="208">
        <f>+B40/$H$4</f>
        <v>-52534.914590747336</v>
      </c>
      <c r="D40" s="397">
        <f>+Agave!A24</f>
        <v>37130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5">
        <f>+EPFS!D41</f>
        <v>-125590.39999999999</v>
      </c>
      <c r="C41" s="208">
        <f>+B41/$H$5</f>
        <v>-43307.034482758623</v>
      </c>
      <c r="D41" s="397">
        <f>+EPFS!A41</f>
        <v>37130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-1856.4306049822062</v>
      </c>
      <c r="D42" s="398">
        <f>+Continental!A43</f>
        <v>37130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-1707774.84</v>
      </c>
      <c r="C43" s="208">
        <f>SUM(C37:C42)</f>
        <v>-606361.99533685111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5362493.5900000017</v>
      </c>
      <c r="C45" s="384">
        <f>+C43+C34</f>
        <v>1943549.3116060332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-730731</v>
      </c>
      <c r="C7" s="80">
        <v>-361829</v>
      </c>
      <c r="D7" s="80">
        <f t="shared" si="0"/>
        <v>368902</v>
      </c>
    </row>
    <row r="8" spans="1:8" x14ac:dyDescent="0.2">
      <c r="A8" s="32">
        <v>60667</v>
      </c>
      <c r="B8" s="323">
        <v>-451202</v>
      </c>
      <c r="C8" s="80"/>
      <c r="D8" s="80">
        <f t="shared" si="0"/>
        <v>451202</v>
      </c>
      <c r="H8" s="254"/>
    </row>
    <row r="9" spans="1:8" x14ac:dyDescent="0.2">
      <c r="A9" s="32">
        <v>60749</v>
      </c>
      <c r="B9" s="323">
        <v>1117917</v>
      </c>
      <c r="C9" s="80">
        <v>134758</v>
      </c>
      <c r="D9" s="80">
        <f t="shared" si="0"/>
        <v>-983159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-136115</v>
      </c>
    </row>
    <row r="19" spans="1:5" x14ac:dyDescent="0.2">
      <c r="A19" s="32" t="s">
        <v>84</v>
      </c>
      <c r="B19" s="69"/>
      <c r="C19" s="69"/>
      <c r="D19" s="73">
        <f>+summary!H4</f>
        <v>2.81</v>
      </c>
    </row>
    <row r="20" spans="1:5" x14ac:dyDescent="0.2">
      <c r="B20" s="69"/>
      <c r="C20" s="69"/>
      <c r="D20" s="75">
        <f>+D19*D18</f>
        <v>-382483.15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47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37130</v>
      </c>
      <c r="B24" s="69"/>
      <c r="C24" s="69"/>
      <c r="D24" s="351">
        <f>+D22+D20</f>
        <v>321556.17999999993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37130</v>
      </c>
      <c r="D33" s="379">
        <f>+D18</f>
        <v>-136115</v>
      </c>
    </row>
    <row r="34" spans="1:4" x14ac:dyDescent="0.2">
      <c r="D34" s="14">
        <f>+D33+D32</f>
        <v>-56079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-55843</v>
      </c>
      <c r="C5" s="90">
        <v>-31330</v>
      </c>
      <c r="D5" s="90">
        <f t="shared" ref="D5:D13" si="0">+C5-B5</f>
        <v>24513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-3069632</v>
      </c>
      <c r="C7" s="90">
        <v>-3154103</v>
      </c>
      <c r="D7" s="90">
        <f t="shared" si="0"/>
        <v>-84471</v>
      </c>
      <c r="E7" s="285"/>
      <c r="F7" s="70"/>
    </row>
    <row r="8" spans="1:13" x14ac:dyDescent="0.2">
      <c r="A8" s="87">
        <v>58710</v>
      </c>
      <c r="B8" s="364">
        <v>-22709</v>
      </c>
      <c r="C8" s="90">
        <v>-1181</v>
      </c>
      <c r="D8" s="90">
        <f t="shared" si="0"/>
        <v>21528</v>
      </c>
      <c r="E8" s="285"/>
      <c r="F8" s="70"/>
    </row>
    <row r="9" spans="1:13" x14ac:dyDescent="0.2">
      <c r="A9" s="87">
        <v>60921</v>
      </c>
      <c r="B9" s="319">
        <v>2687795</v>
      </c>
      <c r="C9" s="90">
        <v>2610405</v>
      </c>
      <c r="D9" s="90">
        <f t="shared" si="0"/>
        <v>-77390</v>
      </c>
      <c r="E9" s="285"/>
      <c r="F9" s="70"/>
    </row>
    <row r="10" spans="1:13" x14ac:dyDescent="0.2">
      <c r="A10" s="87">
        <v>78026</v>
      </c>
      <c r="B10" s="364"/>
      <c r="C10" s="90">
        <v>64200</v>
      </c>
      <c r="D10" s="90">
        <f t="shared" si="0"/>
        <v>64200</v>
      </c>
      <c r="E10" s="285"/>
      <c r="F10" s="283"/>
    </row>
    <row r="11" spans="1:13" x14ac:dyDescent="0.2">
      <c r="A11" s="87">
        <v>500084</v>
      </c>
      <c r="B11" s="364">
        <v>-20590</v>
      </c>
      <c r="C11" s="90">
        <v>-27000</v>
      </c>
      <c r="D11" s="90">
        <f t="shared" si="0"/>
        <v>-6410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-272</v>
      </c>
      <c r="C13" s="90"/>
      <c r="D13" s="90">
        <f t="shared" si="0"/>
        <v>272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-57758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2.81</v>
      </c>
      <c r="E18" s="287"/>
      <c r="F18" s="283"/>
    </row>
    <row r="19" spans="1:7" x14ac:dyDescent="0.2">
      <c r="A19" s="87"/>
      <c r="B19" s="88"/>
      <c r="C19" s="88"/>
      <c r="D19" s="96">
        <f>+D18*D17</f>
        <v>-162299.98000000001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2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37130</v>
      </c>
      <c r="B23" s="88"/>
      <c r="C23" s="88"/>
      <c r="D23" s="334">
        <f>+D21+D19</f>
        <v>134480.48999999996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79">
        <f>+D17</f>
        <v>-57758</v>
      </c>
    </row>
    <row r="30" spans="1:7" x14ac:dyDescent="0.2">
      <c r="A30" s="32"/>
      <c r="B30" s="32"/>
      <c r="C30" s="32"/>
      <c r="D30" s="14">
        <f>+D29+D28</f>
        <v>9862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9" workbookViewId="3">
      <selection activeCell="C30" sqref="C3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6">
        <v>63907</v>
      </c>
      <c r="C20" s="346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6">
        <v>63938</v>
      </c>
      <c r="C21" s="346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6">
        <v>58756</v>
      </c>
      <c r="C22" s="346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6">
        <v>49619</v>
      </c>
      <c r="C23" s="346">
        <v>49630</v>
      </c>
      <c r="D23" s="14"/>
      <c r="E23" s="14"/>
      <c r="F23" s="90">
        <f t="shared" si="0"/>
        <v>11</v>
      </c>
    </row>
    <row r="24" spans="1:6" x14ac:dyDescent="0.2">
      <c r="A24">
        <v>22</v>
      </c>
      <c r="B24" s="346">
        <v>62677</v>
      </c>
      <c r="C24" s="346">
        <v>62726</v>
      </c>
      <c r="D24" s="14"/>
      <c r="E24" s="14"/>
      <c r="F24" s="90">
        <f t="shared" si="0"/>
        <v>49</v>
      </c>
    </row>
    <row r="25" spans="1:6" x14ac:dyDescent="0.2">
      <c r="A25">
        <v>23</v>
      </c>
      <c r="B25" s="346">
        <v>25217</v>
      </c>
      <c r="C25" s="346">
        <v>24938</v>
      </c>
      <c r="D25" s="14"/>
      <c r="E25" s="14"/>
      <c r="F25" s="90">
        <f t="shared" si="0"/>
        <v>-279</v>
      </c>
    </row>
    <row r="26" spans="1:6" x14ac:dyDescent="0.2">
      <c r="A26">
        <v>24</v>
      </c>
      <c r="B26" s="346">
        <v>47555</v>
      </c>
      <c r="C26" s="346">
        <v>47771</v>
      </c>
      <c r="D26" s="14"/>
      <c r="E26" s="14"/>
      <c r="F26" s="90">
        <f t="shared" si="0"/>
        <v>216</v>
      </c>
    </row>
    <row r="27" spans="1:6" x14ac:dyDescent="0.2">
      <c r="A27">
        <v>25</v>
      </c>
      <c r="B27" s="346">
        <v>61590</v>
      </c>
      <c r="C27" s="346">
        <v>59450</v>
      </c>
      <c r="D27" s="14"/>
      <c r="E27" s="14"/>
      <c r="F27" s="90">
        <f t="shared" si="0"/>
        <v>-2140</v>
      </c>
    </row>
    <row r="28" spans="1:6" x14ac:dyDescent="0.2">
      <c r="A28">
        <v>26</v>
      </c>
      <c r="B28" s="346">
        <v>62611</v>
      </c>
      <c r="C28" s="346">
        <v>59665</v>
      </c>
      <c r="D28" s="14"/>
      <c r="E28" s="14"/>
      <c r="F28" s="90">
        <f t="shared" si="0"/>
        <v>-2946</v>
      </c>
    </row>
    <row r="29" spans="1:6" x14ac:dyDescent="0.2">
      <c r="A29">
        <v>27</v>
      </c>
      <c r="B29" s="346">
        <v>40004</v>
      </c>
      <c r="C29" s="346">
        <v>39938</v>
      </c>
      <c r="D29" s="14"/>
      <c r="E29" s="14"/>
      <c r="F29" s="90">
        <f t="shared" si="0"/>
        <v>-66</v>
      </c>
    </row>
    <row r="30" spans="1:6" x14ac:dyDescent="0.2">
      <c r="A30">
        <v>28</v>
      </c>
      <c r="B30" s="346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1214553</v>
      </c>
      <c r="C34" s="297">
        <f>SUM(C3:C33)</f>
        <v>1195644</v>
      </c>
      <c r="D34" s="14">
        <f>SUM(D3:D33)</f>
        <v>-965</v>
      </c>
      <c r="E34" s="14">
        <f>SUM(E3:E33)</f>
        <v>0</v>
      </c>
      <c r="F34" s="14">
        <f>SUM(F3:F33)</f>
        <v>-17944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37103</v>
      </c>
      <c r="B37" s="14"/>
      <c r="C37" s="14"/>
      <c r="D37" s="14"/>
      <c r="E37" s="14"/>
      <c r="F37" s="446">
        <f>120271+30271</f>
        <v>150542</v>
      </c>
    </row>
    <row r="38" spans="1:6" x14ac:dyDescent="0.2">
      <c r="A38" s="263">
        <v>37130</v>
      </c>
      <c r="B38" s="14"/>
      <c r="C38" s="14"/>
      <c r="D38" s="14"/>
      <c r="E38" s="14"/>
      <c r="F38" s="150">
        <f>+F37+F34</f>
        <v>132598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0">
        <f>201367.37+184384.51</f>
        <v>385751.88</v>
      </c>
      <c r="F43" s="304"/>
    </row>
    <row r="44" spans="1:6" x14ac:dyDescent="0.2">
      <c r="A44" s="49">
        <f>+A38</f>
        <v>37130</v>
      </c>
      <c r="B44" s="32"/>
      <c r="C44" s="32"/>
      <c r="D44" s="408">
        <f>+F34*'by type'!J4</f>
        <v>-50422.64</v>
      </c>
      <c r="F44" s="304"/>
    </row>
    <row r="45" spans="1:6" x14ac:dyDescent="0.2">
      <c r="A45" s="32"/>
      <c r="B45" s="32"/>
      <c r="C45" s="32"/>
      <c r="D45" s="202">
        <f>+D44+D43</f>
        <v>335329.24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1" sqref="C3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>
        <v>-21002</v>
      </c>
      <c r="C24" s="11">
        <v>-20468</v>
      </c>
      <c r="D24" s="25">
        <f t="shared" si="0"/>
        <v>534</v>
      </c>
    </row>
    <row r="25" spans="1:4" x14ac:dyDescent="0.2">
      <c r="A25" s="10">
        <v>22</v>
      </c>
      <c r="B25" s="11">
        <v>-20992</v>
      </c>
      <c r="C25" s="11">
        <v>-20468</v>
      </c>
      <c r="D25" s="25">
        <f t="shared" si="0"/>
        <v>524</v>
      </c>
    </row>
    <row r="26" spans="1:4" x14ac:dyDescent="0.2">
      <c r="A26" s="10">
        <v>23</v>
      </c>
      <c r="B26" s="11">
        <v>-21004</v>
      </c>
      <c r="C26" s="11">
        <v>-20000</v>
      </c>
      <c r="D26" s="25">
        <f t="shared" si="0"/>
        <v>1004</v>
      </c>
    </row>
    <row r="27" spans="1:4" x14ac:dyDescent="0.2">
      <c r="A27" s="10">
        <v>24</v>
      </c>
      <c r="B27" s="11">
        <v>-20997</v>
      </c>
      <c r="C27" s="11">
        <v>-19966</v>
      </c>
      <c r="D27" s="25">
        <f t="shared" si="0"/>
        <v>1031</v>
      </c>
    </row>
    <row r="28" spans="1:4" x14ac:dyDescent="0.2">
      <c r="A28" s="10">
        <v>25</v>
      </c>
      <c r="B28" s="11">
        <v>-21000</v>
      </c>
      <c r="C28" s="11">
        <v>-20000</v>
      </c>
      <c r="D28" s="25">
        <f t="shared" si="0"/>
        <v>1000</v>
      </c>
    </row>
    <row r="29" spans="1:4" x14ac:dyDescent="0.2">
      <c r="A29" s="10">
        <v>26</v>
      </c>
      <c r="B29" s="11">
        <v>-21002</v>
      </c>
      <c r="C29" s="11">
        <v>-20000</v>
      </c>
      <c r="D29" s="25">
        <f t="shared" si="0"/>
        <v>1002</v>
      </c>
    </row>
    <row r="30" spans="1:4" x14ac:dyDescent="0.2">
      <c r="A30" s="10">
        <v>27</v>
      </c>
      <c r="B30" s="11">
        <v>-19508</v>
      </c>
      <c r="C30" s="11">
        <v>-20000</v>
      </c>
      <c r="D30" s="25">
        <f t="shared" si="0"/>
        <v>-492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-572012</v>
      </c>
      <c r="C35" s="11">
        <f>SUM(C4:C34)</f>
        <v>-557180</v>
      </c>
      <c r="D35" s="11">
        <f>SUM(D4:D34)</f>
        <v>14832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37130</v>
      </c>
      <c r="D40" s="51">
        <f>+D38+D35</f>
        <v>150635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37130</v>
      </c>
      <c r="B46" s="32"/>
      <c r="C46" s="32"/>
      <c r="D46" s="408">
        <f>+D35*'by type'!J4</f>
        <v>41677.919999999998</v>
      </c>
    </row>
    <row r="47" spans="1:4" x14ac:dyDescent="0.2">
      <c r="A47" s="32"/>
      <c r="B47" s="32"/>
      <c r="C47" s="32"/>
      <c r="D47" s="202">
        <f>+D46+D45</f>
        <v>123817.92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E28" sqref="E28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21998</v>
      </c>
      <c r="C24" s="11">
        <v>22757</v>
      </c>
      <c r="D24" s="11">
        <v>7574</v>
      </c>
      <c r="E24" s="11">
        <v>8229</v>
      </c>
      <c r="F24" s="11"/>
      <c r="G24" s="11"/>
      <c r="H24" s="11"/>
      <c r="I24" s="11"/>
      <c r="J24" s="11">
        <f t="shared" si="0"/>
        <v>1414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21990</v>
      </c>
      <c r="C25" s="11">
        <v>22816</v>
      </c>
      <c r="D25" s="11">
        <v>9634</v>
      </c>
      <c r="E25" s="11">
        <v>8250</v>
      </c>
      <c r="F25" s="11"/>
      <c r="G25" s="11"/>
      <c r="H25" s="11"/>
      <c r="I25" s="11"/>
      <c r="J25" s="11">
        <f t="shared" si="0"/>
        <v>-558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21678</v>
      </c>
      <c r="C26" s="11">
        <v>22488</v>
      </c>
      <c r="D26" s="11">
        <v>8719</v>
      </c>
      <c r="E26" s="11">
        <v>8131</v>
      </c>
      <c r="F26" s="11"/>
      <c r="G26" s="11"/>
      <c r="H26" s="11"/>
      <c r="I26" s="11"/>
      <c r="J26" s="11">
        <f t="shared" si="0"/>
        <v>222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21808</v>
      </c>
      <c r="C27" s="11">
        <v>22816</v>
      </c>
      <c r="D27" s="11">
        <v>8539</v>
      </c>
      <c r="E27" s="11">
        <v>8250</v>
      </c>
      <c r="F27" s="11"/>
      <c r="G27" s="11"/>
      <c r="H27" s="11"/>
      <c r="I27" s="11"/>
      <c r="J27" s="11">
        <f t="shared" si="0"/>
        <v>719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21144</v>
      </c>
      <c r="C28" s="11">
        <v>22699</v>
      </c>
      <c r="D28" s="11">
        <v>8500</v>
      </c>
      <c r="E28" s="11">
        <v>8208</v>
      </c>
      <c r="F28" s="11"/>
      <c r="G28" s="11"/>
      <c r="H28" s="11"/>
      <c r="I28" s="11"/>
      <c r="J28" s="11">
        <f t="shared" si="0"/>
        <v>1263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21738</v>
      </c>
      <c r="C29" s="11">
        <v>22530</v>
      </c>
      <c r="D29" s="11">
        <v>8876</v>
      </c>
      <c r="E29" s="11">
        <v>8147</v>
      </c>
      <c r="F29" s="11"/>
      <c r="G29" s="11"/>
      <c r="H29" s="11"/>
      <c r="I29" s="11"/>
      <c r="J29" s="11">
        <f t="shared" si="0"/>
        <v>63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21482</v>
      </c>
      <c r="C30" s="11">
        <v>22816</v>
      </c>
      <c r="D30" s="11">
        <v>9362</v>
      </c>
      <c r="E30" s="11">
        <v>8250</v>
      </c>
      <c r="F30" s="11"/>
      <c r="G30" s="11"/>
      <c r="H30" s="11"/>
      <c r="I30" s="11"/>
      <c r="J30" s="11">
        <f t="shared" si="0"/>
        <v>222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621573</v>
      </c>
      <c r="C35" s="11">
        <f t="shared" ref="C35:I35" si="1">SUM(C4:C34)</f>
        <v>623065</v>
      </c>
      <c r="D35" s="11">
        <f t="shared" si="1"/>
        <v>243833</v>
      </c>
      <c r="E35" s="11">
        <f t="shared" si="1"/>
        <v>219241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-22991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-64604.71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49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37130</v>
      </c>
      <c r="J41" s="337">
        <f>+J39+J37</f>
        <v>85492.290000000008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37130</v>
      </c>
      <c r="B47" s="32"/>
      <c r="C47" s="32"/>
      <c r="D47" s="379">
        <f>+J35</f>
        <v>-22991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-83013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6" workbookViewId="3">
      <selection activeCell="C33" sqref="C3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-27048</v>
      </c>
      <c r="C25" s="24">
        <v>-27119</v>
      </c>
      <c r="D25" s="24"/>
      <c r="E25" s="24"/>
      <c r="F25" s="24">
        <f t="shared" si="0"/>
        <v>-71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-70875</v>
      </c>
      <c r="C26" s="24">
        <v>-74286</v>
      </c>
      <c r="D26" s="24"/>
      <c r="E26" s="24"/>
      <c r="F26" s="24">
        <f t="shared" si="0"/>
        <v>-3411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-59872</v>
      </c>
      <c r="C27" s="24">
        <v>-59332</v>
      </c>
      <c r="D27" s="24"/>
      <c r="E27" s="24"/>
      <c r="F27" s="24">
        <f t="shared" si="0"/>
        <v>540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-84167</v>
      </c>
      <c r="C28" s="24">
        <v>-87235</v>
      </c>
      <c r="D28" s="24"/>
      <c r="E28" s="24"/>
      <c r="F28" s="24">
        <f t="shared" si="0"/>
        <v>-3068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-53411</v>
      </c>
      <c r="C29" s="24">
        <v>-54502</v>
      </c>
      <c r="D29" s="24"/>
      <c r="E29" s="24"/>
      <c r="F29" s="24">
        <f t="shared" si="0"/>
        <v>-1091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-60969</v>
      </c>
      <c r="C30" s="24">
        <v>-61097</v>
      </c>
      <c r="D30" s="24"/>
      <c r="E30" s="24"/>
      <c r="F30" s="24">
        <f t="shared" si="0"/>
        <v>-128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-60055</v>
      </c>
      <c r="C31" s="24">
        <v>-60522</v>
      </c>
      <c r="D31" s="24"/>
      <c r="E31" s="24"/>
      <c r="F31" s="24">
        <f t="shared" si="0"/>
        <v>-467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-71255</v>
      </c>
      <c r="C32" s="24">
        <v>-70522</v>
      </c>
      <c r="D32" s="24"/>
      <c r="E32" s="24"/>
      <c r="F32" s="24">
        <f t="shared" si="0"/>
        <v>733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-2054132</v>
      </c>
      <c r="C37" s="24">
        <f>SUM(C6:C36)</f>
        <v>-2062067</v>
      </c>
      <c r="D37" s="24">
        <f>SUM(D6:D36)</f>
        <v>-46652</v>
      </c>
      <c r="E37" s="24">
        <f>SUM(E6:E36)</f>
        <v>-46908</v>
      </c>
      <c r="F37" s="24">
        <f>SUM(F6:F36)</f>
        <v>-8191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2.81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-23016.71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37103</v>
      </c>
      <c r="E40" s="14"/>
      <c r="F40" s="448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37130</v>
      </c>
      <c r="E41" s="14"/>
      <c r="F41" s="104">
        <f>+F40+F39</f>
        <v>446749.19999999995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37130</v>
      </c>
      <c r="B47" s="32"/>
      <c r="C47" s="32"/>
      <c r="D47" s="379">
        <f>+F37</f>
        <v>-8191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20836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2.81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59">
        <v>-5216.57</v>
      </c>
    </row>
    <row r="43" spans="1:6" x14ac:dyDescent="0.2">
      <c r="A43" s="57">
        <v>37130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37130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49" sqref="B49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6972</v>
      </c>
      <c r="C8" s="11">
        <v>7579</v>
      </c>
      <c r="D8" s="25">
        <f>+C8-B8</f>
        <v>607</v>
      </c>
    </row>
    <row r="9" spans="1:4" x14ac:dyDescent="0.2">
      <c r="A9" s="10">
        <v>2</v>
      </c>
      <c r="B9" s="11">
        <v>4970</v>
      </c>
      <c r="C9" s="11">
        <v>7579</v>
      </c>
      <c r="D9" s="25">
        <f t="shared" ref="D9:D38" si="0">+C9-B9</f>
        <v>2609</v>
      </c>
    </row>
    <row r="10" spans="1:4" x14ac:dyDescent="0.2">
      <c r="A10" s="10">
        <v>3</v>
      </c>
      <c r="B10" s="11">
        <v>7958</v>
      </c>
      <c r="C10" s="11">
        <v>7579</v>
      </c>
      <c r="D10" s="25">
        <f t="shared" si="0"/>
        <v>-379</v>
      </c>
    </row>
    <row r="11" spans="1:4" x14ac:dyDescent="0.2">
      <c r="A11" s="10">
        <v>4</v>
      </c>
      <c r="B11" s="11">
        <v>7621</v>
      </c>
      <c r="C11" s="11">
        <v>7579</v>
      </c>
      <c r="D11" s="25">
        <f t="shared" si="0"/>
        <v>-42</v>
      </c>
    </row>
    <row r="12" spans="1:4" x14ac:dyDescent="0.2">
      <c r="A12" s="10">
        <v>5</v>
      </c>
      <c r="B12" s="11">
        <v>7616</v>
      </c>
      <c r="C12" s="11">
        <v>7579</v>
      </c>
      <c r="D12" s="25">
        <f t="shared" si="0"/>
        <v>-37</v>
      </c>
    </row>
    <row r="13" spans="1:4" x14ac:dyDescent="0.2">
      <c r="A13" s="10">
        <v>6</v>
      </c>
      <c r="B13" s="11">
        <v>5362</v>
      </c>
      <c r="C13" s="11">
        <v>7579</v>
      </c>
      <c r="D13" s="25">
        <f t="shared" si="0"/>
        <v>2217</v>
      </c>
    </row>
    <row r="14" spans="1:4" x14ac:dyDescent="0.2">
      <c r="A14" s="10">
        <v>7</v>
      </c>
      <c r="B14" s="11">
        <v>2428</v>
      </c>
      <c r="C14" s="11">
        <v>7579</v>
      </c>
      <c r="D14" s="25">
        <f t="shared" si="0"/>
        <v>5151</v>
      </c>
    </row>
    <row r="15" spans="1:4" x14ac:dyDescent="0.2">
      <c r="A15" s="10">
        <v>8</v>
      </c>
      <c r="B15" s="11">
        <v>1</v>
      </c>
      <c r="C15" s="11">
        <v>7579</v>
      </c>
      <c r="D15" s="25">
        <f t="shared" si="0"/>
        <v>7578</v>
      </c>
    </row>
    <row r="16" spans="1:4" x14ac:dyDescent="0.2">
      <c r="A16" s="10">
        <v>9</v>
      </c>
      <c r="B16" s="11">
        <v>5773</v>
      </c>
      <c r="C16" s="11">
        <v>7579</v>
      </c>
      <c r="D16" s="25">
        <f t="shared" si="0"/>
        <v>1806</v>
      </c>
    </row>
    <row r="17" spans="1:4" x14ac:dyDescent="0.2">
      <c r="A17" s="10">
        <v>10</v>
      </c>
      <c r="B17" s="11">
        <v>7988</v>
      </c>
      <c r="C17" s="11">
        <v>7579</v>
      </c>
      <c r="D17" s="25">
        <f t="shared" si="0"/>
        <v>-409</v>
      </c>
    </row>
    <row r="18" spans="1:4" x14ac:dyDescent="0.2">
      <c r="A18" s="10">
        <v>11</v>
      </c>
      <c r="B18" s="11">
        <v>4392</v>
      </c>
      <c r="C18" s="11">
        <v>7579</v>
      </c>
      <c r="D18" s="25">
        <f t="shared" si="0"/>
        <v>3187</v>
      </c>
    </row>
    <row r="19" spans="1:4" x14ac:dyDescent="0.2">
      <c r="A19" s="10">
        <v>12</v>
      </c>
      <c r="B19" s="11">
        <v>6883</v>
      </c>
      <c r="C19" s="11">
        <v>7579</v>
      </c>
      <c r="D19" s="25">
        <f t="shared" si="0"/>
        <v>696</v>
      </c>
    </row>
    <row r="20" spans="1:4" x14ac:dyDescent="0.2">
      <c r="A20" s="10">
        <v>13</v>
      </c>
      <c r="B20" s="11">
        <v>6561</v>
      </c>
      <c r="C20" s="11">
        <v>7579</v>
      </c>
      <c r="D20" s="25">
        <f t="shared" si="0"/>
        <v>1018</v>
      </c>
    </row>
    <row r="21" spans="1:4" x14ac:dyDescent="0.2">
      <c r="A21" s="10">
        <v>14</v>
      </c>
      <c r="B21" s="11">
        <v>7417</v>
      </c>
      <c r="C21" s="11">
        <v>7579</v>
      </c>
      <c r="D21" s="25">
        <f t="shared" si="0"/>
        <v>162</v>
      </c>
    </row>
    <row r="22" spans="1:4" x14ac:dyDescent="0.2">
      <c r="A22" s="10">
        <v>15</v>
      </c>
      <c r="B22" s="11">
        <v>7620</v>
      </c>
      <c r="C22" s="11">
        <v>7579</v>
      </c>
      <c r="D22" s="25">
        <f t="shared" si="0"/>
        <v>-41</v>
      </c>
    </row>
    <row r="23" spans="1:4" x14ac:dyDescent="0.2">
      <c r="A23" s="10">
        <v>16</v>
      </c>
      <c r="B23" s="11">
        <v>7620</v>
      </c>
      <c r="C23" s="11">
        <v>7579</v>
      </c>
      <c r="D23" s="25">
        <f t="shared" si="0"/>
        <v>-41</v>
      </c>
    </row>
    <row r="24" spans="1:4" x14ac:dyDescent="0.2">
      <c r="A24" s="10">
        <v>17</v>
      </c>
      <c r="B24" s="11">
        <v>8510</v>
      </c>
      <c r="C24" s="11">
        <v>7579</v>
      </c>
      <c r="D24" s="25">
        <f t="shared" si="0"/>
        <v>-931</v>
      </c>
    </row>
    <row r="25" spans="1:4" x14ac:dyDescent="0.2">
      <c r="A25" s="10">
        <v>18</v>
      </c>
      <c r="B25" s="11">
        <v>8529</v>
      </c>
      <c r="C25" s="11">
        <v>7579</v>
      </c>
      <c r="D25" s="25">
        <f t="shared" si="0"/>
        <v>-950</v>
      </c>
    </row>
    <row r="26" spans="1:4" x14ac:dyDescent="0.2">
      <c r="A26" s="10">
        <v>19</v>
      </c>
      <c r="B26" s="11">
        <v>8092</v>
      </c>
      <c r="C26" s="11">
        <v>7579</v>
      </c>
      <c r="D26" s="25">
        <f t="shared" si="0"/>
        <v>-513</v>
      </c>
    </row>
    <row r="27" spans="1:4" x14ac:dyDescent="0.2">
      <c r="A27" s="10">
        <v>20</v>
      </c>
      <c r="B27" s="11">
        <v>0</v>
      </c>
      <c r="C27" s="11">
        <v>7579</v>
      </c>
      <c r="D27" s="25">
        <f t="shared" si="0"/>
        <v>7579</v>
      </c>
    </row>
    <row r="28" spans="1:4" x14ac:dyDescent="0.2">
      <c r="A28" s="10">
        <v>21</v>
      </c>
      <c r="B28" s="11">
        <v>5449</v>
      </c>
      <c r="C28" s="11">
        <v>7579</v>
      </c>
      <c r="D28" s="25">
        <f t="shared" si="0"/>
        <v>2130</v>
      </c>
    </row>
    <row r="29" spans="1:4" x14ac:dyDescent="0.2">
      <c r="A29" s="10">
        <v>22</v>
      </c>
      <c r="B29" s="11">
        <v>5406</v>
      </c>
      <c r="C29" s="11">
        <v>7579</v>
      </c>
      <c r="D29" s="25">
        <f t="shared" si="0"/>
        <v>2173</v>
      </c>
    </row>
    <row r="30" spans="1:4" x14ac:dyDescent="0.2">
      <c r="A30" s="10">
        <v>23</v>
      </c>
      <c r="B30" s="11">
        <v>8530</v>
      </c>
      <c r="C30" s="11">
        <v>7579</v>
      </c>
      <c r="D30" s="25">
        <f t="shared" si="0"/>
        <v>-951</v>
      </c>
    </row>
    <row r="31" spans="1:4" x14ac:dyDescent="0.2">
      <c r="A31" s="10">
        <v>24</v>
      </c>
      <c r="B31" s="11">
        <v>4380</v>
      </c>
      <c r="C31" s="11">
        <v>7579</v>
      </c>
      <c r="D31" s="25">
        <f t="shared" si="0"/>
        <v>3199</v>
      </c>
    </row>
    <row r="32" spans="1:4" x14ac:dyDescent="0.2">
      <c r="A32" s="10">
        <v>25</v>
      </c>
      <c r="B32" s="11">
        <v>1310</v>
      </c>
      <c r="C32" s="11">
        <v>7579</v>
      </c>
      <c r="D32" s="25">
        <f t="shared" si="0"/>
        <v>6269</v>
      </c>
    </row>
    <row r="33" spans="1:4" x14ac:dyDescent="0.2">
      <c r="A33" s="10">
        <v>26</v>
      </c>
      <c r="B33" s="11">
        <v>263</v>
      </c>
      <c r="C33" s="11">
        <v>7579</v>
      </c>
      <c r="D33" s="25">
        <f t="shared" si="0"/>
        <v>7316</v>
      </c>
    </row>
    <row r="34" spans="1:4" x14ac:dyDescent="0.2">
      <c r="A34" s="10">
        <v>27</v>
      </c>
      <c r="B34" s="11">
        <v>1418</v>
      </c>
      <c r="C34" s="11">
        <v>7579</v>
      </c>
      <c r="D34" s="25">
        <f t="shared" si="0"/>
        <v>6161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149069</v>
      </c>
      <c r="C39" s="11">
        <f>SUM(C8:C38)</f>
        <v>204633</v>
      </c>
      <c r="D39" s="25">
        <f>SUM(D8:D38)</f>
        <v>55564</v>
      </c>
    </row>
    <row r="40" spans="1:4" x14ac:dyDescent="0.2">
      <c r="A40" s="26"/>
      <c r="C40" s="14"/>
      <c r="D40" s="260">
        <f>+summary!H4</f>
        <v>2.81</v>
      </c>
    </row>
    <row r="41" spans="1:4" x14ac:dyDescent="0.2">
      <c r="D41" s="138">
        <f>+D40*D39</f>
        <v>156134.84</v>
      </c>
    </row>
    <row r="42" spans="1:4" x14ac:dyDescent="0.2">
      <c r="A42" s="57">
        <v>37103</v>
      </c>
      <c r="C42" s="15"/>
      <c r="D42" s="368">
        <v>326755</v>
      </c>
    </row>
    <row r="43" spans="1:4" x14ac:dyDescent="0.2">
      <c r="A43" s="57">
        <v>37130</v>
      </c>
      <c r="C43" s="48"/>
      <c r="D43" s="138">
        <f>+D42+D41</f>
        <v>482889.83999999997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37130</v>
      </c>
      <c r="B48" s="32"/>
      <c r="C48" s="32"/>
      <c r="D48" s="379">
        <f>+D39</f>
        <v>55564</v>
      </c>
    </row>
    <row r="49" spans="1:4" x14ac:dyDescent="0.2">
      <c r="A49" s="32"/>
      <c r="B49" s="32"/>
      <c r="C49" s="32"/>
      <c r="D49" s="14">
        <f>+D48+D47</f>
        <v>61853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-81639</v>
      </c>
      <c r="C25" s="11">
        <v>-60462</v>
      </c>
      <c r="D25" s="25">
        <f t="shared" si="0"/>
        <v>21177</v>
      </c>
    </row>
    <row r="26" spans="1:4" x14ac:dyDescent="0.2">
      <c r="A26" s="10">
        <v>21</v>
      </c>
      <c r="B26" s="11">
        <v>-82328</v>
      </c>
      <c r="C26" s="11">
        <v>-89045</v>
      </c>
      <c r="D26" s="25">
        <f t="shared" si="0"/>
        <v>-6717</v>
      </c>
    </row>
    <row r="27" spans="1:4" x14ac:dyDescent="0.2">
      <c r="A27" s="10">
        <v>22</v>
      </c>
      <c r="B27" s="11">
        <v>-70813</v>
      </c>
      <c r="C27" s="11">
        <v>-65162</v>
      </c>
      <c r="D27" s="25">
        <f t="shared" si="0"/>
        <v>5651</v>
      </c>
    </row>
    <row r="28" spans="1:4" x14ac:dyDescent="0.2">
      <c r="A28" s="10">
        <v>23</v>
      </c>
      <c r="B28" s="11">
        <v>-69354</v>
      </c>
      <c r="C28" s="11">
        <v>-83170</v>
      </c>
      <c r="D28" s="25">
        <f t="shared" si="0"/>
        <v>-13816</v>
      </c>
    </row>
    <row r="29" spans="1:4" x14ac:dyDescent="0.2">
      <c r="A29" s="10">
        <v>24</v>
      </c>
      <c r="B29" s="11">
        <v>-40965</v>
      </c>
      <c r="C29" s="11">
        <v>-43257</v>
      </c>
      <c r="D29" s="25">
        <f t="shared" si="0"/>
        <v>-2292</v>
      </c>
    </row>
    <row r="30" spans="1:4" x14ac:dyDescent="0.2">
      <c r="A30" s="10">
        <v>25</v>
      </c>
      <c r="B30" s="11">
        <v>-40926</v>
      </c>
      <c r="C30" s="11">
        <v>-38167</v>
      </c>
      <c r="D30" s="25">
        <f t="shared" si="0"/>
        <v>2759</v>
      </c>
    </row>
    <row r="31" spans="1:4" x14ac:dyDescent="0.2">
      <c r="A31" s="10">
        <v>26</v>
      </c>
      <c r="B31" s="11">
        <v>-41028</v>
      </c>
      <c r="C31" s="11">
        <v>-36581</v>
      </c>
      <c r="D31" s="25">
        <f t="shared" si="0"/>
        <v>4447</v>
      </c>
    </row>
    <row r="32" spans="1:4" x14ac:dyDescent="0.2">
      <c r="A32" s="10">
        <v>27</v>
      </c>
      <c r="B32" s="11">
        <v>-41039</v>
      </c>
      <c r="C32" s="11">
        <v>-49678</v>
      </c>
      <c r="D32" s="25">
        <f t="shared" si="0"/>
        <v>-8639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-1727630</v>
      </c>
      <c r="C37" s="11">
        <f>SUM(C6:C36)</f>
        <v>-1709645</v>
      </c>
      <c r="D37" s="25">
        <f>SUM(D6:D36)</f>
        <v>17985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50537.85</v>
      </c>
    </row>
    <row r="40" spans="1:4" x14ac:dyDescent="0.2">
      <c r="A40" s="57">
        <v>37103</v>
      </c>
      <c r="C40" s="15"/>
      <c r="D40" s="457">
        <v>21736.76</v>
      </c>
    </row>
    <row r="41" spans="1:4" x14ac:dyDescent="0.2">
      <c r="A41" s="57">
        <v>37130</v>
      </c>
      <c r="C41" s="48"/>
      <c r="D41" s="138">
        <f>+D40+D39</f>
        <v>72274.61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37130</v>
      </c>
      <c r="B46" s="32"/>
      <c r="C46" s="32"/>
      <c r="D46" s="379">
        <f>+D37</f>
        <v>17985</v>
      </c>
    </row>
    <row r="47" spans="1:4" x14ac:dyDescent="0.2">
      <c r="A47" s="32"/>
      <c r="B47" s="32"/>
      <c r="C47" s="32"/>
      <c r="D47" s="14">
        <f>+D46+D45</f>
        <v>126835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workbookViewId="3">
      <selection activeCell="A19" sqref="A19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40407</v>
      </c>
      <c r="C25" s="11">
        <v>39600</v>
      </c>
      <c r="D25" s="25">
        <f t="shared" si="0"/>
        <v>-807</v>
      </c>
    </row>
    <row r="26" spans="1:4" x14ac:dyDescent="0.2">
      <c r="A26" s="10">
        <v>21</v>
      </c>
      <c r="B26" s="11">
        <v>42088</v>
      </c>
      <c r="C26" s="11">
        <v>36760</v>
      </c>
      <c r="D26" s="25">
        <f t="shared" si="0"/>
        <v>-5328</v>
      </c>
    </row>
    <row r="27" spans="1:4" x14ac:dyDescent="0.2">
      <c r="A27" s="10">
        <v>22</v>
      </c>
      <c r="B27" s="11">
        <v>41031</v>
      </c>
      <c r="C27" s="11">
        <v>35000</v>
      </c>
      <c r="D27" s="25">
        <f t="shared" si="0"/>
        <v>-6031</v>
      </c>
    </row>
    <row r="28" spans="1:4" x14ac:dyDescent="0.2">
      <c r="A28" s="10">
        <v>23</v>
      </c>
      <c r="B28" s="11">
        <v>40034</v>
      </c>
      <c r="C28" s="11">
        <v>35000</v>
      </c>
      <c r="D28" s="25">
        <f t="shared" si="0"/>
        <v>-5034</v>
      </c>
    </row>
    <row r="29" spans="1:4" x14ac:dyDescent="0.2">
      <c r="A29" s="10">
        <v>24</v>
      </c>
      <c r="B29" s="11">
        <v>41568</v>
      </c>
      <c r="C29" s="11">
        <v>35000</v>
      </c>
      <c r="D29" s="25">
        <f t="shared" si="0"/>
        <v>-6568</v>
      </c>
    </row>
    <row r="30" spans="1:4" x14ac:dyDescent="0.2">
      <c r="A30" s="10">
        <v>25</v>
      </c>
      <c r="B30" s="11">
        <v>31257</v>
      </c>
      <c r="C30" s="11">
        <v>37000</v>
      </c>
      <c r="D30" s="25">
        <f t="shared" si="0"/>
        <v>5743</v>
      </c>
    </row>
    <row r="31" spans="1:4" x14ac:dyDescent="0.2">
      <c r="A31" s="10">
        <v>26</v>
      </c>
      <c r="B31" s="11">
        <v>38281</v>
      </c>
      <c r="C31" s="11">
        <v>37000</v>
      </c>
      <c r="D31" s="25">
        <f t="shared" si="0"/>
        <v>-1281</v>
      </c>
    </row>
    <row r="32" spans="1:4" x14ac:dyDescent="0.2">
      <c r="A32" s="10">
        <v>27</v>
      </c>
      <c r="B32" s="11">
        <v>33326</v>
      </c>
      <c r="C32" s="11">
        <v>37000</v>
      </c>
      <c r="D32" s="25">
        <f t="shared" si="0"/>
        <v>3674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1019634</v>
      </c>
      <c r="C37" s="11">
        <f>SUM(C6:C36)</f>
        <v>989472</v>
      </c>
      <c r="D37" s="25">
        <f>SUM(D6:D36)</f>
        <v>-30162</v>
      </c>
    </row>
    <row r="38" spans="1:4" x14ac:dyDescent="0.2">
      <c r="A38" s="26"/>
      <c r="C38" s="14"/>
      <c r="D38" s="345">
        <f>+summary!H5</f>
        <v>2.9</v>
      </c>
    </row>
    <row r="39" spans="1:4" x14ac:dyDescent="0.2">
      <c r="D39" s="138">
        <f>+D38*D37</f>
        <v>-87469.8</v>
      </c>
    </row>
    <row r="40" spans="1:4" x14ac:dyDescent="0.2">
      <c r="A40" s="57">
        <v>37103</v>
      </c>
      <c r="C40" s="15"/>
      <c r="D40" s="359">
        <v>-38120.6</v>
      </c>
    </row>
    <row r="41" spans="1:4" x14ac:dyDescent="0.2">
      <c r="A41" s="57">
        <v>37130</v>
      </c>
      <c r="C41" s="48"/>
      <c r="D41" s="138">
        <f>+D40+D39</f>
        <v>-125590.39999999999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37130</v>
      </c>
      <c r="B46" s="32"/>
      <c r="C46" s="32"/>
      <c r="D46" s="379">
        <f>+D37</f>
        <v>-30162</v>
      </c>
    </row>
    <row r="47" spans="1:4" x14ac:dyDescent="0.2">
      <c r="A47" s="32"/>
      <c r="B47" s="32"/>
      <c r="C47" s="32"/>
      <c r="D47" s="14">
        <f>+D46+D45</f>
        <v>-32266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F30" sqref="F30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338791</v>
      </c>
      <c r="C24" s="11">
        <v>340947</v>
      </c>
      <c r="D24" s="11">
        <v>64404</v>
      </c>
      <c r="E24" s="11">
        <v>60467</v>
      </c>
      <c r="F24" s="11">
        <v>52773</v>
      </c>
      <c r="G24" s="11">
        <v>50154</v>
      </c>
      <c r="H24" s="11">
        <v>128561</v>
      </c>
      <c r="I24" s="11">
        <v>132981</v>
      </c>
      <c r="J24" s="11">
        <f t="shared" si="0"/>
        <v>20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322113</v>
      </c>
      <c r="C25" s="11">
        <v>321612</v>
      </c>
      <c r="D25" s="11">
        <v>62032</v>
      </c>
      <c r="E25" s="11">
        <v>62005</v>
      </c>
      <c r="F25" s="11">
        <v>59462</v>
      </c>
      <c r="G25" s="11">
        <v>53971</v>
      </c>
      <c r="H25" s="11">
        <v>124463</v>
      </c>
      <c r="I25" s="11">
        <v>122727</v>
      </c>
      <c r="J25" s="11">
        <f t="shared" si="0"/>
        <v>-7755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317312</v>
      </c>
      <c r="C26" s="11">
        <v>313150</v>
      </c>
      <c r="D26" s="11">
        <v>62012</v>
      </c>
      <c r="E26" s="11">
        <v>60837</v>
      </c>
      <c r="F26" s="11">
        <v>54209</v>
      </c>
      <c r="G26" s="11">
        <v>52721</v>
      </c>
      <c r="H26" s="11">
        <v>140828</v>
      </c>
      <c r="I26" s="11">
        <v>137994</v>
      </c>
      <c r="J26" s="11">
        <f t="shared" si="0"/>
        <v>-9659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280757</v>
      </c>
      <c r="C27" s="11">
        <v>274743</v>
      </c>
      <c r="D27" s="11">
        <v>68585</v>
      </c>
      <c r="E27" s="11">
        <v>82867</v>
      </c>
      <c r="F27" s="11">
        <v>51834</v>
      </c>
      <c r="G27" s="11">
        <v>49477</v>
      </c>
      <c r="H27" s="11">
        <v>139939</v>
      </c>
      <c r="I27" s="11">
        <v>138872</v>
      </c>
      <c r="J27" s="11">
        <f t="shared" si="0"/>
        <v>4844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305788</v>
      </c>
      <c r="C28" s="11">
        <v>302147</v>
      </c>
      <c r="D28" s="11">
        <v>64078</v>
      </c>
      <c r="E28" s="11">
        <v>62006</v>
      </c>
      <c r="F28" s="11">
        <v>47855</v>
      </c>
      <c r="G28" s="11">
        <v>55810</v>
      </c>
      <c r="H28" s="11">
        <v>117719</v>
      </c>
      <c r="I28" s="11">
        <v>111618</v>
      </c>
      <c r="J28" s="11">
        <f t="shared" si="0"/>
        <v>-3859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295178</v>
      </c>
      <c r="C29" s="11">
        <v>298389</v>
      </c>
      <c r="D29" s="11">
        <v>65205</v>
      </c>
      <c r="E29" s="11">
        <v>62005</v>
      </c>
      <c r="F29" s="11">
        <v>55023</v>
      </c>
      <c r="G29" s="11">
        <v>53622</v>
      </c>
      <c r="H29" s="11">
        <v>104372</v>
      </c>
      <c r="I29" s="11">
        <v>97955</v>
      </c>
      <c r="J29" s="11">
        <f t="shared" si="0"/>
        <v>-7807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301030</v>
      </c>
      <c r="C30" s="11">
        <v>288651</v>
      </c>
      <c r="D30" s="11">
        <v>72674</v>
      </c>
      <c r="E30" s="11">
        <v>73405</v>
      </c>
      <c r="F30" s="11">
        <v>56191</v>
      </c>
      <c r="G30" s="11">
        <v>57750</v>
      </c>
      <c r="H30" s="11">
        <v>113141</v>
      </c>
      <c r="I30" s="11">
        <v>119034</v>
      </c>
      <c r="J30" s="11">
        <f t="shared" si="0"/>
        <v>-4196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8780749</v>
      </c>
      <c r="C35" s="11">
        <f t="shared" ref="C35:I35" si="3">SUM(C4:C34)</f>
        <v>8892148</v>
      </c>
      <c r="D35" s="11">
        <f t="shared" si="3"/>
        <v>1733239</v>
      </c>
      <c r="E35" s="11">
        <f t="shared" si="3"/>
        <v>1649084</v>
      </c>
      <c r="F35" s="11">
        <f t="shared" si="3"/>
        <v>1604042</v>
      </c>
      <c r="G35" s="11">
        <f t="shared" si="3"/>
        <v>1590378</v>
      </c>
      <c r="H35" s="11">
        <f t="shared" si="3"/>
        <v>3533693</v>
      </c>
      <c r="I35" s="11">
        <f t="shared" si="3"/>
        <v>3492661</v>
      </c>
      <c r="J35" s="11">
        <f>SUM(J4:J34)</f>
        <v>-27452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39">
        <v>310268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37130</v>
      </c>
      <c r="J40" s="51">
        <f>+J38+J35</f>
        <v>282816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0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37130</v>
      </c>
      <c r="B47" s="32"/>
      <c r="C47" s="32"/>
      <c r="D47" s="408">
        <f>+J35*'by type'!J3</f>
        <v>-72198.759999999995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1307070.81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7" workbookViewId="3">
      <selection activeCell="D32" sqref="D3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>
        <v>61474</v>
      </c>
      <c r="C26" s="11">
        <v>63821</v>
      </c>
      <c r="D26" s="25">
        <f t="shared" si="0"/>
        <v>2347</v>
      </c>
    </row>
    <row r="27" spans="1:4" x14ac:dyDescent="0.2">
      <c r="A27" s="10">
        <v>22</v>
      </c>
      <c r="B27" s="11">
        <v>48657</v>
      </c>
      <c r="C27" s="11">
        <v>48609</v>
      </c>
      <c r="D27" s="25">
        <f t="shared" si="0"/>
        <v>-48</v>
      </c>
    </row>
    <row r="28" spans="1:4" x14ac:dyDescent="0.2">
      <c r="A28" s="10">
        <v>23</v>
      </c>
      <c r="B28" s="11">
        <v>59613</v>
      </c>
      <c r="C28" s="11">
        <v>60860</v>
      </c>
      <c r="D28" s="25">
        <f t="shared" si="0"/>
        <v>1247</v>
      </c>
    </row>
    <row r="29" spans="1:4" x14ac:dyDescent="0.2">
      <c r="A29" s="10">
        <v>24</v>
      </c>
      <c r="B29" s="11">
        <v>63878</v>
      </c>
      <c r="C29" s="11">
        <v>65031</v>
      </c>
      <c r="D29" s="25">
        <f t="shared" si="0"/>
        <v>1153</v>
      </c>
    </row>
    <row r="30" spans="1:4" x14ac:dyDescent="0.2">
      <c r="A30" s="10">
        <v>25</v>
      </c>
      <c r="B30" s="11">
        <v>50648</v>
      </c>
      <c r="C30" s="11">
        <v>51858</v>
      </c>
      <c r="D30" s="25">
        <f t="shared" si="0"/>
        <v>1210</v>
      </c>
    </row>
    <row r="31" spans="1:4" x14ac:dyDescent="0.2">
      <c r="A31" s="10">
        <v>26</v>
      </c>
      <c r="B31" s="11">
        <v>52883</v>
      </c>
      <c r="C31" s="11">
        <v>52171</v>
      </c>
      <c r="D31" s="25">
        <f t="shared" si="0"/>
        <v>-712</v>
      </c>
    </row>
    <row r="32" spans="1:4" x14ac:dyDescent="0.2">
      <c r="A32" s="10">
        <v>27</v>
      </c>
      <c r="B32" s="11">
        <v>53302</v>
      </c>
      <c r="C32" s="11">
        <v>52307</v>
      </c>
      <c r="D32" s="25">
        <f t="shared" si="0"/>
        <v>-995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1622251</v>
      </c>
      <c r="C37" s="11">
        <f>SUM(C6:C36)</f>
        <v>1623989</v>
      </c>
      <c r="D37" s="25">
        <f>SUM(D6:D36)</f>
        <v>1738</v>
      </c>
    </row>
    <row r="38" spans="1:4" x14ac:dyDescent="0.2">
      <c r="A38" s="26"/>
      <c r="C38" s="14"/>
      <c r="D38" s="345">
        <f>+summary!H5</f>
        <v>2.9</v>
      </c>
    </row>
    <row r="39" spans="1:4" x14ac:dyDescent="0.2">
      <c r="D39" s="138">
        <f>+D38*D37</f>
        <v>5040.2</v>
      </c>
    </row>
    <row r="40" spans="1:4" x14ac:dyDescent="0.2">
      <c r="A40" s="57">
        <v>37103</v>
      </c>
      <c r="C40" s="15"/>
      <c r="D40" s="368">
        <v>0</v>
      </c>
    </row>
    <row r="41" spans="1:4" x14ac:dyDescent="0.2">
      <c r="A41" s="57">
        <v>37130</v>
      </c>
      <c r="C41" s="48"/>
      <c r="D41" s="138">
        <f>+D40+D39</f>
        <v>5040.2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53363</v>
      </c>
    </row>
    <row r="47" spans="1:4" x14ac:dyDescent="0.2">
      <c r="A47" s="49">
        <f>+A41</f>
        <v>37130</v>
      </c>
      <c r="B47" s="32"/>
      <c r="C47" s="32"/>
      <c r="D47" s="379">
        <f>+D37</f>
        <v>1738</v>
      </c>
    </row>
    <row r="48" spans="1:4" x14ac:dyDescent="0.2">
      <c r="A48" s="32"/>
      <c r="B48" s="32"/>
      <c r="C48" s="32"/>
      <c r="D48" s="14">
        <f>+D47+D46</f>
        <v>55101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>
        <v>-1961</v>
      </c>
      <c r="C26" s="11">
        <v>-2139</v>
      </c>
      <c r="D26" s="25">
        <f t="shared" si="0"/>
        <v>-178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-1992</v>
      </c>
      <c r="C27" s="11">
        <v>-2139</v>
      </c>
      <c r="D27" s="25">
        <f t="shared" si="0"/>
        <v>-147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-78</v>
      </c>
      <c r="C28" s="11">
        <v>-2139</v>
      </c>
      <c r="D28" s="25">
        <f t="shared" si="0"/>
        <v>-2061</v>
      </c>
    </row>
    <row r="29" spans="1:15" x14ac:dyDescent="0.2">
      <c r="A29" s="10">
        <v>24</v>
      </c>
      <c r="B29" s="11">
        <v>-566</v>
      </c>
      <c r="C29" s="11">
        <v>-714</v>
      </c>
      <c r="D29" s="25">
        <f t="shared" si="0"/>
        <v>-148</v>
      </c>
    </row>
    <row r="30" spans="1:15" x14ac:dyDescent="0.2">
      <c r="A30" s="10">
        <v>25</v>
      </c>
      <c r="B30" s="11">
        <v>-1350</v>
      </c>
      <c r="C30" s="11">
        <v>-714</v>
      </c>
      <c r="D30" s="25">
        <f t="shared" si="0"/>
        <v>636</v>
      </c>
    </row>
    <row r="31" spans="1:15" x14ac:dyDescent="0.2">
      <c r="A31" s="10">
        <v>26</v>
      </c>
      <c r="B31" s="11">
        <v>-2060</v>
      </c>
      <c r="C31" s="11">
        <v>-714</v>
      </c>
      <c r="D31" s="25">
        <f t="shared" si="0"/>
        <v>1346</v>
      </c>
    </row>
    <row r="32" spans="1:15" x14ac:dyDescent="0.2">
      <c r="A32" s="10">
        <v>27</v>
      </c>
      <c r="B32" s="11">
        <v>-2032</v>
      </c>
      <c r="C32" s="11">
        <v>-714</v>
      </c>
      <c r="D32" s="25">
        <f t="shared" si="0"/>
        <v>1318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-37287</v>
      </c>
      <c r="C37" s="11">
        <f>SUM(C6:C36)</f>
        <v>-50318</v>
      </c>
      <c r="D37" s="25">
        <f>SUM(D6:D36)</f>
        <v>-13031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-36617.11</v>
      </c>
    </row>
    <row r="40" spans="1:4" x14ac:dyDescent="0.2">
      <c r="A40" s="57">
        <v>37103</v>
      </c>
      <c r="C40" s="15"/>
      <c r="D40" s="359">
        <v>-394244.14</v>
      </c>
    </row>
    <row r="41" spans="1:4" x14ac:dyDescent="0.2">
      <c r="A41" s="57">
        <v>37130</v>
      </c>
      <c r="C41" s="48"/>
      <c r="D41" s="138">
        <f>+D40+D39</f>
        <v>-430861.25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37130</v>
      </c>
      <c r="B49" s="32"/>
      <c r="C49" s="32"/>
      <c r="D49" s="379">
        <f>+D37</f>
        <v>-13031</v>
      </c>
    </row>
    <row r="50" spans="1:4" x14ac:dyDescent="0.2">
      <c r="A50" s="32"/>
      <c r="B50" s="32"/>
      <c r="C50" s="32"/>
      <c r="D50" s="14">
        <f>+D49+D48</f>
        <v>-81313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6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>
        <v>-188</v>
      </c>
      <c r="C26" s="11">
        <v>-4252</v>
      </c>
      <c r="D26" s="25">
        <f t="shared" si="0"/>
        <v>-4064</v>
      </c>
    </row>
    <row r="27" spans="1:4" x14ac:dyDescent="0.2">
      <c r="A27" s="10">
        <v>22</v>
      </c>
      <c r="B27" s="11">
        <v>-7</v>
      </c>
      <c r="C27" s="11"/>
      <c r="D27" s="25">
        <f t="shared" si="0"/>
        <v>7</v>
      </c>
    </row>
    <row r="28" spans="1:4" x14ac:dyDescent="0.2">
      <c r="A28" s="10">
        <v>23</v>
      </c>
      <c r="B28" s="11">
        <v>-12322</v>
      </c>
      <c r="C28" s="11">
        <v>-22851</v>
      </c>
      <c r="D28" s="25">
        <f t="shared" si="0"/>
        <v>-10529</v>
      </c>
    </row>
    <row r="29" spans="1:4" x14ac:dyDescent="0.2">
      <c r="A29" s="10">
        <v>24</v>
      </c>
      <c r="B29" s="11">
        <v>-40282</v>
      </c>
      <c r="C29" s="11">
        <v>-37582</v>
      </c>
      <c r="D29" s="25">
        <f t="shared" si="0"/>
        <v>2700</v>
      </c>
    </row>
    <row r="30" spans="1:4" x14ac:dyDescent="0.2">
      <c r="A30" s="10">
        <v>25</v>
      </c>
      <c r="B30" s="11">
        <v>-46817</v>
      </c>
      <c r="C30" s="11">
        <v>-42731</v>
      </c>
      <c r="D30" s="25">
        <f t="shared" si="0"/>
        <v>4086</v>
      </c>
    </row>
    <row r="31" spans="1:4" x14ac:dyDescent="0.2">
      <c r="A31" s="10">
        <v>26</v>
      </c>
      <c r="B31" s="11">
        <v>-46752</v>
      </c>
      <c r="C31" s="11">
        <v>-47124</v>
      </c>
      <c r="D31" s="25">
        <f t="shared" si="0"/>
        <v>-372</v>
      </c>
    </row>
    <row r="32" spans="1:4" x14ac:dyDescent="0.2">
      <c r="A32" s="10">
        <v>27</v>
      </c>
      <c r="B32" s="11">
        <v>-59680</v>
      </c>
      <c r="C32" s="11">
        <v>-59883</v>
      </c>
      <c r="D32" s="25">
        <f t="shared" si="0"/>
        <v>-203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-955911</v>
      </c>
      <c r="C37" s="11">
        <f>SUM(C6:C36)</f>
        <v>-907346</v>
      </c>
      <c r="D37" s="25">
        <f>SUM(D6:D36)</f>
        <v>48565</v>
      </c>
    </row>
    <row r="38" spans="1:4" x14ac:dyDescent="0.2">
      <c r="A38" s="26"/>
      <c r="C38" s="14"/>
      <c r="D38" s="345">
        <f>+summary!H4</f>
        <v>2.81</v>
      </c>
    </row>
    <row r="39" spans="1:4" x14ac:dyDescent="0.2">
      <c r="D39" s="138">
        <f>+D38*D37</f>
        <v>136467.65</v>
      </c>
    </row>
    <row r="40" spans="1:4" x14ac:dyDescent="0.2">
      <c r="A40" s="57">
        <v>37103</v>
      </c>
      <c r="C40" s="15"/>
      <c r="D40" s="359">
        <v>-351170.32</v>
      </c>
    </row>
    <row r="41" spans="1:4" x14ac:dyDescent="0.2">
      <c r="A41" s="57">
        <v>37130</v>
      </c>
      <c r="C41" s="48"/>
      <c r="D41" s="138">
        <f>+D40+D39</f>
        <v>-214702.67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37130</v>
      </c>
      <c r="B47" s="32"/>
      <c r="C47" s="32"/>
      <c r="D47" s="379">
        <f>+D37</f>
        <v>48565</v>
      </c>
    </row>
    <row r="48" spans="1:4" x14ac:dyDescent="0.2">
      <c r="A48" s="32"/>
      <c r="B48" s="32"/>
      <c r="C48" s="32"/>
      <c r="D48" s="14">
        <f>+D47+D46</f>
        <v>-101722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7" sqref="A1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-28297</v>
      </c>
      <c r="C5" s="90">
        <v>-3159</v>
      </c>
      <c r="D5" s="90">
        <f>+C5-B5</f>
        <v>25138</v>
      </c>
      <c r="E5" s="285"/>
      <c r="F5" s="283"/>
    </row>
    <row r="6" spans="1:13" x14ac:dyDescent="0.2">
      <c r="A6" s="87">
        <v>500046</v>
      </c>
      <c r="B6" s="90">
        <v>-659</v>
      </c>
      <c r="C6" s="90"/>
      <c r="D6" s="90">
        <f t="shared" ref="D6:D11" si="0">+C6-B6</f>
        <v>659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-25</v>
      </c>
      <c r="C8" s="90"/>
      <c r="D8" s="90">
        <f t="shared" si="0"/>
        <v>25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25822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2.81</v>
      </c>
      <c r="E13" s="287"/>
      <c r="F13" s="283"/>
    </row>
    <row r="14" spans="1:13" x14ac:dyDescent="0.2">
      <c r="A14" s="87"/>
      <c r="B14" s="88"/>
      <c r="C14" s="88"/>
      <c r="D14" s="96">
        <f>+D13*D12</f>
        <v>72559.820000000007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2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37130</v>
      </c>
      <c r="B18" s="88"/>
      <c r="C18" s="88"/>
      <c r="D18" s="334">
        <f>+D16+D14</f>
        <v>-783780.84000000008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37130</v>
      </c>
      <c r="B23" s="32"/>
      <c r="C23" s="32"/>
      <c r="D23" s="379">
        <f>+D12</f>
        <v>25822</v>
      </c>
    </row>
    <row r="24" spans="1:7" x14ac:dyDescent="0.2">
      <c r="A24" s="32"/>
      <c r="B24" s="32"/>
      <c r="C24" s="32"/>
      <c r="D24" s="14">
        <f>+D23+D22</f>
        <v>-161931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0" workbookViewId="3">
      <selection activeCell="B31" sqref="B31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>
        <v>-1</v>
      </c>
      <c r="C30" s="11"/>
      <c r="D30" s="25">
        <f t="shared" si="0"/>
        <v>1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</v>
      </c>
      <c r="C37" s="11">
        <f>SUM(C6:C36)</f>
        <v>-11840</v>
      </c>
      <c r="D37" s="25">
        <f>SUM(D6:D36)</f>
        <v>-11834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37103</v>
      </c>
      <c r="C40" s="15"/>
      <c r="D40" s="439">
        <v>76325</v>
      </c>
    </row>
    <row r="41" spans="1:4" x14ac:dyDescent="0.2">
      <c r="A41" s="57">
        <v>37130</v>
      </c>
      <c r="C41" s="48"/>
      <c r="D41" s="25">
        <f>+D40+D37</f>
        <v>64491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0">
        <v>341220.3</v>
      </c>
    </row>
    <row r="46" spans="1:4" x14ac:dyDescent="0.2">
      <c r="A46" s="49">
        <f>+A41</f>
        <v>37130</v>
      </c>
      <c r="B46" s="32"/>
      <c r="C46" s="32"/>
      <c r="D46" s="408">
        <f>+D37*'by type'!J4</f>
        <v>-33253.54</v>
      </c>
    </row>
    <row r="47" spans="1:4" x14ac:dyDescent="0.2">
      <c r="A47" s="32"/>
      <c r="B47" s="32"/>
      <c r="C47" s="32"/>
      <c r="D47" s="202">
        <f>+D46+D45</f>
        <v>307966.76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>
        <v>91009</v>
      </c>
      <c r="C27" s="11">
        <v>90233</v>
      </c>
      <c r="D27" s="25">
        <f t="shared" si="0"/>
        <v>-776</v>
      </c>
    </row>
    <row r="28" spans="1:4" x14ac:dyDescent="0.2">
      <c r="A28" s="10">
        <v>22</v>
      </c>
      <c r="B28" s="11">
        <v>120835</v>
      </c>
      <c r="C28" s="11">
        <v>120080</v>
      </c>
      <c r="D28" s="25">
        <f t="shared" si="0"/>
        <v>-755</v>
      </c>
    </row>
    <row r="29" spans="1:4" x14ac:dyDescent="0.2">
      <c r="A29" s="10">
        <v>23</v>
      </c>
      <c r="B29" s="11">
        <v>119482</v>
      </c>
      <c r="C29" s="11">
        <v>118456</v>
      </c>
      <c r="D29" s="25">
        <f t="shared" si="0"/>
        <v>-1026</v>
      </c>
    </row>
    <row r="30" spans="1:4" x14ac:dyDescent="0.2">
      <c r="A30" s="10">
        <v>24</v>
      </c>
      <c r="B30" s="11">
        <v>116376</v>
      </c>
      <c r="C30" s="11">
        <v>114885</v>
      </c>
      <c r="D30" s="25">
        <f t="shared" si="0"/>
        <v>-1491</v>
      </c>
    </row>
    <row r="31" spans="1:4" x14ac:dyDescent="0.2">
      <c r="A31" s="10">
        <v>25</v>
      </c>
      <c r="B31" s="11">
        <v>127730</v>
      </c>
      <c r="C31" s="11">
        <v>128419</v>
      </c>
      <c r="D31" s="25">
        <f t="shared" si="0"/>
        <v>689</v>
      </c>
    </row>
    <row r="32" spans="1:4" x14ac:dyDescent="0.2">
      <c r="A32" s="10">
        <v>26</v>
      </c>
      <c r="B32" s="11">
        <v>137820</v>
      </c>
      <c r="C32" s="11">
        <v>139153</v>
      </c>
      <c r="D32" s="25">
        <f t="shared" si="0"/>
        <v>1333</v>
      </c>
    </row>
    <row r="33" spans="1:4" x14ac:dyDescent="0.2">
      <c r="A33" s="10">
        <v>27</v>
      </c>
      <c r="B33" s="11">
        <v>125177</v>
      </c>
      <c r="C33" s="11">
        <v>125597</v>
      </c>
      <c r="D33" s="25">
        <f t="shared" si="0"/>
        <v>420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3068115</v>
      </c>
      <c r="C38" s="11">
        <f>SUM(C7:C37)</f>
        <v>3085229</v>
      </c>
      <c r="D38" s="11">
        <f>SUM(D7:D37)</f>
        <v>17114</v>
      </c>
    </row>
    <row r="39" spans="1:4" x14ac:dyDescent="0.2">
      <c r="A39" s="26"/>
      <c r="C39" s="14"/>
      <c r="D39" s="106">
        <f>+summary!H3</f>
        <v>2.63</v>
      </c>
    </row>
    <row r="40" spans="1:4" x14ac:dyDescent="0.2">
      <c r="D40" s="138">
        <f>+D39*D38</f>
        <v>45009.82</v>
      </c>
    </row>
    <row r="41" spans="1:4" x14ac:dyDescent="0.2">
      <c r="A41" s="57">
        <v>37103</v>
      </c>
      <c r="C41" s="15"/>
      <c r="D41" s="370">
        <v>-36642</v>
      </c>
    </row>
    <row r="42" spans="1:4" x14ac:dyDescent="0.2">
      <c r="A42" s="57">
        <v>37130</v>
      </c>
      <c r="D42" s="337">
        <f>+D41+D40</f>
        <v>8367.82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37130</v>
      </c>
      <c r="B48" s="32"/>
      <c r="C48" s="32"/>
      <c r="D48" s="379">
        <f>+D38</f>
        <v>17114</v>
      </c>
    </row>
    <row r="49" spans="1:4" x14ac:dyDescent="0.2">
      <c r="A49" s="32"/>
      <c r="B49" s="32"/>
      <c r="C49" s="32"/>
      <c r="D49" s="14">
        <f>+D48+D47</f>
        <v>2156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32" sqref="C32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-34415</v>
      </c>
      <c r="C25" s="11">
        <v>-30000</v>
      </c>
      <c r="D25" s="11">
        <v>-43468</v>
      </c>
      <c r="E25" s="11">
        <v>-49989</v>
      </c>
      <c r="F25" s="11">
        <f t="shared" si="0"/>
        <v>-2106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-75971</v>
      </c>
      <c r="C26" s="11">
        <v>-37000</v>
      </c>
      <c r="D26" s="11"/>
      <c r="E26" s="11">
        <v>-36910</v>
      </c>
      <c r="F26" s="11">
        <f t="shared" si="0"/>
        <v>2061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-55320</v>
      </c>
      <c r="C27" s="11">
        <v>-21996</v>
      </c>
      <c r="D27" s="11"/>
      <c r="E27" s="11">
        <v>-31910</v>
      </c>
      <c r="F27" s="11">
        <f t="shared" si="0"/>
        <v>1414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-83890</v>
      </c>
      <c r="C28" s="11">
        <v>-16199</v>
      </c>
      <c r="D28" s="11"/>
      <c r="E28" s="11">
        <v>-65075</v>
      </c>
      <c r="F28" s="11">
        <f t="shared" si="0"/>
        <v>2616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-52746</v>
      </c>
      <c r="C29" s="11">
        <v>-12063</v>
      </c>
      <c r="D29" s="11"/>
      <c r="E29" s="11">
        <v>-39275</v>
      </c>
      <c r="F29" s="11">
        <f t="shared" si="0"/>
        <v>1408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-52978</v>
      </c>
      <c r="C30" s="11">
        <v>-12063</v>
      </c>
      <c r="D30" s="11"/>
      <c r="E30" s="11">
        <v>-38678</v>
      </c>
      <c r="F30" s="11">
        <f t="shared" si="0"/>
        <v>2237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-52673</v>
      </c>
      <c r="C31" s="11">
        <v>-12063</v>
      </c>
      <c r="D31" s="11"/>
      <c r="E31" s="11">
        <v>-39275</v>
      </c>
      <c r="F31" s="11">
        <f t="shared" si="0"/>
        <v>1335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-1579496</v>
      </c>
      <c r="C36" s="44">
        <f>SUM(C5:C35)</f>
        <v>-502382</v>
      </c>
      <c r="D36" s="43">
        <f>SUM(D5:D35)</f>
        <v>-305444</v>
      </c>
      <c r="E36" s="44">
        <f>SUM(E5:E35)</f>
        <v>-1347827</v>
      </c>
      <c r="F36" s="11">
        <f>SUM(F5:F35)</f>
        <v>34731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-1077114</v>
      </c>
      <c r="D37" s="24"/>
      <c r="E37" s="24">
        <f>+D36-E36</f>
        <v>1042383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37130</v>
      </c>
      <c r="C42" s="14"/>
      <c r="D42" s="50"/>
      <c r="E42" s="50"/>
      <c r="F42" s="51">
        <f>+F41+F36</f>
        <v>71070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37130</v>
      </c>
      <c r="B48" s="32"/>
      <c r="C48" s="32"/>
      <c r="D48" s="408">
        <f>+F36*'by type'!J4</f>
        <v>97594.11</v>
      </c>
    </row>
    <row r="49" spans="1:4" x14ac:dyDescent="0.2">
      <c r="A49" s="32"/>
      <c r="B49" s="32"/>
      <c r="C49" s="32"/>
      <c r="D49" s="202">
        <f>+D48+D47</f>
        <v>67625.7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-151076</v>
      </c>
      <c r="C4" s="11">
        <v>-150326</v>
      </c>
      <c r="D4" s="25">
        <f>+C4-B4</f>
        <v>750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-236194</v>
      </c>
      <c r="C8" s="11">
        <v>-235157</v>
      </c>
      <c r="D8" s="25">
        <f t="shared" si="0"/>
        <v>1037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>
        <v>-122945</v>
      </c>
      <c r="C24" s="11">
        <v>-120841</v>
      </c>
      <c r="D24" s="25">
        <f t="shared" si="0"/>
        <v>2104</v>
      </c>
    </row>
    <row r="25" spans="1:4" x14ac:dyDescent="0.2">
      <c r="A25" s="10">
        <v>22</v>
      </c>
      <c r="B25" s="11">
        <v>-180542</v>
      </c>
      <c r="C25" s="11">
        <v>-179917</v>
      </c>
      <c r="D25" s="25">
        <f t="shared" si="0"/>
        <v>625</v>
      </c>
    </row>
    <row r="26" spans="1:4" x14ac:dyDescent="0.2">
      <c r="A26" s="10">
        <v>23</v>
      </c>
      <c r="B26" s="11">
        <v>-162154</v>
      </c>
      <c r="C26" s="11">
        <v>-161135</v>
      </c>
      <c r="D26" s="25">
        <f t="shared" si="0"/>
        <v>1019</v>
      </c>
    </row>
    <row r="27" spans="1:4" x14ac:dyDescent="0.2">
      <c r="A27" s="10">
        <v>24</v>
      </c>
      <c r="B27" s="11">
        <v>-176509</v>
      </c>
      <c r="C27" s="11">
        <v>-174939</v>
      </c>
      <c r="D27" s="25">
        <f t="shared" si="0"/>
        <v>1570</v>
      </c>
    </row>
    <row r="28" spans="1:4" x14ac:dyDescent="0.2">
      <c r="A28" s="10">
        <v>25</v>
      </c>
      <c r="B28" s="11">
        <v>-174033</v>
      </c>
      <c r="C28" s="11">
        <v>-170727</v>
      </c>
      <c r="D28" s="25">
        <f t="shared" si="0"/>
        <v>3306</v>
      </c>
    </row>
    <row r="29" spans="1:4" x14ac:dyDescent="0.2">
      <c r="A29" s="10">
        <v>26</v>
      </c>
      <c r="B29" s="11">
        <v>-176005</v>
      </c>
      <c r="C29" s="11">
        <v>-174969</v>
      </c>
      <c r="D29" s="25">
        <f t="shared" si="0"/>
        <v>1036</v>
      </c>
    </row>
    <row r="30" spans="1:4" x14ac:dyDescent="0.2">
      <c r="A30" s="10">
        <v>27</v>
      </c>
      <c r="B30" s="11">
        <v>-177989</v>
      </c>
      <c r="C30" s="11">
        <v>-178155</v>
      </c>
      <c r="D30" s="25">
        <f t="shared" si="0"/>
        <v>-166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-4907960</v>
      </c>
      <c r="C35" s="11">
        <f>SUM(C4:C34)</f>
        <v>-4892453</v>
      </c>
      <c r="D35" s="11">
        <f>SUM(D4:D34)</f>
        <v>15507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37130</v>
      </c>
      <c r="D40" s="24">
        <f>+D38+D35</f>
        <v>40407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0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37130</v>
      </c>
      <c r="B46" s="32"/>
      <c r="C46" s="32"/>
      <c r="D46" s="408">
        <f>+D35*'by type'!J4</f>
        <v>43574.67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-112508.71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30" sqref="E30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>
        <v>-705505</v>
      </c>
      <c r="C24" s="11">
        <v>-692927</v>
      </c>
      <c r="D24" s="11">
        <v>-25793</v>
      </c>
      <c r="E24" s="11">
        <v>-25000</v>
      </c>
      <c r="F24" s="25">
        <f t="shared" si="0"/>
        <v>13371</v>
      </c>
      <c r="H24" s="10"/>
      <c r="I24" s="11"/>
      <c r="K24" s="25"/>
    </row>
    <row r="25" spans="1:11" x14ac:dyDescent="0.2">
      <c r="A25" s="10">
        <v>22</v>
      </c>
      <c r="B25" s="11">
        <v>-694670</v>
      </c>
      <c r="C25" s="11">
        <v>-697277</v>
      </c>
      <c r="D25" s="11">
        <v>-24997</v>
      </c>
      <c r="E25" s="11">
        <v>-25000</v>
      </c>
      <c r="F25" s="25">
        <f t="shared" si="0"/>
        <v>-2610</v>
      </c>
      <c r="H25" s="10"/>
      <c r="I25" s="11"/>
    </row>
    <row r="26" spans="1:11" x14ac:dyDescent="0.2">
      <c r="A26" s="10">
        <v>23</v>
      </c>
      <c r="B26" s="11">
        <v>-700984</v>
      </c>
      <c r="C26" s="11">
        <v>-681477</v>
      </c>
      <c r="D26" s="11">
        <v>-25002</v>
      </c>
      <c r="E26" s="11">
        <v>-25000</v>
      </c>
      <c r="F26" s="25">
        <f t="shared" si="0"/>
        <v>19509</v>
      </c>
      <c r="H26" s="10"/>
      <c r="I26" s="11"/>
    </row>
    <row r="27" spans="1:11" x14ac:dyDescent="0.2">
      <c r="A27" s="10">
        <v>24</v>
      </c>
      <c r="B27" s="11">
        <v>-680977</v>
      </c>
      <c r="C27" s="11">
        <v>-683267</v>
      </c>
      <c r="D27" s="11">
        <v>-24997</v>
      </c>
      <c r="E27" s="11">
        <v>-25000</v>
      </c>
      <c r="F27" s="25">
        <f t="shared" si="0"/>
        <v>-2293</v>
      </c>
      <c r="H27" s="10"/>
      <c r="I27" s="11"/>
      <c r="K27" s="25"/>
    </row>
    <row r="28" spans="1:11" x14ac:dyDescent="0.2">
      <c r="A28" s="10">
        <v>25</v>
      </c>
      <c r="B28" s="11">
        <v>-693830</v>
      </c>
      <c r="C28" s="11">
        <v>-704130</v>
      </c>
      <c r="D28" s="11">
        <v>-25000</v>
      </c>
      <c r="E28" s="11">
        <v>-25000</v>
      </c>
      <c r="F28" s="25">
        <f t="shared" si="0"/>
        <v>-10300</v>
      </c>
      <c r="H28" s="10"/>
      <c r="I28" s="11"/>
      <c r="K28" s="25"/>
    </row>
    <row r="29" spans="1:11" x14ac:dyDescent="0.2">
      <c r="A29" s="10">
        <v>26</v>
      </c>
      <c r="B29" s="11">
        <v>-681818</v>
      </c>
      <c r="C29" s="11">
        <v>-696016</v>
      </c>
      <c r="D29" s="11">
        <v>-25002</v>
      </c>
      <c r="E29" s="11">
        <v>-25000</v>
      </c>
      <c r="F29" s="25">
        <f t="shared" si="0"/>
        <v>-14196</v>
      </c>
      <c r="H29" s="10"/>
      <c r="I29" s="11"/>
      <c r="K29" s="25"/>
    </row>
    <row r="30" spans="1:11" x14ac:dyDescent="0.2">
      <c r="A30" s="10">
        <v>27</v>
      </c>
      <c r="B30" s="11">
        <v>-671056</v>
      </c>
      <c r="C30" s="11">
        <v>-666426</v>
      </c>
      <c r="D30" s="11">
        <v>-25000</v>
      </c>
      <c r="E30" s="11">
        <v>-25000</v>
      </c>
      <c r="F30" s="25">
        <f t="shared" si="0"/>
        <v>4630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-19314413</v>
      </c>
      <c r="C35" s="11">
        <f>SUM(C4:C34)</f>
        <v>-19295929</v>
      </c>
      <c r="D35" s="11">
        <f>SUM(D4:D34)</f>
        <v>-616339</v>
      </c>
      <c r="E35" s="11">
        <f>SUM(E4:E34)</f>
        <v>-605000</v>
      </c>
      <c r="F35" s="11">
        <f>SUM(F4:F34)</f>
        <v>29823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46">
        <v>145102</v>
      </c>
    </row>
    <row r="39" spans="1:45" x14ac:dyDescent="0.2">
      <c r="A39" s="2"/>
      <c r="F39" s="24"/>
    </row>
    <row r="40" spans="1:45" x14ac:dyDescent="0.2">
      <c r="A40" s="57">
        <v>37130</v>
      </c>
      <c r="F40" s="51">
        <f>+F38+F35</f>
        <v>174925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0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37130</v>
      </c>
      <c r="B46" s="32"/>
      <c r="C46" s="32"/>
      <c r="D46" s="408">
        <f>+F35*'by type'!J4</f>
        <v>83802.63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532216.53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40" sqref="E40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-119742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-1335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-141966</v>
      </c>
      <c r="C24" s="11">
        <v>-127453</v>
      </c>
      <c r="D24" s="11">
        <v>-96866</v>
      </c>
      <c r="E24" s="11">
        <v>-114950</v>
      </c>
      <c r="F24" s="11"/>
      <c r="G24" s="11"/>
      <c r="H24" s="11">
        <f t="shared" si="0"/>
        <v>-3571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-137154</v>
      </c>
      <c r="C25" s="11">
        <v>-120862</v>
      </c>
      <c r="D25" s="11">
        <v>-74547</v>
      </c>
      <c r="E25" s="11">
        <v>-91154</v>
      </c>
      <c r="F25" s="11"/>
      <c r="G25" s="11"/>
      <c r="H25" s="11">
        <f t="shared" si="0"/>
        <v>-315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-134417</v>
      </c>
      <c r="C26" s="11">
        <v>-119653</v>
      </c>
      <c r="D26" s="11">
        <v>-82490</v>
      </c>
      <c r="E26" s="11">
        <v>-96940</v>
      </c>
      <c r="F26" s="11"/>
      <c r="G26" s="11"/>
      <c r="H26" s="11">
        <f t="shared" si="0"/>
        <v>314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-135500</v>
      </c>
      <c r="C27" s="11">
        <v>-150005</v>
      </c>
      <c r="D27" s="11">
        <v>-80514</v>
      </c>
      <c r="E27" s="11">
        <v>-64929</v>
      </c>
      <c r="F27" s="11"/>
      <c r="G27" s="11"/>
      <c r="H27" s="11">
        <f t="shared" si="0"/>
        <v>1080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-135337</v>
      </c>
      <c r="C28" s="11">
        <v>-95571</v>
      </c>
      <c r="D28" s="11">
        <v>-68776</v>
      </c>
      <c r="E28" s="11">
        <v>-107555</v>
      </c>
      <c r="F28" s="11"/>
      <c r="G28" s="11"/>
      <c r="H28" s="11">
        <f t="shared" si="0"/>
        <v>987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-134313</v>
      </c>
      <c r="C29" s="11">
        <v>-95571</v>
      </c>
      <c r="D29" s="11">
        <v>-71537</v>
      </c>
      <c r="E29" s="11">
        <v>-110769</v>
      </c>
      <c r="F29" s="11"/>
      <c r="G29" s="11"/>
      <c r="H29" s="11">
        <f t="shared" si="0"/>
        <v>-490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-131544</v>
      </c>
      <c r="C30" s="11">
        <v>-90089</v>
      </c>
      <c r="D30" s="11">
        <v>-71973</v>
      </c>
      <c r="E30" s="11">
        <v>-112890</v>
      </c>
      <c r="F30" s="11"/>
      <c r="G30" s="11"/>
      <c r="H30" s="11">
        <f t="shared" si="0"/>
        <v>538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-3686755</v>
      </c>
      <c r="C35" s="44">
        <f t="shared" si="3"/>
        <v>-2921153</v>
      </c>
      <c r="D35" s="11">
        <f t="shared" si="3"/>
        <v>-1626472</v>
      </c>
      <c r="E35" s="44">
        <f t="shared" si="3"/>
        <v>-2383455</v>
      </c>
      <c r="F35" s="11">
        <f t="shared" si="3"/>
        <v>0</v>
      </c>
      <c r="G35" s="11">
        <f t="shared" si="3"/>
        <v>0</v>
      </c>
      <c r="H35" s="11">
        <f t="shared" si="3"/>
        <v>8619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2.81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24219.39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59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37130</v>
      </c>
      <c r="F39" s="47"/>
      <c r="G39" s="47"/>
      <c r="H39" s="137">
        <f>+H38+H37</f>
        <v>485054.76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37130</v>
      </c>
      <c r="E47" s="379">
        <f>+H35</f>
        <v>8619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119855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6" workbookViewId="3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-306663-750</f>
        <v>-307413</v>
      </c>
      <c r="E5" s="11">
        <v>-308597</v>
      </c>
      <c r="F5" s="11"/>
      <c r="G5" s="11"/>
      <c r="H5" s="24">
        <f>+E5-D5+C5-B5</f>
        <v>-1184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-256855-750</f>
        <v>-257605</v>
      </c>
      <c r="E6" s="11">
        <v>-261199</v>
      </c>
      <c r="F6" s="11"/>
      <c r="G6" s="11"/>
      <c r="H6" s="24">
        <f t="shared" ref="H6:H35" si="0">+E6-D6+C6-B6</f>
        <v>-3594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-279637-750</f>
        <v>-280387</v>
      </c>
      <c r="E7" s="129">
        <v>-280376</v>
      </c>
      <c r="F7" s="11"/>
      <c r="G7" s="11"/>
      <c r="H7" s="24">
        <f t="shared" si="0"/>
        <v>11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-263561-750</f>
        <v>-264311</v>
      </c>
      <c r="E8" s="129">
        <v>-267286</v>
      </c>
      <c r="F8" s="11"/>
      <c r="G8" s="11"/>
      <c r="H8" s="24">
        <f t="shared" si="0"/>
        <v>-2975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-239483-750</f>
        <v>-240233</v>
      </c>
      <c r="E9" s="11">
        <v>-241704</v>
      </c>
      <c r="F9" s="11"/>
      <c r="G9" s="11"/>
      <c r="H9" s="24">
        <f t="shared" si="0"/>
        <v>-1471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-258498-750</f>
        <v>-259248</v>
      </c>
      <c r="E10" s="11">
        <v>-262660</v>
      </c>
      <c r="F10" s="11"/>
      <c r="G10" s="11"/>
      <c r="H10" s="24">
        <f t="shared" si="0"/>
        <v>-3412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-249479-750</f>
        <v>-250229</v>
      </c>
      <c r="E11" s="11">
        <v>-254013</v>
      </c>
      <c r="F11" s="11"/>
      <c r="G11" s="11"/>
      <c r="H11" s="24">
        <f t="shared" si="0"/>
        <v>-3784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-272276-750</f>
        <v>-273026</v>
      </c>
      <c r="E12" s="11">
        <v>-274969</v>
      </c>
      <c r="F12" s="11"/>
      <c r="G12" s="11"/>
      <c r="H12" s="24">
        <f t="shared" si="0"/>
        <v>-1943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-266075-750</f>
        <v>-266825</v>
      </c>
      <c r="E13" s="11">
        <v>-268577</v>
      </c>
      <c r="F13" s="11"/>
      <c r="G13" s="11"/>
      <c r="H13" s="24">
        <f t="shared" si="0"/>
        <v>-1752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-278307-750</f>
        <v>-279057</v>
      </c>
      <c r="E14" s="11">
        <v>-283415</v>
      </c>
      <c r="F14" s="11"/>
      <c r="G14" s="11"/>
      <c r="H14" s="24">
        <f t="shared" si="0"/>
        <v>-4358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-287669-750</f>
        <v>-288419</v>
      </c>
      <c r="E15" s="11">
        <v>-288213</v>
      </c>
      <c r="F15" s="11"/>
      <c r="G15" s="11"/>
      <c r="H15" s="24">
        <f t="shared" si="0"/>
        <v>206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-273937-750</f>
        <v>-274687</v>
      </c>
      <c r="E16" s="11">
        <v>-275351</v>
      </c>
      <c r="F16" s="11"/>
      <c r="G16" s="11"/>
      <c r="H16" s="24">
        <f t="shared" si="0"/>
        <v>-664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-286926-750</f>
        <v>-287676</v>
      </c>
      <c r="E17" s="11">
        <v>-288307</v>
      </c>
      <c r="F17" s="11"/>
      <c r="G17" s="11"/>
      <c r="H17" s="24">
        <f t="shared" si="0"/>
        <v>-631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-313689-750</f>
        <v>-314439</v>
      </c>
      <c r="E25" s="11">
        <v>-296501</v>
      </c>
      <c r="F25" s="11"/>
      <c r="G25" s="11"/>
      <c r="H25" s="24">
        <f t="shared" si="0"/>
        <v>17938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>
        <v>113</v>
      </c>
      <c r="C26" s="11"/>
      <c r="D26" s="11">
        <f>-323768-750</f>
        <v>-324518</v>
      </c>
      <c r="E26" s="11">
        <v>-331407</v>
      </c>
      <c r="F26" s="11"/>
      <c r="G26" s="11"/>
      <c r="H26" s="24">
        <f t="shared" si="0"/>
        <v>-7002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f>-340426-750</f>
        <v>-341176</v>
      </c>
      <c r="E27" s="11">
        <v>-342830</v>
      </c>
      <c r="F27" s="11"/>
      <c r="G27" s="11"/>
      <c r="H27" s="24">
        <f t="shared" si="0"/>
        <v>-1654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f>-316024-750</f>
        <v>-316774</v>
      </c>
      <c r="E28" s="11">
        <v>-334924</v>
      </c>
      <c r="F28" s="11"/>
      <c r="G28" s="11"/>
      <c r="H28" s="24">
        <f t="shared" si="0"/>
        <v>-18150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f>-286955-750</f>
        <v>-287705</v>
      </c>
      <c r="E29" s="11">
        <v>-285138</v>
      </c>
      <c r="F29" s="11"/>
      <c r="G29" s="11"/>
      <c r="H29" s="24">
        <f t="shared" si="0"/>
        <v>2567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f>-263744-750</f>
        <v>-264494</v>
      </c>
      <c r="E30" s="11">
        <v>-265642</v>
      </c>
      <c r="F30" s="11"/>
      <c r="G30" s="11"/>
      <c r="H30" s="24">
        <f t="shared" si="0"/>
        <v>-1148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f>-264751-750</f>
        <v>-265501</v>
      </c>
      <c r="E31" s="11">
        <v>-263452</v>
      </c>
      <c r="F31" s="11"/>
      <c r="G31" s="11"/>
      <c r="H31" s="24">
        <f t="shared" si="0"/>
        <v>2049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113</v>
      </c>
      <c r="C36" s="11">
        <f t="shared" si="15"/>
        <v>0</v>
      </c>
      <c r="D36" s="11">
        <f t="shared" si="15"/>
        <v>-7632124</v>
      </c>
      <c r="E36" s="11">
        <f t="shared" si="15"/>
        <v>-7725526</v>
      </c>
      <c r="F36" s="11">
        <f t="shared" si="15"/>
        <v>0</v>
      </c>
      <c r="G36" s="11">
        <f t="shared" si="15"/>
        <v>0</v>
      </c>
      <c r="H36" s="11">
        <f t="shared" si="15"/>
        <v>-93515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-113</v>
      </c>
      <c r="E37" s="25">
        <f>+E36-D36</f>
        <v>-93402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2">
        <v>64269</v>
      </c>
      <c r="D38" s="338"/>
      <c r="E38" s="443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37130</v>
      </c>
      <c r="B39" s="2" t="s">
        <v>46</v>
      </c>
      <c r="C39" s="131">
        <f>+C38+C37</f>
        <v>64156</v>
      </c>
      <c r="D39" s="259"/>
      <c r="E39" s="131">
        <f>+E38+E37</f>
        <v>-65806</v>
      </c>
      <c r="F39" s="259"/>
      <c r="G39" s="131"/>
      <c r="H39" s="131">
        <f>+H38+H36</f>
        <v>-1650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44">
        <v>-1582961</v>
      </c>
      <c r="D44" s="207"/>
      <c r="E44" s="445">
        <v>1186736.6200000001</v>
      </c>
      <c r="F44" s="47">
        <f>+E44+C44</f>
        <v>-396224.37999999989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37130</v>
      </c>
      <c r="B45" s="32"/>
      <c r="C45" s="47">
        <f>+C37*summary!H4</f>
        <v>-317.53000000000003</v>
      </c>
      <c r="D45" s="207"/>
      <c r="E45" s="410">
        <f>+E37*summary!H3</f>
        <v>-245647.25999999998</v>
      </c>
      <c r="F45" s="47">
        <f>+E45+C45</f>
        <v>-245964.78999999998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-1583278.53</v>
      </c>
      <c r="D46" s="207"/>
      <c r="E46" s="410">
        <f>+E45+E44</f>
        <v>941089.3600000001</v>
      </c>
      <c r="F46" s="47">
        <f>+E46+C46</f>
        <v>-642189.16999999993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3" sqref="C33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103978</v>
      </c>
      <c r="C26" s="11">
        <v>103248</v>
      </c>
      <c r="D26" s="25">
        <f t="shared" si="0"/>
        <v>-730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136225</v>
      </c>
      <c r="C27" s="11">
        <v>140467</v>
      </c>
      <c r="D27" s="25">
        <f t="shared" si="0"/>
        <v>4242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134427</v>
      </c>
      <c r="C28" s="11">
        <v>130259</v>
      </c>
      <c r="D28" s="25">
        <f t="shared" si="0"/>
        <v>-4168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130095</v>
      </c>
      <c r="C29" s="11">
        <v>130206</v>
      </c>
      <c r="D29" s="25">
        <f t="shared" si="0"/>
        <v>111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108803</v>
      </c>
      <c r="C30" s="11">
        <v>109705</v>
      </c>
      <c r="D30" s="25">
        <f t="shared" si="0"/>
        <v>902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92412</v>
      </c>
      <c r="C31" s="11">
        <v>91396</v>
      </c>
      <c r="D31" s="25">
        <f t="shared" si="0"/>
        <v>-1016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90203</v>
      </c>
      <c r="C32" s="11">
        <v>88527</v>
      </c>
      <c r="D32" s="25">
        <f t="shared" si="0"/>
        <v>-1676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2990661</v>
      </c>
      <c r="C37" s="11">
        <f>SUM(C6:C36)</f>
        <v>3032451</v>
      </c>
      <c r="D37" s="11">
        <f>SUM(D6:D36)</f>
        <v>41790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37130</v>
      </c>
      <c r="C40" s="48"/>
      <c r="D40" s="25">
        <f>+D39+D37</f>
        <v>96673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37130</v>
      </c>
      <c r="B46" s="32"/>
      <c r="C46" s="32"/>
      <c r="D46" s="408">
        <f>+D37*'by type'!J3</f>
        <v>109907.7</v>
      </c>
    </row>
    <row r="47" spans="1:16" x14ac:dyDescent="0.2">
      <c r="A47" s="32"/>
      <c r="B47" s="32"/>
      <c r="C47" s="32"/>
      <c r="D47" s="202">
        <f>+D46+D45</f>
        <v>521659.23000000004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2001-08-27T17:22:37Z</cp:lastPrinted>
  <dcterms:created xsi:type="dcterms:W3CDTF">2000-03-28T16:52:23Z</dcterms:created>
  <dcterms:modified xsi:type="dcterms:W3CDTF">2023-09-16T19:58:09Z</dcterms:modified>
</cp:coreProperties>
</file>