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96021E-0C63-42D7-833C-14991103C3A5}" xr6:coauthVersionLast="47" xr6:coauthVersionMax="47" xr10:uidLastSave="{00000000-0000-0000-0000-000000000000}"/>
  <bookViews>
    <workbookView xWindow="-120" yWindow="-120" windowWidth="38640" windowHeight="15720" tabRatio="686" firstSheet="8" activeTab="15"/>
    <workbookView xWindow="-120" yWindow="-120" windowWidth="38640" windowHeight="15720" tabRatio="895" activeTab="2"/>
    <workbookView xWindow="-120" yWindow="-120" windowWidth="38640" windowHeight="15720" activeTab="1"/>
    <workbookView xWindow="-120" yWindow="-120" windowWidth="38640" windowHeight="15720" tabRatio="60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6" i="80"/>
  <c r="K46" i="80"/>
  <c r="J47" i="80"/>
  <c r="J48" i="80"/>
  <c r="B55" i="80"/>
  <c r="C55" i="80"/>
  <c r="D55" i="80"/>
  <c r="E55" i="80"/>
  <c r="F55" i="80"/>
  <c r="B56" i="80"/>
  <c r="C56" i="80"/>
  <c r="D56" i="80"/>
  <c r="E56" i="80"/>
  <c r="F56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B62" i="80"/>
  <c r="C62" i="80"/>
  <c r="D62" i="80"/>
  <c r="E62" i="80"/>
  <c r="F62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B76" i="80"/>
  <c r="C76" i="80"/>
  <c r="D76" i="80"/>
  <c r="E76" i="80"/>
  <c r="B79" i="80"/>
  <c r="B80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D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9" i="20"/>
  <c r="B11" i="20"/>
  <c r="B12" i="20"/>
  <c r="B13" i="20"/>
  <c r="B14" i="20"/>
  <c r="B15" i="20"/>
  <c r="B16" i="20"/>
  <c r="E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D5" i="11"/>
  <c r="H5" i="11"/>
  <c r="D6" i="11"/>
  <c r="H6" i="11"/>
  <c r="D7" i="11"/>
  <c r="H7" i="11"/>
  <c r="D8" i="11"/>
  <c r="H8" i="11"/>
  <c r="AB8" i="11"/>
  <c r="AC8" i="11"/>
  <c r="AF8" i="11"/>
  <c r="AI8" i="11"/>
  <c r="AL8" i="11"/>
  <c r="AM8" i="11"/>
  <c r="AN8" i="11"/>
  <c r="AO8" i="11"/>
  <c r="AP8" i="11"/>
  <c r="D9" i="11"/>
  <c r="H9" i="11"/>
  <c r="AC9" i="11"/>
  <c r="AF9" i="11"/>
  <c r="AI9" i="11"/>
  <c r="AL9" i="11"/>
  <c r="AM9" i="11"/>
  <c r="AN9" i="11"/>
  <c r="AO9" i="11"/>
  <c r="AP9" i="11"/>
  <c r="D10" i="11"/>
  <c r="H10" i="11"/>
  <c r="AC10" i="11"/>
  <c r="AF10" i="11"/>
  <c r="AI10" i="11"/>
  <c r="AL10" i="11"/>
  <c r="AM10" i="11"/>
  <c r="AN10" i="11"/>
  <c r="AO10" i="11"/>
  <c r="AP10" i="11"/>
  <c r="D11" i="11"/>
  <c r="H11" i="11"/>
  <c r="AC11" i="11"/>
  <c r="AF11" i="11"/>
  <c r="AI11" i="11"/>
  <c r="AL11" i="11"/>
  <c r="AM11" i="11"/>
  <c r="AN11" i="11"/>
  <c r="AO11" i="11"/>
  <c r="AP11" i="11"/>
  <c r="D12" i="11"/>
  <c r="H12" i="11"/>
  <c r="AC12" i="11"/>
  <c r="AF12" i="11"/>
  <c r="AI12" i="11"/>
  <c r="AL12" i="11"/>
  <c r="AM12" i="11"/>
  <c r="AN12" i="11"/>
  <c r="AO12" i="11"/>
  <c r="AP12" i="11"/>
  <c r="D13" i="11"/>
  <c r="H13" i="11"/>
  <c r="AC13" i="11"/>
  <c r="AF13" i="11"/>
  <c r="AI13" i="11"/>
  <c r="AL13" i="11"/>
  <c r="AM13" i="11"/>
  <c r="AN13" i="11"/>
  <c r="AO13" i="11"/>
  <c r="AP13" i="11"/>
  <c r="D14" i="11"/>
  <c r="H14" i="11"/>
  <c r="AC14" i="11"/>
  <c r="AF14" i="11"/>
  <c r="AI14" i="11"/>
  <c r="AL14" i="11"/>
  <c r="AM14" i="11"/>
  <c r="AN14" i="11"/>
  <c r="AO14" i="11"/>
  <c r="AP14" i="11"/>
  <c r="D15" i="11"/>
  <c r="H15" i="11"/>
  <c r="AC15" i="11"/>
  <c r="AF15" i="11"/>
  <c r="AI15" i="11"/>
  <c r="AL15" i="11"/>
  <c r="AM15" i="11"/>
  <c r="AN15" i="11"/>
  <c r="AO15" i="11"/>
  <c r="AP15" i="11"/>
  <c r="D16" i="11"/>
  <c r="H16" i="11"/>
  <c r="AA16" i="11"/>
  <c r="AC16" i="11"/>
  <c r="AF16" i="11"/>
  <c r="AI16" i="11"/>
  <c r="AL16" i="11"/>
  <c r="AM16" i="11"/>
  <c r="AN16" i="11"/>
  <c r="AO16" i="11"/>
  <c r="AP16" i="11"/>
  <c r="D17" i="11"/>
  <c r="H17" i="11"/>
  <c r="AC17" i="11"/>
  <c r="AF17" i="11"/>
  <c r="AI17" i="11"/>
  <c r="AL17" i="11"/>
  <c r="AM17" i="11"/>
  <c r="AN17" i="11"/>
  <c r="AO17" i="11"/>
  <c r="AP17" i="11"/>
  <c r="D18" i="11"/>
  <c r="H18" i="11"/>
  <c r="AC18" i="11"/>
  <c r="AF18" i="11"/>
  <c r="AI18" i="11"/>
  <c r="AL18" i="11"/>
  <c r="AM18" i="11"/>
  <c r="AN18" i="11"/>
  <c r="AO18" i="11"/>
  <c r="AP18" i="11"/>
  <c r="D19" i="11"/>
  <c r="H19" i="11"/>
  <c r="AC19" i="11"/>
  <c r="AF19" i="11"/>
  <c r="AI19" i="11"/>
  <c r="AL19" i="11"/>
  <c r="AM19" i="11"/>
  <c r="AN19" i="11"/>
  <c r="AO19" i="11"/>
  <c r="AP19" i="11"/>
  <c r="D20" i="11"/>
  <c r="H20" i="11"/>
  <c r="AC20" i="11"/>
  <c r="AE20" i="11"/>
  <c r="AF20" i="11"/>
  <c r="AI20" i="11"/>
  <c r="AL20" i="11"/>
  <c r="AM20" i="11"/>
  <c r="AN20" i="11"/>
  <c r="AO20" i="11"/>
  <c r="AP20" i="11"/>
  <c r="D21" i="11"/>
  <c r="H21" i="11"/>
  <c r="AC21" i="11"/>
  <c r="AF21" i="11"/>
  <c r="AI21" i="11"/>
  <c r="AL21" i="11"/>
  <c r="AM21" i="11"/>
  <c r="AN21" i="11"/>
  <c r="AO21" i="11"/>
  <c r="AP21" i="11"/>
  <c r="D22" i="11"/>
  <c r="H22" i="11"/>
  <c r="AC22" i="11"/>
  <c r="AF22" i="11"/>
  <c r="AI22" i="11"/>
  <c r="AL22" i="11"/>
  <c r="AM22" i="11"/>
  <c r="AN22" i="11"/>
  <c r="AO22" i="11"/>
  <c r="AP22" i="11"/>
  <c r="D23" i="11"/>
  <c r="H23" i="11"/>
  <c r="AC23" i="11"/>
  <c r="AF23" i="11"/>
  <c r="AI23" i="11"/>
  <c r="AL23" i="11"/>
  <c r="AM23" i="11"/>
  <c r="AN23" i="11"/>
  <c r="AO23" i="11"/>
  <c r="AP23" i="11"/>
  <c r="D24" i="11"/>
  <c r="H24" i="11"/>
  <c r="AC24" i="11"/>
  <c r="AF24" i="11"/>
  <c r="AI24" i="11"/>
  <c r="AL24" i="11"/>
  <c r="AM24" i="11"/>
  <c r="AN24" i="11"/>
  <c r="AO24" i="11"/>
  <c r="AP24" i="11"/>
  <c r="D25" i="11"/>
  <c r="H25" i="11"/>
  <c r="AC25" i="11"/>
  <c r="AF25" i="11"/>
  <c r="AI25" i="11"/>
  <c r="AL25" i="11"/>
  <c r="AM25" i="11"/>
  <c r="AN25" i="11"/>
  <c r="AO25" i="11"/>
  <c r="AP25" i="11"/>
  <c r="D26" i="11"/>
  <c r="H26" i="11"/>
  <c r="AC26" i="11"/>
  <c r="AF26" i="11"/>
  <c r="AI26" i="11"/>
  <c r="AL26" i="11"/>
  <c r="AM26" i="11"/>
  <c r="AN26" i="11"/>
  <c r="AO26" i="11"/>
  <c r="AP26" i="11"/>
  <c r="D27" i="11"/>
  <c r="H27" i="11"/>
  <c r="AC27" i="11"/>
  <c r="AE27" i="11"/>
  <c r="AF27" i="11"/>
  <c r="AI27" i="11"/>
  <c r="AL27" i="11"/>
  <c r="AM27" i="11"/>
  <c r="AN27" i="11"/>
  <c r="AO27" i="11"/>
  <c r="AP27" i="11"/>
  <c r="D28" i="11"/>
  <c r="H28" i="11"/>
  <c r="AC28" i="11"/>
  <c r="AF28" i="11"/>
  <c r="AI28" i="11"/>
  <c r="AL28" i="11"/>
  <c r="AM28" i="11"/>
  <c r="AN28" i="11"/>
  <c r="AO28" i="11"/>
  <c r="AP28" i="11"/>
  <c r="D29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<sst xmlns="http://schemas.openxmlformats.org/spreadsheetml/2006/main" count="666" uniqueCount="204">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</sst>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5" fontId="25" fillId="0" borderId="0" xfId="0" applyNumberFormat="1" applyFont="1" applyFill="1" applyBorder="1"/>
    <xf numFmtId="43" fontId="0" fillId="0" borderId="0" xfId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2.93</v>
          </cell>
          <cell r="K39">
            <v>2.66</v>
          </cell>
          <cell r="M39">
            <v>2.84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tabSelected="1" topLeftCell="A43" workbookViewId="3">
      <selection activeCell="C79" sqref="C79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9.8554687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0.42578125" bestFit="1" customWidth="1"/>
    <col min="13" max="13" width="34.42578125" customWidth="1"/>
  </cols>
  <sheetData>
    <row r="1" spans="1:32" ht="15" x14ac:dyDescent="0.25">
      <c r="A1" s="365"/>
    </row>
    <row r="2" spans="1:32" ht="12.95" customHeight="1" x14ac:dyDescent="0.2">
      <c r="A2" s="34" t="s">
        <v>145</v>
      </c>
      <c r="D2" s="7"/>
      <c r="I2" s="416" t="s">
        <v>81</v>
      </c>
      <c r="J2" s="419"/>
      <c r="K2" s="32"/>
    </row>
    <row r="3" spans="1:32" ht="12.95" customHeight="1" x14ac:dyDescent="0.2">
      <c r="D3" s="7"/>
      <c r="I3" s="417" t="s">
        <v>30</v>
      </c>
      <c r="J3" s="420">
        <f>+summary!H3</f>
        <v>2.66</v>
      </c>
      <c r="K3" s="437">
        <f ca="1">NOW()</f>
        <v>37130.69006400463</v>
      </c>
    </row>
    <row r="4" spans="1:32" ht="12.95" customHeight="1" x14ac:dyDescent="0.2">
      <c r="A4" s="34" t="s">
        <v>152</v>
      </c>
      <c r="C4" s="34" t="s">
        <v>5</v>
      </c>
      <c r="D4" s="7"/>
      <c r="I4" s="418" t="s">
        <v>31</v>
      </c>
      <c r="J4" s="420">
        <f>+summary!H4</f>
        <v>2.84</v>
      </c>
      <c r="K4" s="32"/>
    </row>
    <row r="5" spans="1:32" ht="12.95" customHeight="1" x14ac:dyDescent="0.2">
      <c r="D5" s="7"/>
      <c r="I5" s="417" t="s">
        <v>120</v>
      </c>
      <c r="J5" s="420">
        <f>+summary!H5</f>
        <v>2.93</v>
      </c>
      <c r="K5" s="32"/>
    </row>
    <row r="6" spans="1:32" ht="12" customHeight="1" x14ac:dyDescent="0.2"/>
    <row r="7" spans="1:32" ht="12.95" customHeight="1" x14ac:dyDescent="0.2">
      <c r="A7" s="435" t="s">
        <v>179</v>
      </c>
      <c r="B7" s="436"/>
      <c r="AD7" s="32"/>
      <c r="AE7" s="32"/>
      <c r="AF7" s="32"/>
    </row>
    <row r="8" spans="1:32" ht="15.95" customHeight="1" outlineLevel="2" x14ac:dyDescent="0.2">
      <c r="A8" s="32"/>
      <c r="B8" s="47"/>
      <c r="C8" s="433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9" t="s">
        <v>92</v>
      </c>
      <c r="B9" s="425" t="s">
        <v>163</v>
      </c>
      <c r="C9" s="434" t="s">
        <v>178</v>
      </c>
      <c r="D9" s="39" t="s">
        <v>0</v>
      </c>
      <c r="E9" s="39" t="s">
        <v>164</v>
      </c>
      <c r="F9" s="39" t="s">
        <v>153</v>
      </c>
      <c r="G9" s="423" t="s">
        <v>159</v>
      </c>
      <c r="H9" s="400" t="s">
        <v>104</v>
      </c>
      <c r="I9" s="399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9" t="s">
        <v>169</v>
      </c>
    </row>
    <row r="12" spans="1:32" ht="15.95" customHeight="1" outlineLevel="1" x14ac:dyDescent="0.2">
      <c r="A12" s="206" t="s">
        <v>132</v>
      </c>
      <c r="B12" s="375">
        <f>+Calpine!D41</f>
        <v>97348.92</v>
      </c>
      <c r="C12" s="402">
        <f>+B12/$J$4</f>
        <v>34277.788732394365</v>
      </c>
      <c r="D12" s="14">
        <f>+Calpine!D47</f>
        <v>135474</v>
      </c>
      <c r="E12" s="70">
        <f>+C12-D12</f>
        <v>-101196.21126760563</v>
      </c>
      <c r="F12" s="397">
        <f>+Calpine!A41</f>
        <v>37129</v>
      </c>
      <c r="G12" s="205"/>
      <c r="H12" s="206" t="s">
        <v>102</v>
      </c>
      <c r="I12" s="381"/>
      <c r="J12" s="70"/>
      <c r="K12" s="32"/>
    </row>
    <row r="13" spans="1:32" ht="15.95" customHeight="1" outlineLevel="2" x14ac:dyDescent="0.2">
      <c r="A13" s="32" t="s">
        <v>144</v>
      </c>
      <c r="B13" s="375">
        <f>+'Citizens-Griffith'!D41</f>
        <v>-211612.72</v>
      </c>
      <c r="C13" s="401">
        <f>+B13/$J$4</f>
        <v>-74511.521126760563</v>
      </c>
      <c r="D13" s="14">
        <f>+'Citizens-Griffith'!D48</f>
        <v>-101147</v>
      </c>
      <c r="E13" s="70">
        <f>+C13-D13</f>
        <v>26635.478873239437</v>
      </c>
      <c r="F13" s="397">
        <f>+'Citizens-Griffith'!A41</f>
        <v>37128</v>
      </c>
      <c r="G13" s="205" t="s">
        <v>162</v>
      </c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5">
        <f>+'NS Steel'!D41</f>
        <v>-434995.3</v>
      </c>
      <c r="C14" s="401">
        <f>+B14/$J$4</f>
        <v>-153167.35915492958</v>
      </c>
      <c r="D14" s="14">
        <f>+'NS Steel'!D50</f>
        <v>-82631</v>
      </c>
      <c r="E14" s="70">
        <f>+C14-D14</f>
        <v>-70536.359154929582</v>
      </c>
      <c r="F14" s="398">
        <f>+'NS Steel'!A41</f>
        <v>37129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5" customHeight="1" outlineLevel="1" x14ac:dyDescent="0.2">
      <c r="A15" s="206" t="s">
        <v>140</v>
      </c>
      <c r="B15" s="378">
        <f>+Citizens!D18</f>
        <v>-788646.42</v>
      </c>
      <c r="C15" s="403">
        <f>+B15/$J$4</f>
        <v>-277692.40140845074</v>
      </c>
      <c r="D15" s="379">
        <f>+Citizens!D24</f>
        <v>-163917</v>
      </c>
      <c r="E15" s="72">
        <f>+C15-D15</f>
        <v>-113775.40140845074</v>
      </c>
      <c r="F15" s="397">
        <f>+Citizens!A18</f>
        <v>37128</v>
      </c>
      <c r="G15" s="205"/>
      <c r="H15" s="206" t="s">
        <v>102</v>
      </c>
      <c r="I15" s="474" t="s">
        <v>199</v>
      </c>
      <c r="J15" s="32"/>
      <c r="K15" s="32"/>
      <c r="T15" s="267"/>
    </row>
    <row r="16" spans="1:32" ht="15.95" customHeight="1" outlineLevel="2" x14ac:dyDescent="0.2">
      <c r="A16" s="153" t="s">
        <v>170</v>
      </c>
      <c r="B16" s="421">
        <f>SUBTOTAL(9,B12:B15)</f>
        <v>-1337905.52</v>
      </c>
      <c r="C16" s="428">
        <f>SUBTOTAL(9,C12:C15)</f>
        <v>-471093.49295774649</v>
      </c>
      <c r="D16" s="429">
        <f>SUBTOTAL(9,D12:D15)</f>
        <v>-212221</v>
      </c>
      <c r="E16" s="430">
        <f>SUBTOTAL(9,E12:E15)</f>
        <v>-258872.49295774649</v>
      </c>
      <c r="F16" s="397"/>
      <c r="G16" s="205"/>
      <c r="H16" s="206"/>
      <c r="I16" s="381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32" t="s">
        <v>59</v>
      </c>
      <c r="G18" s="7"/>
    </row>
    <row r="19" spans="1:20" ht="15.95" customHeight="1" outlineLevel="2" x14ac:dyDescent="0.2">
      <c r="A19" s="32" t="s">
        <v>74</v>
      </c>
      <c r="B19" s="376">
        <f>+transcol!$D$43</f>
        <v>13560.020000000002</v>
      </c>
      <c r="C19" s="401">
        <f>+B19/$J$4</f>
        <v>4774.6549295774657</v>
      </c>
      <c r="D19" s="14">
        <f>+transcol!D50</f>
        <v>-46307</v>
      </c>
      <c r="E19" s="70">
        <f>+C19-D19</f>
        <v>51081.654929577468</v>
      </c>
      <c r="F19" s="398">
        <f>+transcol!A43</f>
        <v>37128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8">
        <f>+burlington!D42</f>
        <v>7764.0400000000009</v>
      </c>
      <c r="C20" s="405">
        <f>+B20/$J$3</f>
        <v>2918.812030075188</v>
      </c>
      <c r="D20" s="379">
        <f>+burlington!D49</f>
        <v>1736</v>
      </c>
      <c r="E20" s="72">
        <f>+C20-D20</f>
        <v>1182.812030075188</v>
      </c>
      <c r="F20" s="397">
        <f>+burlington!A42</f>
        <v>37129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5" customHeight="1" outlineLevel="2" x14ac:dyDescent="0.2">
      <c r="A21" s="153" t="s">
        <v>172</v>
      </c>
      <c r="B21" s="421">
        <f>SUBTOTAL(9,B19:B20)</f>
        <v>21324.060000000005</v>
      </c>
      <c r="C21" s="422">
        <f>SUBTOTAL(9,C19:C20)</f>
        <v>7693.4669596526537</v>
      </c>
      <c r="D21" s="429">
        <f>SUBTOTAL(9,D19:D20)</f>
        <v>-44571</v>
      </c>
      <c r="E21" s="430">
        <f>SUBTOTAL(9,E19:E20)</f>
        <v>52264.466959652658</v>
      </c>
      <c r="F21" s="397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9" t="s">
        <v>173</v>
      </c>
      <c r="G23" s="7"/>
    </row>
    <row r="24" spans="1:20" ht="15.95" customHeight="1" outlineLevel="2" x14ac:dyDescent="0.2">
      <c r="A24" s="206" t="s">
        <v>90</v>
      </c>
      <c r="B24" s="375">
        <f>+NNG!$D$24</f>
        <v>376371.49</v>
      </c>
      <c r="C24" s="401">
        <f t="shared" ref="C24:C35" si="0">+B24/$J$4</f>
        <v>132525.17253521128</v>
      </c>
      <c r="D24" s="14">
        <f>+NNG!D34</f>
        <v>-35340</v>
      </c>
      <c r="E24" s="70">
        <f t="shared" ref="E24:E37" si="1">+C24-D24</f>
        <v>167865.17253521128</v>
      </c>
      <c r="F24" s="397">
        <f>+NNG!A24</f>
        <v>37128</v>
      </c>
      <c r="G24" s="424" t="s">
        <v>160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5">
        <f>+Conoco!$F$41</f>
        <v>538102.71</v>
      </c>
      <c r="C25" s="401">
        <f t="shared" si="0"/>
        <v>189472.78521126759</v>
      </c>
      <c r="D25" s="14">
        <f>+Conoco!D48</f>
        <v>68872</v>
      </c>
      <c r="E25" s="70">
        <f t="shared" si="1"/>
        <v>120600.78521126759</v>
      </c>
      <c r="F25" s="397">
        <f>+Conoco!A41</f>
        <v>37129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5" customHeight="1" outlineLevel="2" x14ac:dyDescent="0.2">
      <c r="A26" s="32" t="s">
        <v>3</v>
      </c>
      <c r="B26" s="375">
        <f>+'Amoco Abo'!$F$43</f>
        <v>422262.44</v>
      </c>
      <c r="C26" s="401">
        <f t="shared" si="0"/>
        <v>148683.95774647887</v>
      </c>
      <c r="D26" s="14">
        <f>+'Amoco Abo'!D49</f>
        <v>-242790</v>
      </c>
      <c r="E26" s="70">
        <f t="shared" si="1"/>
        <v>391473.95774647885</v>
      </c>
      <c r="F26" s="398">
        <f>+'Amoco Abo'!A43</f>
        <v>37128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5" customHeight="1" outlineLevel="2" x14ac:dyDescent="0.2">
      <c r="A27" s="32" t="s">
        <v>110</v>
      </c>
      <c r="B27" s="375">
        <f>+KN_Westar!F41</f>
        <v>444822.19</v>
      </c>
      <c r="C27" s="401">
        <f t="shared" si="0"/>
        <v>156627.53169014087</v>
      </c>
      <c r="D27" s="14">
        <f>+KN_Westar!D48</f>
        <v>20244</v>
      </c>
      <c r="E27" s="70">
        <f t="shared" si="1"/>
        <v>136383.53169014087</v>
      </c>
      <c r="F27" s="398">
        <f>+KN_Westar!A41</f>
        <v>37129</v>
      </c>
      <c r="G27" s="205" t="s">
        <v>162</v>
      </c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5">
        <f>+DEFS!F53</f>
        <v>289252.48000000045</v>
      </c>
      <c r="C28" s="402">
        <f t="shared" si="0"/>
        <v>101849.46478873256</v>
      </c>
      <c r="D28" s="14">
        <f>+DEFS!M53</f>
        <v>441790</v>
      </c>
      <c r="E28" s="70">
        <f t="shared" si="1"/>
        <v>-339940.53521126742</v>
      </c>
      <c r="F28" s="398">
        <f>+DEFS!A40</f>
        <v>37128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5">
        <f>+CIG!D43</f>
        <v>427495.48</v>
      </c>
      <c r="C29" s="401">
        <f t="shared" si="0"/>
        <v>150526.57746478874</v>
      </c>
      <c r="D29" s="14">
        <f>+CIG!D49</f>
        <v>41761</v>
      </c>
      <c r="E29" s="70">
        <f t="shared" si="1"/>
        <v>108765.57746478874</v>
      </c>
      <c r="F29" s="398">
        <f>+CIG!A43</f>
        <v>37125</v>
      </c>
      <c r="G29" s="205" t="s">
        <v>162</v>
      </c>
      <c r="H29" s="32" t="s">
        <v>116</v>
      </c>
      <c r="I29" s="32"/>
      <c r="J29" s="32"/>
      <c r="K29" s="32"/>
    </row>
    <row r="30" spans="1:20" ht="18" customHeight="1" outlineLevel="1" x14ac:dyDescent="0.2">
      <c r="A30" s="32" t="s">
        <v>2</v>
      </c>
      <c r="B30" s="375">
        <f>+mewborne!$J$43</f>
        <v>329216.64000000001</v>
      </c>
      <c r="C30" s="401">
        <f t="shared" si="0"/>
        <v>115921.35211267606</v>
      </c>
      <c r="D30" s="14">
        <f>+mewborne!D49</f>
        <v>131044</v>
      </c>
      <c r="E30" s="70">
        <f t="shared" si="1"/>
        <v>-15122.647887323939</v>
      </c>
      <c r="F30" s="398">
        <f>+mewborne!A43</f>
        <v>37128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">
      <c r="A31" s="32" t="s">
        <v>154</v>
      </c>
      <c r="B31" s="375">
        <f>+PGETX!$H$39</f>
        <v>485265.05</v>
      </c>
      <c r="C31" s="401">
        <f t="shared" si="0"/>
        <v>170867.97535211267</v>
      </c>
      <c r="D31" s="14">
        <f>+PGETX!E48</f>
        <v>119838</v>
      </c>
      <c r="E31" s="70">
        <f t="shared" si="1"/>
        <v>51029.975352112669</v>
      </c>
      <c r="F31" s="398">
        <f>+PGETX!E39</f>
        <v>37128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">
      <c r="A32" s="32" t="s">
        <v>85</v>
      </c>
      <c r="B32" s="375">
        <f>+PNM!$D$23</f>
        <v>139898.86999999997</v>
      </c>
      <c r="C32" s="401">
        <f t="shared" si="0"/>
        <v>49260.165492957734</v>
      </c>
      <c r="D32" s="14">
        <f>+PNM!D30</f>
        <v>12380</v>
      </c>
      <c r="E32" s="70">
        <f t="shared" si="1"/>
        <v>36880.165492957734</v>
      </c>
      <c r="F32" s="398">
        <f>+PNM!A23</f>
        <v>37128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5">
        <f>+EOG!J41</f>
        <v>83993.16</v>
      </c>
      <c r="C33" s="401">
        <f t="shared" si="0"/>
        <v>29575.056338028171</v>
      </c>
      <c r="D33" s="14">
        <f>+EOG!D48</f>
        <v>-83298</v>
      </c>
      <c r="E33" s="70">
        <f t="shared" si="1"/>
        <v>112873.05633802817</v>
      </c>
      <c r="F33" s="397">
        <f>+EOG!A41</f>
        <v>37128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5">
        <f>+SidR!D41</f>
        <v>8007.6900000000005</v>
      </c>
      <c r="C34" s="401">
        <f t="shared" si="0"/>
        <v>2819.6091549295779</v>
      </c>
      <c r="D34" s="14">
        <f>+SidR!D48</f>
        <v>56096</v>
      </c>
      <c r="E34" s="70">
        <f t="shared" si="1"/>
        <v>-53276.390845070418</v>
      </c>
      <c r="F34" s="398">
        <f>+SidR!A41</f>
        <v>37129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">
      <c r="A35" s="32" t="s">
        <v>112</v>
      </c>
      <c r="B35" s="375">
        <f>+Continental!F43</f>
        <v>-5216.57</v>
      </c>
      <c r="C35" s="402">
        <f t="shared" si="0"/>
        <v>-1836.8204225352113</v>
      </c>
      <c r="D35" s="14">
        <f>+Continental!D50</f>
        <v>-17302</v>
      </c>
      <c r="E35" s="70">
        <f t="shared" si="1"/>
        <v>15465.179577464789</v>
      </c>
      <c r="F35" s="398">
        <f>+Continental!A43</f>
        <v>37128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5">
        <f>+EPFS!D41</f>
        <v>-133506.75</v>
      </c>
      <c r="C36" s="402">
        <f>+B36/$J$5</f>
        <v>-45565.443686006824</v>
      </c>
      <c r="D36" s="14">
        <f>+EPFS!D47</f>
        <v>-34659</v>
      </c>
      <c r="E36" s="70">
        <f t="shared" si="1"/>
        <v>-10906.443686006824</v>
      </c>
      <c r="F36" s="397">
        <f>+EPFS!A41</f>
        <v>37128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8">
        <f>+Agave!$D$24</f>
        <v>-179023.67</v>
      </c>
      <c r="C37" s="403">
        <f>+B37/$J$4</f>
        <v>-63036.503521126768</v>
      </c>
      <c r="D37" s="379">
        <f>+Agave!D31</f>
        <v>-98379</v>
      </c>
      <c r="E37" s="72">
        <f t="shared" si="1"/>
        <v>35342.496478873232</v>
      </c>
      <c r="F37" s="397">
        <f>+Agave!A24</f>
        <v>37128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175</v>
      </c>
      <c r="B38" s="421">
        <f>SUBTOTAL(9,B24:B37)</f>
        <v>3226941.2100000004</v>
      </c>
      <c r="C38" s="428">
        <f>SUBTOTAL(9,C24:C37)</f>
        <v>1137690.8802576554</v>
      </c>
      <c r="D38" s="429">
        <f>SUBTOTAL(9,D24:D37)</f>
        <v>380257</v>
      </c>
      <c r="E38" s="430">
        <f>SUBTOTAL(9,E24:E37)</f>
        <v>757433.88025765517</v>
      </c>
      <c r="F38" s="397"/>
      <c r="G38" s="382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176</v>
      </c>
      <c r="B40" s="421">
        <f>SUBTOTAL(9,B12:B37)</f>
        <v>1910359.7500000009</v>
      </c>
      <c r="C40" s="428">
        <f>SUBTOTAL(9,C12:C37)</f>
        <v>674290.8542595614</v>
      </c>
      <c r="D40" s="429">
        <f>SUBTOTAL(9,D12:D37)</f>
        <v>123465</v>
      </c>
      <c r="E40" s="430">
        <f>SUBTOTAL(9,E12:E37)</f>
        <v>550825.8542595614</v>
      </c>
      <c r="F40" s="397"/>
      <c r="G40" s="206"/>
      <c r="H40" s="32"/>
      <c r="I40" s="206"/>
      <c r="J40" s="32"/>
      <c r="K40" s="32"/>
      <c r="L40" s="32"/>
    </row>
    <row r="41" spans="1:12" ht="12.95" customHeight="1" x14ac:dyDescent="0.2">
      <c r="A41" s="206"/>
      <c r="B41" s="375"/>
      <c r="C41" s="401"/>
      <c r="D41" s="401"/>
      <c r="E41" s="401"/>
      <c r="F41" s="382"/>
      <c r="G41" s="32"/>
      <c r="I41" s="32"/>
      <c r="J41" s="32"/>
      <c r="K41" s="32"/>
      <c r="L41" s="32"/>
    </row>
    <row r="42" spans="1:12" ht="14.1" customHeight="1" x14ac:dyDescent="0.2"/>
    <row r="43" spans="1:12" ht="12.95" customHeight="1" x14ac:dyDescent="0.2"/>
    <row r="44" spans="1:12" ht="13.5" customHeight="1" x14ac:dyDescent="0.2"/>
    <row r="45" spans="1:12" ht="13.5" customHeight="1" outlineLevel="2" x14ac:dyDescent="0.2">
      <c r="A45" s="34" t="s">
        <v>145</v>
      </c>
      <c r="D45" s="7"/>
      <c r="I45" s="416" t="s">
        <v>81</v>
      </c>
      <c r="J45" s="419"/>
      <c r="K45" s="32"/>
    </row>
    <row r="46" spans="1:12" ht="13.5" customHeight="1" outlineLevel="2" x14ac:dyDescent="0.2">
      <c r="D46" s="7"/>
      <c r="I46" s="417" t="s">
        <v>30</v>
      </c>
      <c r="J46" s="420">
        <f>+J3</f>
        <v>2.66</v>
      </c>
      <c r="K46" s="437">
        <f ca="1">NOW()</f>
        <v>37130.69006400463</v>
      </c>
    </row>
    <row r="47" spans="1:12" ht="13.5" customHeight="1" outlineLevel="2" x14ac:dyDescent="0.2">
      <c r="A47" s="34" t="s">
        <v>152</v>
      </c>
      <c r="C47" s="34" t="s">
        <v>5</v>
      </c>
      <c r="D47" s="7"/>
      <c r="I47" s="418" t="s">
        <v>31</v>
      </c>
      <c r="J47" s="420">
        <f>+J4</f>
        <v>2.84</v>
      </c>
      <c r="K47" s="32"/>
    </row>
    <row r="48" spans="1:12" ht="13.5" customHeight="1" outlineLevel="1" x14ac:dyDescent="0.2">
      <c r="D48" s="7"/>
      <c r="I48" s="417" t="s">
        <v>120</v>
      </c>
      <c r="J48" s="420">
        <f>+J5</f>
        <v>2.93</v>
      </c>
      <c r="K48" s="32"/>
    </row>
    <row r="49" spans="1:19" ht="13.5" customHeight="1" outlineLevel="2" x14ac:dyDescent="0.2"/>
    <row r="50" spans="1:19" ht="13.5" customHeight="1" outlineLevel="2" x14ac:dyDescent="0.2">
      <c r="A50" s="435" t="s">
        <v>180</v>
      </c>
      <c r="B50" s="436"/>
    </row>
    <row r="51" spans="1:19" ht="13.5" customHeight="1" outlineLevel="2" x14ac:dyDescent="0.2">
      <c r="A51" s="32"/>
      <c r="C51" s="438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">
      <c r="A52" s="399" t="s">
        <v>92</v>
      </c>
      <c r="B52" s="434" t="s">
        <v>0</v>
      </c>
      <c r="C52" s="411" t="s">
        <v>182</v>
      </c>
      <c r="D52" s="39" t="s">
        <v>184</v>
      </c>
      <c r="E52" s="39" t="s">
        <v>186</v>
      </c>
      <c r="F52" s="39" t="s">
        <v>153</v>
      </c>
      <c r="G52" s="423" t="s">
        <v>159</v>
      </c>
      <c r="H52" s="400" t="s">
        <v>104</v>
      </c>
      <c r="I52" s="399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">
      <c r="B53" s="296"/>
      <c r="C53" s="252"/>
    </row>
    <row r="54" spans="1:19" ht="13.5" customHeight="1" outlineLevel="1" x14ac:dyDescent="0.2">
      <c r="A54" s="399" t="s">
        <v>169</v>
      </c>
      <c r="B54" s="296"/>
      <c r="C54" s="252"/>
    </row>
    <row r="55" spans="1:19" ht="13.5" customHeight="1" outlineLevel="2" x14ac:dyDescent="0.2">
      <c r="A55" s="32" t="s">
        <v>97</v>
      </c>
      <c r="B55" s="401">
        <f>+Mojave!D40</f>
        <v>151127</v>
      </c>
      <c r="C55" s="375">
        <f>+B55*$J$4</f>
        <v>429200.68</v>
      </c>
      <c r="D55" s="47">
        <f>+Mojave!D47</f>
        <v>125660.16</v>
      </c>
      <c r="E55" s="47">
        <f>+C55-D55</f>
        <v>303540.52</v>
      </c>
      <c r="F55" s="398">
        <f>+Mojave!A40</f>
        <v>37129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">
      <c r="A56" s="32" t="s">
        <v>33</v>
      </c>
      <c r="B56" s="402">
        <f>+SoCal!F40</f>
        <v>170295</v>
      </c>
      <c r="C56" s="375">
        <f>+B56*$J$4</f>
        <v>483637.8</v>
      </c>
      <c r="D56" s="47">
        <f>+SoCal!D47</f>
        <v>519962.02</v>
      </c>
      <c r="E56" s="47">
        <f>+C56-D56</f>
        <v>-36324.22000000003</v>
      </c>
      <c r="F56" s="398">
        <f>+SoCal!A40</f>
        <v>37129</v>
      </c>
      <c r="H56" s="32" t="s">
        <v>105</v>
      </c>
      <c r="I56" s="32"/>
      <c r="J56" s="32"/>
      <c r="K56" s="32"/>
    </row>
    <row r="57" spans="1:19" ht="15" customHeight="1" outlineLevel="2" x14ac:dyDescent="0.2">
      <c r="A57" s="32" t="s">
        <v>202</v>
      </c>
      <c r="B57" s="401">
        <f>+'El Paso'!C39</f>
        <v>64156</v>
      </c>
      <c r="C57" s="375">
        <f>+B57*$J$4</f>
        <v>182203.03999999998</v>
      </c>
      <c r="D57" s="47">
        <f>+'El Paso'!C46</f>
        <v>-1583281.92</v>
      </c>
      <c r="E57" s="47">
        <f>+C57-D57</f>
        <v>1765484.96</v>
      </c>
      <c r="F57" s="398">
        <f>+'El Paso'!A39</f>
        <v>37128</v>
      </c>
      <c r="G57" s="475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">
      <c r="A58" s="32" t="s">
        <v>117</v>
      </c>
      <c r="B58" s="403">
        <f>+'PG&amp;E'!D40</f>
        <v>40573</v>
      </c>
      <c r="C58" s="378">
        <f>+B58*$J$4</f>
        <v>115227.31999999999</v>
      </c>
      <c r="D58" s="378">
        <f>+'PG&amp;E'!D47</f>
        <v>-111572.06</v>
      </c>
      <c r="E58" s="378">
        <f>+C58-D58</f>
        <v>226799.38</v>
      </c>
      <c r="F58" s="398">
        <f>+'PG&amp;E'!A40</f>
        <v>37129</v>
      </c>
      <c r="H58" s="32" t="s">
        <v>105</v>
      </c>
      <c r="I58" s="32"/>
      <c r="J58" s="32"/>
      <c r="K58" s="32"/>
    </row>
    <row r="59" spans="1:19" ht="15" customHeight="1" x14ac:dyDescent="0.2">
      <c r="A59" s="2" t="s">
        <v>170</v>
      </c>
      <c r="B59" s="428">
        <f>SUBTOTAL(9,B55:B58)</f>
        <v>426151</v>
      </c>
      <c r="C59" s="421">
        <f>SUBTOTAL(9,C55:C58)</f>
        <v>1210268.8400000001</v>
      </c>
      <c r="D59" s="421">
        <f>SUBTOTAL(9,D55:D58)</f>
        <v>-1049231.7999999998</v>
      </c>
      <c r="E59" s="421">
        <f>SUBTOTAL(9,E55:E58)</f>
        <v>2259500.64</v>
      </c>
      <c r="F59" s="398"/>
      <c r="G59" s="205"/>
      <c r="H59" s="32"/>
      <c r="I59" s="32"/>
      <c r="J59" s="32"/>
      <c r="K59" s="32"/>
    </row>
    <row r="60" spans="1:19" ht="12.95" customHeight="1" x14ac:dyDescent="0.2">
      <c r="B60" s="296"/>
      <c r="C60" s="252"/>
      <c r="G60" s="205"/>
    </row>
    <row r="61" spans="1:19" ht="15" customHeight="1" x14ac:dyDescent="0.2">
      <c r="A61" s="399" t="s">
        <v>59</v>
      </c>
      <c r="B61" s="296"/>
      <c r="C61" s="252"/>
      <c r="G61" s="205"/>
    </row>
    <row r="62" spans="1:19" x14ac:dyDescent="0.2">
      <c r="A62" s="206" t="s">
        <v>29</v>
      </c>
      <c r="B62" s="401">
        <f>+williams!J40</f>
        <v>287013</v>
      </c>
      <c r="C62" s="375">
        <f>+B62*$J$3</f>
        <v>763454.58000000007</v>
      </c>
      <c r="D62" s="47">
        <f>+williams!D48</f>
        <v>1317411.27</v>
      </c>
      <c r="E62" s="47">
        <f>+C62-D62</f>
        <v>-553956.68999999994</v>
      </c>
      <c r="F62" s="397">
        <f>+williams!A40</f>
        <v>37129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">
      <c r="A63" s="32" t="s">
        <v>24</v>
      </c>
      <c r="B63" s="401">
        <f>+'Red C'!F43</f>
        <v>137481</v>
      </c>
      <c r="C63" s="376">
        <f>+B63*J3</f>
        <v>365699.46</v>
      </c>
      <c r="D63" s="202">
        <f>+'Red C'!D52</f>
        <v>664157.16</v>
      </c>
      <c r="E63" s="47">
        <f>+C63-D63</f>
        <v>-298457.7</v>
      </c>
      <c r="F63" s="397">
        <f>+'Red C'!B43</f>
        <v>37129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">
      <c r="A64" s="32" t="s">
        <v>6</v>
      </c>
      <c r="B64" s="401">
        <f>+Amoco!D40</f>
        <v>98349</v>
      </c>
      <c r="C64" s="375">
        <f>+B64*$J$3</f>
        <v>261608.34000000003</v>
      </c>
      <c r="D64" s="47">
        <f>+Amoco!D47</f>
        <v>527371.09000000008</v>
      </c>
      <c r="E64" s="47">
        <f>+C64-D64</f>
        <v>-265762.75000000006</v>
      </c>
      <c r="F64" s="398">
        <f>+Amoco!A40</f>
        <v>37129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">
      <c r="A65" s="32" t="s">
        <v>203</v>
      </c>
      <c r="B65" s="401">
        <f>+'El Paso'!E39</f>
        <v>-66707</v>
      </c>
      <c r="C65" s="375">
        <f>+B65*$J$3</f>
        <v>-177440.62</v>
      </c>
      <c r="D65" s="47">
        <f>+'El Paso'!F46</f>
        <v>-647391.2799999998</v>
      </c>
      <c r="E65" s="47">
        <f>+C65-D65</f>
        <v>469950.6599999998</v>
      </c>
      <c r="F65" s="398">
        <f>+'El Paso'!A39</f>
        <v>37128</v>
      </c>
      <c r="G65" s="475"/>
      <c r="H65" s="32" t="s">
        <v>103</v>
      </c>
      <c r="I65" s="32" t="s">
        <v>193</v>
      </c>
      <c r="J65" s="32"/>
      <c r="K65" s="32"/>
    </row>
    <row r="66" spans="1:12" x14ac:dyDescent="0.2">
      <c r="A66" s="32" t="s">
        <v>1</v>
      </c>
      <c r="B66" s="403">
        <f>+NW!$F$41</f>
        <v>73561</v>
      </c>
      <c r="C66" s="378">
        <f>+B66*$J$3</f>
        <v>195672.26</v>
      </c>
      <c r="D66" s="378">
        <f>+NW!E49</f>
        <v>-305691.78000000003</v>
      </c>
      <c r="E66" s="378">
        <f>+C66-D66</f>
        <v>501364.04000000004</v>
      </c>
      <c r="F66" s="397">
        <f>+NW!B41</f>
        <v>37129</v>
      </c>
      <c r="G66" s="205" t="s">
        <v>161</v>
      </c>
      <c r="H66" s="32" t="s">
        <v>118</v>
      </c>
      <c r="I66" s="32"/>
      <c r="J66" s="32"/>
      <c r="K66" s="32"/>
    </row>
    <row r="67" spans="1:12" x14ac:dyDescent="0.2">
      <c r="A67" s="32" t="s">
        <v>171</v>
      </c>
      <c r="B67" s="428">
        <f>SUBTOTAL(9,B62:B66)</f>
        <v>529697</v>
      </c>
      <c r="C67" s="421">
        <f>SUBTOTAL(9,C62:C66)</f>
        <v>1408994.0200000003</v>
      </c>
      <c r="D67" s="421">
        <f>SUBTOTAL(9,D62:D66)</f>
        <v>1555856.4600000007</v>
      </c>
      <c r="E67" s="421">
        <f>SUBTOTAL(9,E62:E66)</f>
        <v>-146862.44000000006</v>
      </c>
      <c r="F67" s="397"/>
      <c r="G67" s="205"/>
      <c r="H67" s="32"/>
      <c r="I67" s="32"/>
      <c r="J67" s="32"/>
      <c r="K67" s="32"/>
    </row>
    <row r="68" spans="1:12" x14ac:dyDescent="0.2">
      <c r="B68" s="296"/>
      <c r="C68" s="252"/>
      <c r="G68" s="205"/>
    </row>
    <row r="69" spans="1:12" x14ac:dyDescent="0.2">
      <c r="A69" s="399" t="s">
        <v>173</v>
      </c>
      <c r="B69" s="296"/>
      <c r="C69" s="252"/>
      <c r="G69" s="205"/>
    </row>
    <row r="70" spans="1:12" x14ac:dyDescent="0.2">
      <c r="A70" s="32" t="s">
        <v>91</v>
      </c>
      <c r="B70" s="401">
        <f>+NGPL!F38</f>
        <v>132664</v>
      </c>
      <c r="C70" s="375">
        <f>+B70*$J$4</f>
        <v>376765.76</v>
      </c>
      <c r="D70" s="47">
        <f>+NGPL!D45</f>
        <v>334978.36</v>
      </c>
      <c r="E70" s="47">
        <f>+C70-D70</f>
        <v>41787.400000000023</v>
      </c>
      <c r="F70" s="398">
        <f>+NGPL!A38</f>
        <v>37129</v>
      </c>
      <c r="G70" s="205"/>
      <c r="H70" s="32" t="s">
        <v>118</v>
      </c>
      <c r="I70" s="32"/>
      <c r="J70" s="32"/>
      <c r="K70" s="32"/>
    </row>
    <row r="71" spans="1:12" x14ac:dyDescent="0.2">
      <c r="A71" s="32" t="s">
        <v>148</v>
      </c>
      <c r="B71" s="401">
        <f>+PEPL!D41</f>
        <v>64490</v>
      </c>
      <c r="C71" s="376">
        <f>+B71*$J$4</f>
        <v>183151.59999999998</v>
      </c>
      <c r="D71" s="47">
        <f>+PEPL!D47</f>
        <v>307608.89999999997</v>
      </c>
      <c r="E71" s="47">
        <f>+C71-D71</f>
        <v>-124457.29999999999</v>
      </c>
      <c r="F71" s="398">
        <f>+PEPL!A41</f>
        <v>37129</v>
      </c>
      <c r="H71" s="32" t="s">
        <v>103</v>
      </c>
      <c r="I71" s="32" t="s">
        <v>147</v>
      </c>
      <c r="J71" s="32"/>
      <c r="K71" s="32"/>
    </row>
    <row r="72" spans="1:12" x14ac:dyDescent="0.2">
      <c r="A72" s="32" t="s">
        <v>7</v>
      </c>
      <c r="B72" s="402">
        <f>+Oasis!D40</f>
        <v>43498</v>
      </c>
      <c r="C72" s="375">
        <f>+B72*$J$4</f>
        <v>123534.31999999999</v>
      </c>
      <c r="D72" s="47">
        <f>+Oasis!D47</f>
        <v>-263356.38999999996</v>
      </c>
      <c r="E72" s="47">
        <f>+C72-D72</f>
        <v>386890.70999999996</v>
      </c>
      <c r="F72" s="398">
        <f>+Oasis!B40</f>
        <v>37129</v>
      </c>
      <c r="H72" s="32" t="s">
        <v>105</v>
      </c>
      <c r="I72" s="32"/>
      <c r="J72" s="32"/>
      <c r="K72" s="32"/>
    </row>
    <row r="73" spans="1:12" x14ac:dyDescent="0.2">
      <c r="A73" s="32" t="s">
        <v>32</v>
      </c>
      <c r="B73" s="405">
        <f>+Lonestar!F42</f>
        <v>67498</v>
      </c>
      <c r="C73" s="378">
        <f>+B73*$J$4</f>
        <v>191694.31999999998</v>
      </c>
      <c r="D73" s="378">
        <f>+Lonestar!D49</f>
        <v>58523.149999999994</v>
      </c>
      <c r="E73" s="378">
        <f>+C73-D73</f>
        <v>133171.16999999998</v>
      </c>
      <c r="F73" s="397">
        <f>+Lonestar!B42</f>
        <v>37128</v>
      </c>
      <c r="H73" s="32" t="s">
        <v>105</v>
      </c>
      <c r="I73" s="32"/>
      <c r="J73" s="32"/>
      <c r="K73" s="32"/>
    </row>
    <row r="74" spans="1:12" x14ac:dyDescent="0.2">
      <c r="A74" s="2" t="s">
        <v>174</v>
      </c>
      <c r="B74" s="422">
        <f>SUBTOTAL(9,B70:B73)</f>
        <v>308150</v>
      </c>
      <c r="C74" s="421">
        <f>SUBTOTAL(9,C70:C73)</f>
        <v>875145.99999999988</v>
      </c>
      <c r="D74" s="421">
        <f>SUBTOTAL(9,D70:D73)</f>
        <v>437754.02</v>
      </c>
      <c r="E74" s="421">
        <f>SUBTOTAL(9,E70:E73)</f>
        <v>437391.98</v>
      </c>
      <c r="F74" s="397"/>
      <c r="H74" s="32"/>
      <c r="I74" s="32"/>
      <c r="J74" s="32"/>
      <c r="K74" s="32"/>
    </row>
    <row r="75" spans="1:12" x14ac:dyDescent="0.2">
      <c r="B75" s="296"/>
      <c r="C75" s="252"/>
    </row>
    <row r="76" spans="1:12" x14ac:dyDescent="0.2">
      <c r="A76" s="2" t="s">
        <v>181</v>
      </c>
      <c r="B76" s="422">
        <f>SUBTOTAL(9,B55:B73)</f>
        <v>1263998</v>
      </c>
      <c r="C76" s="421">
        <f>SUBTOTAL(9,C55:C73)</f>
        <v>3494408.86</v>
      </c>
      <c r="D76" s="421">
        <f>SUBTOTAL(9,D55:D73)</f>
        <v>944378.68000000052</v>
      </c>
      <c r="E76" s="421">
        <f>SUBTOTAL(9,E55:E73)</f>
        <v>2550030.1799999997</v>
      </c>
      <c r="F76" s="397"/>
      <c r="H76" s="32"/>
      <c r="I76" s="32"/>
      <c r="J76" s="32"/>
      <c r="K76" s="32"/>
    </row>
    <row r="77" spans="1:12" x14ac:dyDescent="0.2">
      <c r="A77" s="32"/>
      <c r="B77" s="375"/>
      <c r="C77" s="402"/>
      <c r="D77" s="375"/>
      <c r="E77" s="375"/>
      <c r="F77" s="397"/>
      <c r="H77" s="32"/>
      <c r="I77" s="32"/>
      <c r="J77" s="32"/>
      <c r="K77" s="32"/>
    </row>
    <row r="78" spans="1:12" x14ac:dyDescent="0.2">
      <c r="A78" s="32"/>
      <c r="B78" s="378"/>
      <c r="C78" s="401"/>
      <c r="D78" s="304"/>
      <c r="E78" s="304"/>
      <c r="F78" s="397"/>
      <c r="G78" s="32"/>
      <c r="I78" s="32"/>
      <c r="J78" s="32"/>
      <c r="K78" s="32"/>
      <c r="L78" s="32"/>
    </row>
    <row r="79" spans="1:12" ht="13.5" thickBot="1" x14ac:dyDescent="0.25">
      <c r="A79" s="2" t="s">
        <v>187</v>
      </c>
      <c r="B79" s="431">
        <f>+C76+B40</f>
        <v>5404768.6100000013</v>
      </c>
      <c r="C79" s="208"/>
      <c r="D79" s="375"/>
      <c r="E79" s="375"/>
      <c r="F79" s="382"/>
      <c r="H79" s="32"/>
      <c r="I79" s="32"/>
      <c r="J79" s="32"/>
      <c r="K79" s="32"/>
    </row>
    <row r="80" spans="1:12" ht="13.5" thickTop="1" x14ac:dyDescent="0.2">
      <c r="A80" s="2" t="s">
        <v>188</v>
      </c>
      <c r="B80" s="14">
        <f>+B76+C40</f>
        <v>1938288.8542595613</v>
      </c>
      <c r="C80" s="404"/>
      <c r="D80" s="478"/>
      <c r="E80" s="304"/>
      <c r="F80" s="382"/>
      <c r="G80" s="32"/>
      <c r="H80" s="32"/>
      <c r="I80" s="32"/>
      <c r="J80" s="32"/>
    </row>
    <row r="81" spans="1:10" x14ac:dyDescent="0.2">
      <c r="A81" s="32"/>
      <c r="B81" s="47"/>
      <c r="C81" s="406"/>
      <c r="D81" s="304"/>
      <c r="E81" s="304"/>
      <c r="F81" s="206"/>
      <c r="G81" s="32"/>
      <c r="H81" s="32"/>
      <c r="I81" s="32"/>
      <c r="J81" s="32"/>
    </row>
    <row r="82" spans="1:10" x14ac:dyDescent="0.2">
      <c r="A82" s="32"/>
      <c r="B82" s="47"/>
      <c r="C82" s="69"/>
      <c r="E82" s="32"/>
      <c r="F82" s="32"/>
      <c r="G82" s="32"/>
      <c r="H82" s="32"/>
      <c r="I82" s="32"/>
    </row>
    <row r="83" spans="1:10" x14ac:dyDescent="0.2">
      <c r="A83" s="32"/>
      <c r="B83" s="47"/>
      <c r="C83" s="69"/>
      <c r="D83" s="32"/>
      <c r="E83" s="32"/>
      <c r="F83" s="32"/>
      <c r="G83" s="32"/>
      <c r="H83" s="32"/>
    </row>
    <row r="84" spans="1:10" x14ac:dyDescent="0.2">
      <c r="A84" s="32"/>
      <c r="B84" s="202"/>
      <c r="C84" s="305"/>
      <c r="D84" s="16"/>
      <c r="E84" s="32"/>
      <c r="F84" s="32"/>
      <c r="G84" s="32"/>
      <c r="H84" s="32"/>
    </row>
    <row r="90" spans="1:10" x14ac:dyDescent="0.2">
      <c r="A90" s="32"/>
      <c r="B90" s="202"/>
      <c r="C90" s="69"/>
      <c r="D90" s="70"/>
      <c r="E90" s="32"/>
      <c r="F90" s="32"/>
      <c r="G90" s="32"/>
      <c r="H90" s="32"/>
    </row>
    <row r="91" spans="1:10" x14ac:dyDescent="0.2">
      <c r="A91" s="32"/>
      <c r="B91" s="47"/>
      <c r="C91" s="14"/>
      <c r="D91" s="32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202"/>
      <c r="C93" s="14"/>
      <c r="D93" s="70"/>
      <c r="E93" s="32"/>
      <c r="F93" s="32"/>
      <c r="G93" s="32"/>
      <c r="H93" s="32"/>
    </row>
    <row r="94" spans="1:10" x14ac:dyDescent="0.2">
      <c r="A94" s="32"/>
      <c r="B94" s="202"/>
      <c r="C94" s="69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32"/>
      <c r="E95" s="32"/>
      <c r="F95" s="32"/>
      <c r="G95" s="32"/>
      <c r="H95" s="32"/>
    </row>
    <row r="96" spans="1:10" x14ac:dyDescent="0.2">
      <c r="A96" s="32"/>
      <c r="B96" s="202"/>
      <c r="C96" s="395"/>
      <c r="D96" s="32"/>
      <c r="E96" s="32"/>
      <c r="F96" s="32"/>
      <c r="G96" s="32"/>
      <c r="H96" s="32"/>
    </row>
    <row r="97" spans="1:8" x14ac:dyDescent="0.2">
      <c r="A97" s="32"/>
      <c r="B97" s="47"/>
      <c r="C97" s="69"/>
      <c r="D97" s="32"/>
      <c r="E97" s="32"/>
      <c r="F97" s="32"/>
      <c r="G97" s="32"/>
      <c r="H97" s="32"/>
    </row>
    <row r="98" spans="1:8" x14ac:dyDescent="0.2">
      <c r="A98" s="32"/>
      <c r="B98" s="47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C122" s="69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1" workbookViewId="3">
      <selection activeCell="B44" sqref="B4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146840</v>
      </c>
      <c r="C19" s="11">
        <v>146894</v>
      </c>
      <c r="D19" s="11">
        <v>12622</v>
      </c>
      <c r="E19" s="11">
        <v>12532</v>
      </c>
      <c r="F19" s="11">
        <f t="shared" si="5"/>
        <v>-36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138816</v>
      </c>
      <c r="C20" s="11">
        <v>137624</v>
      </c>
      <c r="D20" s="11">
        <v>11029</v>
      </c>
      <c r="E20" s="11">
        <v>12532</v>
      </c>
      <c r="F20" s="11">
        <f t="shared" si="5"/>
        <v>311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147189</v>
      </c>
      <c r="C21" s="11">
        <v>146894</v>
      </c>
      <c r="D21" s="11">
        <v>12935</v>
      </c>
      <c r="E21" s="11">
        <v>12532</v>
      </c>
      <c r="F21" s="11">
        <f t="shared" si="5"/>
        <v>-698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140386</v>
      </c>
      <c r="C22" s="11">
        <v>140915</v>
      </c>
      <c r="D22" s="11">
        <v>12623</v>
      </c>
      <c r="E22" s="11">
        <v>12532</v>
      </c>
      <c r="F22" s="11">
        <f t="shared" si="5"/>
        <v>438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141948</v>
      </c>
      <c r="C23" s="11">
        <v>141882</v>
      </c>
      <c r="D23" s="11">
        <v>12641</v>
      </c>
      <c r="E23" s="11">
        <v>12532</v>
      </c>
      <c r="F23" s="11">
        <f t="shared" si="5"/>
        <v>-175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140303</v>
      </c>
      <c r="C24" s="11">
        <v>139659</v>
      </c>
      <c r="D24" s="11">
        <v>12615</v>
      </c>
      <c r="E24" s="11">
        <v>12532</v>
      </c>
      <c r="F24" s="11">
        <f t="shared" si="5"/>
        <v>-727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>
        <v>142945</v>
      </c>
      <c r="C25" s="11">
        <v>142830</v>
      </c>
      <c r="D25" s="11">
        <v>12628</v>
      </c>
      <c r="E25" s="11">
        <v>12532</v>
      </c>
      <c r="F25" s="11">
        <f t="shared" si="5"/>
        <v>-211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>
        <v>138040</v>
      </c>
      <c r="C26" s="11">
        <v>138430</v>
      </c>
      <c r="D26" s="11">
        <v>11271</v>
      </c>
      <c r="E26" s="11">
        <v>12532</v>
      </c>
      <c r="F26" s="11">
        <f t="shared" si="5"/>
        <v>1651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>
        <v>131479</v>
      </c>
      <c r="C27" s="11">
        <v>131398</v>
      </c>
      <c r="D27" s="11"/>
      <c r="E27" s="11"/>
      <c r="F27" s="11">
        <f t="shared" si="5"/>
        <v>-81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>
        <v>145720</v>
      </c>
      <c r="C28" s="150">
        <v>145465</v>
      </c>
      <c r="D28" s="150">
        <v>10112</v>
      </c>
      <c r="E28" s="150">
        <v>12532</v>
      </c>
      <c r="F28" s="11">
        <f t="shared" si="5"/>
        <v>2165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>
        <v>144699</v>
      </c>
      <c r="C29" s="150">
        <v>144643</v>
      </c>
      <c r="D29" s="150">
        <v>14070</v>
      </c>
      <c r="E29" s="150">
        <v>12532</v>
      </c>
      <c r="F29" s="11">
        <f t="shared" si="5"/>
        <v>-1594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143989</v>
      </c>
      <c r="C30" s="150">
        <v>141813</v>
      </c>
      <c r="D30" s="150">
        <v>13039</v>
      </c>
      <c r="E30" s="150">
        <v>12532</v>
      </c>
      <c r="F30" s="11">
        <f t="shared" si="5"/>
        <v>-2683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143943</v>
      </c>
      <c r="C31" s="150">
        <v>144862</v>
      </c>
      <c r="D31" s="150">
        <v>12535</v>
      </c>
      <c r="E31" s="150">
        <v>12532</v>
      </c>
      <c r="F31" s="11">
        <f t="shared" si="5"/>
        <v>916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144473</v>
      </c>
      <c r="C32" s="150">
        <v>144669</v>
      </c>
      <c r="D32" s="150">
        <v>11941</v>
      </c>
      <c r="E32" s="150">
        <v>12532</v>
      </c>
      <c r="F32" s="11">
        <f t="shared" si="5"/>
        <v>787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147274</v>
      </c>
      <c r="C33" s="150">
        <v>147179</v>
      </c>
      <c r="D33" s="150">
        <v>12549</v>
      </c>
      <c r="E33" s="150">
        <v>12532</v>
      </c>
      <c r="F33" s="11">
        <f t="shared" si="5"/>
        <v>-112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3641000</v>
      </c>
      <c r="C39" s="150">
        <f>SUM(C8:C38)</f>
        <v>3630193</v>
      </c>
      <c r="D39" s="150">
        <f>SUM(D8:D38)</f>
        <v>316657</v>
      </c>
      <c r="E39" s="150">
        <f>SUM(E8:E38)</f>
        <v>317812</v>
      </c>
      <c r="F39" s="11">
        <f t="shared" si="5"/>
        <v>-9652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37103</v>
      </c>
      <c r="C42" s="153"/>
      <c r="D42" s="153"/>
      <c r="E42" s="153"/>
      <c r="F42" s="446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37129</v>
      </c>
      <c r="C43" s="142"/>
      <c r="D43" s="142"/>
      <c r="E43" s="142"/>
      <c r="F43" s="150">
        <f>+F42+F39</f>
        <v>137481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27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37103</v>
      </c>
      <c r="B50" s="32"/>
      <c r="C50" s="32"/>
      <c r="D50" s="440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37129</v>
      </c>
      <c r="B51" s="32"/>
      <c r="C51" s="32"/>
      <c r="D51" s="408">
        <f>+F39*'by type'!J3</f>
        <v>-25674.32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664157.16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9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9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9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9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5" workbookViewId="3">
      <selection activeCell="B39" sqref="B3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-52893</v>
      </c>
      <c r="C17" s="24">
        <v>-52903</v>
      </c>
      <c r="D17" s="24">
        <f t="shared" si="0"/>
        <v>-10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-59252</v>
      </c>
      <c r="C18" s="24">
        <v>-59157</v>
      </c>
      <c r="D18" s="24">
        <f t="shared" si="0"/>
        <v>95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-47665</v>
      </c>
      <c r="C19" s="24">
        <v>-47738</v>
      </c>
      <c r="D19" s="24">
        <f t="shared" si="0"/>
        <v>-73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-43304</v>
      </c>
      <c r="C20" s="24">
        <v>-43210</v>
      </c>
      <c r="D20" s="24">
        <f t="shared" si="0"/>
        <v>94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-81707</v>
      </c>
      <c r="C21" s="24">
        <v>-81915</v>
      </c>
      <c r="D21" s="24">
        <f t="shared" si="0"/>
        <v>-208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-42631</v>
      </c>
      <c r="C22" s="24">
        <v>-42144</v>
      </c>
      <c r="D22" s="24">
        <f t="shared" si="0"/>
        <v>487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-43653</v>
      </c>
      <c r="C23" s="24">
        <v>-41943</v>
      </c>
      <c r="D23" s="24">
        <f t="shared" si="0"/>
        <v>1710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-43713</v>
      </c>
      <c r="C24" s="24">
        <v>-42140</v>
      </c>
      <c r="D24" s="24">
        <f t="shared" si="0"/>
        <v>1573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-36219</v>
      </c>
      <c r="C25" s="24">
        <v>-35934</v>
      </c>
      <c r="D25" s="24">
        <f t="shared" si="0"/>
        <v>285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-87894</v>
      </c>
      <c r="C26" s="24">
        <v>-87282</v>
      </c>
      <c r="D26" s="24">
        <f t="shared" si="0"/>
        <v>612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-50383</v>
      </c>
      <c r="C27" s="24">
        <v>-50285</v>
      </c>
      <c r="D27" s="24">
        <f t="shared" si="0"/>
        <v>98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-65432</v>
      </c>
      <c r="C28" s="24">
        <v>-65738</v>
      </c>
      <c r="D28" s="24">
        <f t="shared" si="0"/>
        <v>-306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-88880</v>
      </c>
      <c r="C29" s="24">
        <v>-88719</v>
      </c>
      <c r="D29" s="24">
        <f t="shared" si="0"/>
        <v>161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>
        <v>-89441</v>
      </c>
      <c r="C30" s="24">
        <v>-88745</v>
      </c>
      <c r="D30" s="24">
        <f t="shared" si="0"/>
        <v>696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-1541064</v>
      </c>
      <c r="C36" s="24">
        <f>SUM(C5:C35)</f>
        <v>-1532545</v>
      </c>
      <c r="D36" s="24">
        <f t="shared" si="0"/>
        <v>8519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37103</v>
      </c>
      <c r="C38" s="24"/>
      <c r="D38" s="439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37129</v>
      </c>
      <c r="C40" s="24"/>
      <c r="D40" s="195">
        <f>+D36+D38</f>
        <v>43498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37103</v>
      </c>
      <c r="B45" s="32"/>
      <c r="C45" s="32"/>
      <c r="D45" s="440">
        <v>-287550.34999999998</v>
      </c>
    </row>
    <row r="46" spans="1:65" x14ac:dyDescent="0.2">
      <c r="A46" s="49">
        <f>+B40</f>
        <v>37129</v>
      </c>
      <c r="B46" s="32"/>
      <c r="C46" s="32"/>
      <c r="D46" s="408">
        <f>+D36*'by type'!J4</f>
        <v>24193.96</v>
      </c>
    </row>
    <row r="47" spans="1:65" x14ac:dyDescent="0.2">
      <c r="A47" s="32"/>
      <c r="B47" s="32"/>
      <c r="C47" s="32"/>
      <c r="D47" s="202">
        <f>+D46+D45</f>
        <v>-263356.38999999996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8" sqref="C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837969</v>
      </c>
      <c r="C5" s="90">
        <v>866891</v>
      </c>
      <c r="D5" s="90">
        <f>+C5-B5</f>
        <v>28922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797231</v>
      </c>
      <c r="C7" s="90">
        <v>778531</v>
      </c>
      <c r="D7" s="90">
        <f t="shared" si="0"/>
        <v>-18700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1087473</v>
      </c>
      <c r="C8" s="90">
        <v>1136200</v>
      </c>
      <c r="D8" s="90">
        <f t="shared" si="0"/>
        <v>48727</v>
      </c>
      <c r="E8" s="285"/>
      <c r="F8" s="283"/>
    </row>
    <row r="9" spans="1:13" x14ac:dyDescent="0.2">
      <c r="A9" s="87">
        <v>500293</v>
      </c>
      <c r="B9" s="90">
        <v>364041</v>
      </c>
      <c r="C9" s="90">
        <v>505957</v>
      </c>
      <c r="D9" s="90">
        <f t="shared" si="0"/>
        <v>141916</v>
      </c>
      <c r="E9" s="285"/>
      <c r="F9" s="283"/>
    </row>
    <row r="10" spans="1:13" x14ac:dyDescent="0.2">
      <c r="A10" s="87">
        <v>500302</v>
      </c>
      <c r="B10" s="319"/>
      <c r="C10" s="319">
        <v>9400</v>
      </c>
      <c r="D10" s="90">
        <f t="shared" si="0"/>
        <v>9400</v>
      </c>
      <c r="E10" s="285"/>
      <c r="F10" s="283"/>
    </row>
    <row r="11" spans="1:13" x14ac:dyDescent="0.2">
      <c r="A11" s="87">
        <v>500303</v>
      </c>
      <c r="B11" s="319">
        <v>220958</v>
      </c>
      <c r="C11" s="90">
        <v>278806</v>
      </c>
      <c r="D11" s="90">
        <f t="shared" si="0"/>
        <v>57848</v>
      </c>
      <c r="E11" s="285"/>
      <c r="F11" s="283"/>
    </row>
    <row r="12" spans="1:13" x14ac:dyDescent="0.2">
      <c r="A12" s="91">
        <v>500305</v>
      </c>
      <c r="B12" s="319">
        <v>854605</v>
      </c>
      <c r="C12" s="90">
        <v>1109622</v>
      </c>
      <c r="D12" s="90">
        <f t="shared" si="0"/>
        <v>255017</v>
      </c>
      <c r="E12" s="286"/>
      <c r="F12" s="283"/>
    </row>
    <row r="13" spans="1:13" x14ac:dyDescent="0.2">
      <c r="A13" s="87">
        <v>500307</v>
      </c>
      <c r="B13" s="319">
        <v>91997</v>
      </c>
      <c r="C13" s="90">
        <v>100368</v>
      </c>
      <c r="D13" s="90">
        <f t="shared" si="0"/>
        <v>8371</v>
      </c>
      <c r="E13" s="285"/>
      <c r="F13" s="283"/>
    </row>
    <row r="14" spans="1:13" x14ac:dyDescent="0.2">
      <c r="A14" s="87">
        <v>500313</v>
      </c>
      <c r="B14" s="90"/>
      <c r="C14" s="319">
        <v>2621</v>
      </c>
      <c r="D14" s="90">
        <f t="shared" si="0"/>
        <v>2621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563490</v>
      </c>
      <c r="C16" s="90"/>
      <c r="D16" s="90">
        <f t="shared" si="0"/>
        <v>-563490</v>
      </c>
      <c r="E16" s="285"/>
      <c r="F16" s="283"/>
    </row>
    <row r="17" spans="1:6" x14ac:dyDescent="0.2">
      <c r="A17" s="87">
        <v>500657</v>
      </c>
      <c r="B17" s="335">
        <v>124714</v>
      </c>
      <c r="C17" s="88">
        <v>137449</v>
      </c>
      <c r="D17" s="94">
        <f t="shared" si="0"/>
        <v>12735</v>
      </c>
      <c r="E17" s="285"/>
      <c r="F17" s="283"/>
    </row>
    <row r="18" spans="1:6" x14ac:dyDescent="0.2">
      <c r="A18" s="87"/>
      <c r="B18" s="88"/>
      <c r="C18" s="88"/>
      <c r="D18" s="88">
        <f>SUM(D5:D17)</f>
        <v>-16633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2.84</v>
      </c>
      <c r="E19" s="287"/>
      <c r="F19" s="283"/>
    </row>
    <row r="20" spans="1:6" x14ac:dyDescent="0.2">
      <c r="A20" s="87"/>
      <c r="B20" s="88"/>
      <c r="C20" s="88"/>
      <c r="D20" s="96">
        <f>+D19*D18</f>
        <v>-47237.72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37103</v>
      </c>
      <c r="B22" s="88"/>
      <c r="C22" s="88"/>
      <c r="D22" s="452">
        <v>-131785.95000000001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37128</v>
      </c>
      <c r="B24" s="88"/>
      <c r="C24" s="88"/>
      <c r="D24" s="334">
        <f>+D22+D20</f>
        <v>-179023.67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157</v>
      </c>
      <c r="B28" s="32"/>
      <c r="C28" s="32"/>
      <c r="D28" s="32"/>
    </row>
    <row r="29" spans="1:6" x14ac:dyDescent="0.2">
      <c r="A29" s="49">
        <f>+A22</f>
        <v>37103</v>
      </c>
      <c r="B29" s="32"/>
      <c r="C29" s="32"/>
      <c r="D29" s="212">
        <v>-81746</v>
      </c>
    </row>
    <row r="30" spans="1:6" x14ac:dyDescent="0.2">
      <c r="A30" s="49">
        <f>+A24</f>
        <v>37128</v>
      </c>
      <c r="B30" s="32"/>
      <c r="C30" s="32"/>
      <c r="D30" s="379">
        <f>+D18</f>
        <v>-16633</v>
      </c>
    </row>
    <row r="31" spans="1:6" x14ac:dyDescent="0.2">
      <c r="A31" s="32"/>
      <c r="B31" s="32"/>
      <c r="C31" s="32"/>
      <c r="D31" s="14">
        <f>+D30+D29</f>
        <v>-98379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9" workbookViewId="3">
      <selection activeCell="E30" sqref="E30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1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1" t="s">
        <v>40</v>
      </c>
      <c r="I3" s="4" t="s">
        <v>20</v>
      </c>
      <c r="J3" s="4" t="s">
        <v>21</v>
      </c>
      <c r="K3" s="459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  <c r="H4" s="461"/>
      <c r="I4" s="14"/>
      <c r="J4" s="14"/>
      <c r="K4" s="14">
        <f t="shared" ref="K4:K9" si="0">+J4-I4</f>
        <v>0</v>
      </c>
      <c r="L4" s="390"/>
      <c r="M4" s="75">
        <f t="shared" ref="M4:M9" si="1">+L4*K4</f>
        <v>0</v>
      </c>
    </row>
    <row r="5" spans="1:14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2">+E5+C5-D5-B5</f>
        <v>27</v>
      </c>
      <c r="G5" s="25"/>
      <c r="H5" s="46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0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2"/>
        <v>342</v>
      </c>
      <c r="G6" s="25"/>
      <c r="H6" s="46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0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2"/>
        <v>4116</v>
      </c>
      <c r="G7" s="25"/>
      <c r="H7" s="46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0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2"/>
        <v>5155</v>
      </c>
      <c r="G8" s="25"/>
      <c r="H8" s="46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0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2"/>
        <v>-6643</v>
      </c>
      <c r="G9" s="25"/>
      <c r="H9" s="46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0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2"/>
        <v>1885</v>
      </c>
      <c r="G10" s="25"/>
      <c r="H10" s="461"/>
      <c r="I10" s="14"/>
      <c r="J10" s="14"/>
      <c r="K10" s="14"/>
      <c r="L10" s="390"/>
      <c r="M10" s="15"/>
      <c r="N10" s="15">
        <f>SUM(N5:N9)</f>
        <v>489002.35</v>
      </c>
    </row>
    <row r="11" spans="1:14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2"/>
        <v>5491</v>
      </c>
      <c r="G11" s="25"/>
      <c r="H11" s="461"/>
      <c r="I11" s="14"/>
      <c r="J11" s="14"/>
      <c r="K11" s="15"/>
      <c r="L11" s="390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2"/>
        <v>3020</v>
      </c>
      <c r="G12" s="25"/>
      <c r="H12" s="461"/>
      <c r="I12" s="24"/>
      <c r="J12" s="24"/>
      <c r="K12" s="110"/>
      <c r="L12" s="463"/>
      <c r="M12" s="110"/>
    </row>
    <row r="13" spans="1:14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2"/>
        <v>1547</v>
      </c>
      <c r="G13" s="25"/>
      <c r="I13" s="24"/>
      <c r="J13" s="24"/>
      <c r="K13" s="24">
        <f>SUM(K4:K12)</f>
        <v>135930</v>
      </c>
      <c r="L13" s="463"/>
      <c r="M13" s="110">
        <f>SUM(M4:M12)</f>
        <v>489002.35000000003</v>
      </c>
    </row>
    <row r="14" spans="1:14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2"/>
        <v>3451</v>
      </c>
      <c r="G14" s="25"/>
    </row>
    <row r="15" spans="1:14" x14ac:dyDescent="0.2">
      <c r="A15" s="41">
        <v>12</v>
      </c>
      <c r="B15" s="11">
        <v>33412</v>
      </c>
      <c r="C15" s="11">
        <v>30764</v>
      </c>
      <c r="D15" s="11">
        <v>30321</v>
      </c>
      <c r="E15" s="11">
        <v>30269</v>
      </c>
      <c r="F15" s="25">
        <f t="shared" si="2"/>
        <v>-2700</v>
      </c>
      <c r="G15" s="25"/>
    </row>
    <row r="16" spans="1:14" x14ac:dyDescent="0.2">
      <c r="A16" s="41">
        <v>13</v>
      </c>
      <c r="B16" s="11">
        <v>33711</v>
      </c>
      <c r="C16" s="11">
        <v>30302</v>
      </c>
      <c r="D16" s="11">
        <v>29868</v>
      </c>
      <c r="E16" s="11">
        <v>30731</v>
      </c>
      <c r="F16" s="25">
        <f t="shared" si="2"/>
        <v>-2546</v>
      </c>
      <c r="G16" s="25"/>
    </row>
    <row r="17" spans="1:7" x14ac:dyDescent="0.2">
      <c r="A17" s="41">
        <v>14</v>
      </c>
      <c r="B17" s="11">
        <v>34265</v>
      </c>
      <c r="C17" s="11">
        <v>30374</v>
      </c>
      <c r="D17" s="11">
        <v>30207</v>
      </c>
      <c r="E17" s="11">
        <v>30804</v>
      </c>
      <c r="F17" s="25">
        <f t="shared" si="2"/>
        <v>-3294</v>
      </c>
      <c r="G17" s="25"/>
    </row>
    <row r="18" spans="1:7" x14ac:dyDescent="0.2">
      <c r="A18" s="41">
        <v>15</v>
      </c>
      <c r="B18" s="11">
        <v>34973</v>
      </c>
      <c r="C18" s="11">
        <v>30417</v>
      </c>
      <c r="D18" s="11">
        <v>27096</v>
      </c>
      <c r="E18" s="11">
        <v>30847</v>
      </c>
      <c r="F18" s="25">
        <f t="shared" si="2"/>
        <v>-805</v>
      </c>
      <c r="G18" s="25"/>
    </row>
    <row r="19" spans="1:7" x14ac:dyDescent="0.2">
      <c r="A19" s="41">
        <v>16</v>
      </c>
      <c r="B19" s="11">
        <v>33442</v>
      </c>
      <c r="C19" s="11">
        <v>30517</v>
      </c>
      <c r="D19" s="11">
        <v>31103</v>
      </c>
      <c r="E19" s="11">
        <v>30950</v>
      </c>
      <c r="F19" s="25">
        <f t="shared" si="2"/>
        <v>-3078</v>
      </c>
      <c r="G19" s="25"/>
    </row>
    <row r="20" spans="1:7" x14ac:dyDescent="0.2">
      <c r="A20" s="41">
        <v>17</v>
      </c>
      <c r="B20" s="11">
        <v>33295</v>
      </c>
      <c r="C20" s="11">
        <v>30517</v>
      </c>
      <c r="D20" s="11">
        <v>28744</v>
      </c>
      <c r="E20" s="11">
        <v>30950</v>
      </c>
      <c r="F20" s="25">
        <f t="shared" si="2"/>
        <v>-572</v>
      </c>
      <c r="G20" s="25"/>
    </row>
    <row r="21" spans="1:7" x14ac:dyDescent="0.2">
      <c r="A21" s="41">
        <v>18</v>
      </c>
      <c r="B21" s="11">
        <v>37922</v>
      </c>
      <c r="C21" s="11">
        <v>30402</v>
      </c>
      <c r="D21" s="129">
        <v>29031</v>
      </c>
      <c r="E21" s="11">
        <v>30834</v>
      </c>
      <c r="F21" s="25">
        <f t="shared" si="2"/>
        <v>-5717</v>
      </c>
      <c r="G21" s="25"/>
    </row>
    <row r="22" spans="1:7" x14ac:dyDescent="0.2">
      <c r="A22" s="41">
        <v>19</v>
      </c>
      <c r="B22" s="11">
        <v>37429</v>
      </c>
      <c r="C22" s="11">
        <v>30402</v>
      </c>
      <c r="D22" s="11">
        <v>29422</v>
      </c>
      <c r="E22" s="11">
        <v>30834</v>
      </c>
      <c r="F22" s="25">
        <f t="shared" si="2"/>
        <v>-5615</v>
      </c>
      <c r="G22" s="25"/>
    </row>
    <row r="23" spans="1:7" x14ac:dyDescent="0.2">
      <c r="A23" s="41">
        <v>20</v>
      </c>
      <c r="B23" s="11">
        <v>35688</v>
      </c>
      <c r="C23" s="11">
        <v>30402</v>
      </c>
      <c r="D23" s="11">
        <v>28474</v>
      </c>
      <c r="E23" s="11">
        <v>30834</v>
      </c>
      <c r="F23" s="25">
        <f t="shared" si="2"/>
        <v>-2926</v>
      </c>
      <c r="G23" s="25"/>
    </row>
    <row r="24" spans="1:7" x14ac:dyDescent="0.2">
      <c r="A24" s="41">
        <v>21</v>
      </c>
      <c r="B24" s="11">
        <v>36035</v>
      </c>
      <c r="C24" s="11">
        <v>30517</v>
      </c>
      <c r="D24" s="11">
        <v>27197</v>
      </c>
      <c r="E24" s="11">
        <v>30950</v>
      </c>
      <c r="F24" s="25">
        <f t="shared" si="2"/>
        <v>-1765</v>
      </c>
      <c r="G24" s="25"/>
    </row>
    <row r="25" spans="1:7" x14ac:dyDescent="0.2">
      <c r="A25" s="41">
        <v>22</v>
      </c>
      <c r="B25" s="11">
        <v>35506</v>
      </c>
      <c r="C25" s="11">
        <v>30517</v>
      </c>
      <c r="D25" s="11">
        <v>28224</v>
      </c>
      <c r="E25" s="11">
        <v>30949</v>
      </c>
      <c r="F25" s="25">
        <f t="shared" si="2"/>
        <v>-2264</v>
      </c>
      <c r="G25" s="25"/>
    </row>
    <row r="26" spans="1:7" x14ac:dyDescent="0.2">
      <c r="A26" s="41">
        <v>23</v>
      </c>
      <c r="B26" s="11">
        <v>36635</v>
      </c>
      <c r="C26" s="11">
        <v>30517</v>
      </c>
      <c r="D26" s="129">
        <v>27453</v>
      </c>
      <c r="E26" s="11">
        <v>30950</v>
      </c>
      <c r="F26" s="25">
        <f t="shared" si="2"/>
        <v>-2621</v>
      </c>
    </row>
    <row r="27" spans="1:7" x14ac:dyDescent="0.2">
      <c r="A27" s="41">
        <v>24</v>
      </c>
      <c r="B27" s="11">
        <v>36673</v>
      </c>
      <c r="C27" s="11">
        <v>30517</v>
      </c>
      <c r="D27" s="11">
        <v>30643</v>
      </c>
      <c r="E27" s="11">
        <v>30950</v>
      </c>
      <c r="F27" s="25">
        <f t="shared" si="2"/>
        <v>-5849</v>
      </c>
    </row>
    <row r="28" spans="1:7" x14ac:dyDescent="0.2">
      <c r="A28" s="41">
        <v>25</v>
      </c>
      <c r="B28" s="11">
        <v>33829</v>
      </c>
      <c r="C28" s="11">
        <v>30517</v>
      </c>
      <c r="D28" s="11">
        <v>27379</v>
      </c>
      <c r="E28" s="11">
        <v>30950</v>
      </c>
      <c r="F28" s="25">
        <f t="shared" si="2"/>
        <v>259</v>
      </c>
    </row>
    <row r="29" spans="1:7" x14ac:dyDescent="0.2">
      <c r="A29" s="41">
        <v>26</v>
      </c>
      <c r="B29" s="11">
        <v>35973</v>
      </c>
      <c r="C29" s="11">
        <v>30517</v>
      </c>
      <c r="D29" s="11">
        <v>29256</v>
      </c>
      <c r="E29" s="11">
        <v>30950</v>
      </c>
      <c r="F29" s="25">
        <f t="shared" si="2"/>
        <v>-3762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906706</v>
      </c>
      <c r="C35" s="11">
        <f>SUM(C4:C34)</f>
        <v>850095</v>
      </c>
      <c r="D35" s="11">
        <f>SUM(D4:D34)</f>
        <v>777933</v>
      </c>
      <c r="E35" s="11">
        <f>SUM(E4:E34)</f>
        <v>808285</v>
      </c>
      <c r="F35" s="11">
        <f>+E35-D35+C35-B35</f>
        <v>-26259</v>
      </c>
    </row>
    <row r="36" spans="1:7" x14ac:dyDescent="0.2">
      <c r="A36" s="45"/>
      <c r="C36" s="14">
        <f>+C35-B35</f>
        <v>-56611</v>
      </c>
      <c r="D36" s="14"/>
      <c r="E36" s="14">
        <f>+E35-D35</f>
        <v>30352</v>
      </c>
      <c r="F36" s="47"/>
    </row>
    <row r="37" spans="1:7" x14ac:dyDescent="0.2">
      <c r="C37" s="15">
        <f>+summary!H4</f>
        <v>2.84</v>
      </c>
      <c r="D37" s="15"/>
      <c r="E37" s="15">
        <f>+C37</f>
        <v>2.84</v>
      </c>
      <c r="F37" s="24"/>
    </row>
    <row r="38" spans="1:7" x14ac:dyDescent="0.2">
      <c r="C38" s="48">
        <f>+C37*C36</f>
        <v>-160775.24</v>
      </c>
      <c r="D38" s="47"/>
      <c r="E38" s="48">
        <f>+E37*E36</f>
        <v>86199.679999999993</v>
      </c>
      <c r="F38" s="46">
        <f>+E38+C38</f>
        <v>-74575.56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1">
        <v>612678.27</v>
      </c>
      <c r="D40" s="111"/>
      <c r="E40" s="451">
        <v>0</v>
      </c>
      <c r="F40" s="352">
        <f>+E40+C40</f>
        <v>612678.27</v>
      </c>
      <c r="G40" s="25"/>
    </row>
    <row r="41" spans="1:7" x14ac:dyDescent="0.2">
      <c r="A41" s="57">
        <v>37129</v>
      </c>
      <c r="C41" s="106">
        <f>+C40+C38</f>
        <v>451903.03</v>
      </c>
      <c r="D41" s="106"/>
      <c r="E41" s="106">
        <f>+E40+E38</f>
        <v>86199.679999999993</v>
      </c>
      <c r="F41" s="106">
        <f>+E41+C41</f>
        <v>538102.71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37129</v>
      </c>
      <c r="D47" s="379">
        <f>+F35</f>
        <v>-26259</v>
      </c>
      <c r="E47" s="11"/>
      <c r="F47" s="11"/>
      <c r="G47" s="25"/>
    </row>
    <row r="48" spans="1:7" x14ac:dyDescent="0.2">
      <c r="D48" s="14">
        <f>+D47+D46</f>
        <v>68872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5" workbookViewId="3">
      <selection activeCell="D30" sqref="D30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205187</v>
      </c>
      <c r="C15" s="11">
        <v>209202</v>
      </c>
      <c r="D15" s="11"/>
      <c r="E15" s="11">
        <v>-5480</v>
      </c>
      <c r="F15" s="11">
        <f t="shared" si="2"/>
        <v>-1465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208969</v>
      </c>
      <c r="C17" s="11">
        <v>209066</v>
      </c>
      <c r="D17" s="11"/>
      <c r="E17" s="11">
        <v>-807</v>
      </c>
      <c r="F17" s="11">
        <f t="shared" si="2"/>
        <v>-710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200915</v>
      </c>
      <c r="C18" s="11">
        <v>207816</v>
      </c>
      <c r="D18" s="11"/>
      <c r="E18" s="11">
        <v>-8506</v>
      </c>
      <c r="F18" s="11">
        <f t="shared" si="2"/>
        <v>-1605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185028</v>
      </c>
      <c r="C19" s="11">
        <v>192042</v>
      </c>
      <c r="D19" s="11"/>
      <c r="E19" s="11">
        <v>-7418</v>
      </c>
      <c r="F19" s="11">
        <f t="shared" si="2"/>
        <v>-404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205829</v>
      </c>
      <c r="C20" s="11">
        <v>210433</v>
      </c>
      <c r="D20" s="11"/>
      <c r="E20" s="11">
        <v>-5000</v>
      </c>
      <c r="F20" s="11">
        <f t="shared" si="2"/>
        <v>-396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203994</v>
      </c>
      <c r="C21" s="11">
        <v>209294</v>
      </c>
      <c r="D21" s="11"/>
      <c r="E21" s="11">
        <v>-5929</v>
      </c>
      <c r="F21" s="11">
        <f t="shared" si="2"/>
        <v>-629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230790</v>
      </c>
      <c r="C22" s="11">
        <v>250585</v>
      </c>
      <c r="D22" s="11"/>
      <c r="E22" s="11">
        <v>-6265</v>
      </c>
      <c r="F22" s="11">
        <f t="shared" si="2"/>
        <v>13530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180146</v>
      </c>
      <c r="C23" s="11">
        <v>245466</v>
      </c>
      <c r="D23" s="11"/>
      <c r="E23" s="11">
        <v>-6387</v>
      </c>
      <c r="F23" s="11">
        <f t="shared" si="2"/>
        <v>58933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216439</v>
      </c>
      <c r="C24" s="11">
        <v>221942</v>
      </c>
      <c r="D24" s="11"/>
      <c r="E24" s="11">
        <v>-6231</v>
      </c>
      <c r="F24" s="11">
        <f t="shared" si="2"/>
        <v>-728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183412</v>
      </c>
      <c r="C25" s="11">
        <v>215195</v>
      </c>
      <c r="D25" s="11"/>
      <c r="E25" s="11">
        <v>-28318</v>
      </c>
      <c r="F25" s="11">
        <f t="shared" si="2"/>
        <v>3465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167828</v>
      </c>
      <c r="C26" s="11">
        <v>203102</v>
      </c>
      <c r="D26" s="11"/>
      <c r="E26" s="11">
        <v>-36302</v>
      </c>
      <c r="F26" s="11">
        <f t="shared" si="2"/>
        <v>-1028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178676</v>
      </c>
      <c r="C27" s="11">
        <v>190275</v>
      </c>
      <c r="D27" s="11"/>
      <c r="E27" s="11">
        <v>-10586</v>
      </c>
      <c r="F27" s="11">
        <f t="shared" si="2"/>
        <v>1013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175424</v>
      </c>
      <c r="C28" s="11">
        <v>196078</v>
      </c>
      <c r="D28" s="11"/>
      <c r="E28" s="11">
        <v>-20083</v>
      </c>
      <c r="F28" s="11">
        <f t="shared" si="2"/>
        <v>571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183300</v>
      </c>
      <c r="C29" s="11">
        <v>180188</v>
      </c>
      <c r="D29" s="11"/>
      <c r="E29" s="11"/>
      <c r="F29" s="11">
        <f t="shared" si="2"/>
        <v>-3112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186775</v>
      </c>
      <c r="C30" s="11">
        <v>185860</v>
      </c>
      <c r="D30" s="11"/>
      <c r="E30" s="11"/>
      <c r="F30" s="11">
        <f t="shared" si="2"/>
        <v>-915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4914343</v>
      </c>
      <c r="C36" s="11">
        <f>SUM(C5:C35)</f>
        <v>5300471</v>
      </c>
      <c r="D36" s="11">
        <f>SUM(D5:D35)</f>
        <v>0</v>
      </c>
      <c r="E36" s="11">
        <f>SUM(E5:E35)</f>
        <v>-317677</v>
      </c>
      <c r="F36" s="11">
        <f>SUM(F5:F35)</f>
        <v>68451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37103</v>
      </c>
      <c r="F39" s="441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37129</v>
      </c>
      <c r="F41" s="353">
        <f>+F39+F36</f>
        <v>73561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37103</v>
      </c>
      <c r="C47" s="32"/>
      <c r="D47" s="32"/>
      <c r="E47" s="440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37129</v>
      </c>
      <c r="C48" s="32"/>
      <c r="D48" s="32"/>
      <c r="E48" s="408">
        <f>+F36*'by type'!J3</f>
        <v>182079.66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-305691.78000000003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8" workbookViewId="3">
      <selection activeCell="C33" sqref="C33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">
      <c r="A19" s="10">
        <v>12</v>
      </c>
      <c r="B19" s="11">
        <v>93439</v>
      </c>
      <c r="C19" s="11">
        <v>93039</v>
      </c>
      <c r="D19" s="11">
        <f t="shared" si="0"/>
        <v>-400</v>
      </c>
      <c r="E19" s="10"/>
      <c r="F19" s="11"/>
      <c r="G19" s="11"/>
      <c r="H19" s="11"/>
    </row>
    <row r="20" spans="1:8" x14ac:dyDescent="0.2">
      <c r="A20" s="10">
        <v>13</v>
      </c>
      <c r="B20" s="11">
        <v>102036</v>
      </c>
      <c r="C20" s="11">
        <v>101331</v>
      </c>
      <c r="D20" s="11">
        <f t="shared" si="0"/>
        <v>-705</v>
      </c>
      <c r="E20" s="10"/>
      <c r="F20" s="11"/>
      <c r="G20" s="11"/>
      <c r="H20" s="11"/>
    </row>
    <row r="21" spans="1:8" x14ac:dyDescent="0.2">
      <c r="A21" s="10">
        <v>14</v>
      </c>
      <c r="B21" s="11">
        <v>104231</v>
      </c>
      <c r="C21" s="11">
        <v>108641</v>
      </c>
      <c r="D21" s="11">
        <f t="shared" si="0"/>
        <v>4410</v>
      </c>
      <c r="E21" s="10"/>
      <c r="F21" s="11"/>
      <c r="G21" s="11"/>
      <c r="H21" s="11"/>
    </row>
    <row r="22" spans="1:8" x14ac:dyDescent="0.2">
      <c r="A22" s="10">
        <v>15</v>
      </c>
      <c r="B22" s="11">
        <v>108131</v>
      </c>
      <c r="C22" s="11">
        <v>109178</v>
      </c>
      <c r="D22" s="11">
        <f t="shared" si="0"/>
        <v>1047</v>
      </c>
      <c r="E22" s="10"/>
      <c r="F22" s="11"/>
      <c r="G22" s="11"/>
      <c r="H22" s="11"/>
    </row>
    <row r="23" spans="1:8" x14ac:dyDescent="0.2">
      <c r="A23" s="10">
        <v>16</v>
      </c>
      <c r="B23" s="11">
        <v>94371</v>
      </c>
      <c r="C23" s="11">
        <v>94262</v>
      </c>
      <c r="D23" s="11">
        <f t="shared" si="0"/>
        <v>-109</v>
      </c>
      <c r="E23" s="10"/>
      <c r="F23" s="11"/>
      <c r="G23" s="11"/>
      <c r="H23" s="11"/>
    </row>
    <row r="24" spans="1:8" x14ac:dyDescent="0.2">
      <c r="A24" s="10">
        <v>17</v>
      </c>
      <c r="B24" s="11">
        <v>91954</v>
      </c>
      <c r="C24" s="11">
        <v>91776</v>
      </c>
      <c r="D24" s="11">
        <f t="shared" si="0"/>
        <v>-178</v>
      </c>
      <c r="E24" s="10"/>
      <c r="F24" s="11"/>
      <c r="G24" s="11"/>
      <c r="H24" s="11"/>
    </row>
    <row r="25" spans="1:8" x14ac:dyDescent="0.2">
      <c r="A25" s="10">
        <v>18</v>
      </c>
      <c r="B25" s="11">
        <v>87470</v>
      </c>
      <c r="C25" s="11">
        <v>86776</v>
      </c>
      <c r="D25" s="11">
        <f t="shared" si="0"/>
        <v>-694</v>
      </c>
      <c r="E25" s="10"/>
      <c r="F25" s="11"/>
      <c r="G25" s="11"/>
      <c r="H25" s="11"/>
    </row>
    <row r="26" spans="1:8" x14ac:dyDescent="0.2">
      <c r="A26" s="10">
        <v>19</v>
      </c>
      <c r="B26" s="11">
        <v>83953</v>
      </c>
      <c r="C26" s="11">
        <v>86780</v>
      </c>
      <c r="D26" s="11">
        <f t="shared" si="0"/>
        <v>2827</v>
      </c>
      <c r="E26" s="10"/>
      <c r="F26" s="11"/>
      <c r="G26" s="11"/>
      <c r="H26" s="11"/>
    </row>
    <row r="27" spans="1:8" x14ac:dyDescent="0.2">
      <c r="A27" s="10">
        <v>20</v>
      </c>
      <c r="B27" s="11">
        <v>87096</v>
      </c>
      <c r="C27" s="11">
        <v>86776</v>
      </c>
      <c r="D27" s="11">
        <f t="shared" si="0"/>
        <v>-320</v>
      </c>
      <c r="E27" s="10"/>
      <c r="F27" s="11"/>
      <c r="G27" s="11"/>
      <c r="H27" s="11"/>
    </row>
    <row r="28" spans="1:8" x14ac:dyDescent="0.2">
      <c r="A28" s="10">
        <v>21</v>
      </c>
      <c r="B28" s="11">
        <v>97676</v>
      </c>
      <c r="C28" s="11">
        <v>96772</v>
      </c>
      <c r="D28" s="11">
        <f t="shared" si="0"/>
        <v>-904</v>
      </c>
      <c r="E28" s="10"/>
      <c r="F28" s="11"/>
      <c r="G28" s="11"/>
      <c r="H28" s="11"/>
    </row>
    <row r="29" spans="1:8" x14ac:dyDescent="0.2">
      <c r="A29" s="10">
        <v>22</v>
      </c>
      <c r="B29" s="11">
        <v>94387</v>
      </c>
      <c r="C29" s="11">
        <v>93565</v>
      </c>
      <c r="D29" s="11">
        <f t="shared" si="0"/>
        <v>-822</v>
      </c>
      <c r="E29" s="10"/>
      <c r="F29" s="11"/>
      <c r="G29" s="11"/>
      <c r="H29" s="11"/>
    </row>
    <row r="30" spans="1:8" x14ac:dyDescent="0.2">
      <c r="A30" s="10">
        <v>23</v>
      </c>
      <c r="B30" s="11">
        <v>97972</v>
      </c>
      <c r="C30" s="11">
        <v>98863</v>
      </c>
      <c r="D30" s="11">
        <f t="shared" si="0"/>
        <v>891</v>
      </c>
      <c r="E30" s="10"/>
      <c r="F30" s="11"/>
      <c r="G30" s="11"/>
      <c r="H30" s="11"/>
    </row>
    <row r="31" spans="1:8" x14ac:dyDescent="0.2">
      <c r="A31" s="10">
        <v>24</v>
      </c>
      <c r="B31" s="11">
        <v>94831</v>
      </c>
      <c r="C31" s="11">
        <v>94276</v>
      </c>
      <c r="D31" s="11">
        <f t="shared" si="0"/>
        <v>-555</v>
      </c>
      <c r="E31" s="10"/>
      <c r="F31" s="11"/>
      <c r="G31" s="11"/>
      <c r="H31" s="11"/>
    </row>
    <row r="32" spans="1:8" x14ac:dyDescent="0.2">
      <c r="A32" s="10">
        <v>25</v>
      </c>
      <c r="B32" s="11">
        <v>92197</v>
      </c>
      <c r="C32" s="11">
        <v>91637</v>
      </c>
      <c r="D32" s="11">
        <f t="shared" si="0"/>
        <v>-560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2349970</v>
      </c>
      <c r="C39" s="11">
        <f>SUM(C8:C38)</f>
        <v>2347138</v>
      </c>
      <c r="D39" s="11">
        <f>SUM(D8:D38)</f>
        <v>-2832</v>
      </c>
      <c r="E39" s="10"/>
      <c r="F39" s="11"/>
      <c r="G39" s="11"/>
      <c r="H39" s="11"/>
    </row>
    <row r="40" spans="1:8" x14ac:dyDescent="0.2">
      <c r="A40" s="26"/>
      <c r="D40" s="75">
        <f>+summary!H4</f>
        <v>2.84</v>
      </c>
      <c r="E40" s="26"/>
      <c r="H40" s="75"/>
    </row>
    <row r="41" spans="1:8" x14ac:dyDescent="0.2">
      <c r="D41" s="197">
        <f>+D40*D39</f>
        <v>-8042.8799999999992</v>
      </c>
      <c r="F41" s="252"/>
      <c r="H41" s="197"/>
    </row>
    <row r="42" spans="1:8" x14ac:dyDescent="0.2">
      <c r="A42" s="57">
        <v>37103</v>
      </c>
      <c r="D42" s="456">
        <v>21602.9</v>
      </c>
      <c r="E42" s="57"/>
      <c r="H42" s="197"/>
    </row>
    <row r="43" spans="1:8" x14ac:dyDescent="0.2">
      <c r="A43" s="57">
        <v>37128</v>
      </c>
      <c r="D43" s="198">
        <f>+D42+D41</f>
        <v>13560.020000000002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157</v>
      </c>
      <c r="B47" s="32"/>
      <c r="C47" s="32"/>
      <c r="D47" s="32"/>
    </row>
    <row r="48" spans="1:8" x14ac:dyDescent="0.2">
      <c r="A48" s="49">
        <f>+A42</f>
        <v>37103</v>
      </c>
      <c r="B48" s="32"/>
      <c r="C48" s="32"/>
      <c r="D48" s="212">
        <v>-43475</v>
      </c>
    </row>
    <row r="49" spans="1:4" x14ac:dyDescent="0.2">
      <c r="A49" s="49">
        <f>+A43</f>
        <v>37128</v>
      </c>
      <c r="B49" s="32"/>
      <c r="C49" s="32"/>
      <c r="D49" s="379">
        <f>+D39</f>
        <v>-2832</v>
      </c>
    </row>
    <row r="50" spans="1:4" x14ac:dyDescent="0.2">
      <c r="A50" s="32"/>
      <c r="B50" s="32"/>
      <c r="C50" s="32"/>
      <c r="D50" s="14">
        <f>+D49+D48</f>
        <v>-46307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6" workbookViewId="3">
      <selection activeCell="B9" sqref="B9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37103</v>
      </c>
      <c r="C5" s="454">
        <v>1162786.04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37128</v>
      </c>
      <c r="J7" s="32"/>
    </row>
    <row r="8" spans="1:10" x14ac:dyDescent="0.2">
      <c r="A8" s="253">
        <v>60874</v>
      </c>
      <c r="B8" s="361">
        <v>4203</v>
      </c>
      <c r="J8" s="32"/>
    </row>
    <row r="9" spans="1:10" x14ac:dyDescent="0.2">
      <c r="A9" s="253">
        <v>78169</v>
      </c>
      <c r="B9" s="361">
        <f>174590-155992</f>
        <v>18598</v>
      </c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3">
        <f>3861-5448</f>
        <v>-1587</v>
      </c>
      <c r="J11" s="32"/>
    </row>
    <row r="12" spans="1:10" x14ac:dyDescent="0.2">
      <c r="A12" s="253">
        <v>500251</v>
      </c>
      <c r="B12" s="332">
        <f>15000-13387</f>
        <v>1613</v>
      </c>
      <c r="J12" s="32"/>
    </row>
    <row r="13" spans="1:10" x14ac:dyDescent="0.2">
      <c r="A13" s="253">
        <v>500254</v>
      </c>
      <c r="B13" s="332">
        <f>2250-3047</f>
        <v>-797</v>
      </c>
      <c r="J13" s="32"/>
    </row>
    <row r="14" spans="1:10" x14ac:dyDescent="0.2">
      <c r="A14" s="32">
        <v>500255</v>
      </c>
      <c r="B14" s="332">
        <f>13750-14655</f>
        <v>-905</v>
      </c>
      <c r="E14" s="32">
        <v>4840.7299999999996</v>
      </c>
      <c r="J14" s="32"/>
    </row>
    <row r="15" spans="1:10" x14ac:dyDescent="0.2">
      <c r="A15" s="32">
        <v>500262</v>
      </c>
      <c r="B15" s="332">
        <f>10000-5427</f>
        <v>4573</v>
      </c>
      <c r="E15" s="32">
        <v>67.239999999999995</v>
      </c>
      <c r="J15" s="32"/>
    </row>
    <row r="16" spans="1:10" x14ac:dyDescent="0.2">
      <c r="A16" s="290">
        <v>500267</v>
      </c>
      <c r="B16" s="362">
        <f>1481731-1447824</f>
        <v>33907</v>
      </c>
      <c r="E16" s="32">
        <f>+E14-E15</f>
        <v>4773.49</v>
      </c>
      <c r="J16" s="32"/>
    </row>
    <row r="17" spans="1:10" x14ac:dyDescent="0.2">
      <c r="B17" s="14">
        <f>SUM(B8:B16)</f>
        <v>59605</v>
      </c>
      <c r="J17" s="32"/>
    </row>
    <row r="18" spans="1:10" x14ac:dyDescent="0.2">
      <c r="B18" s="15">
        <f>+B31</f>
        <v>2.84</v>
      </c>
      <c r="C18" s="201">
        <f>+B18*B17</f>
        <v>169278.19999999998</v>
      </c>
      <c r="G18" s="32"/>
      <c r="H18" s="413"/>
      <c r="I18" s="14"/>
      <c r="J18" s="32"/>
    </row>
    <row r="19" spans="1:10" x14ac:dyDescent="0.2">
      <c r="C19" s="339">
        <f>+C18+C5</f>
        <v>1332064.24</v>
      </c>
      <c r="E19" s="15"/>
      <c r="G19" s="32"/>
      <c r="H19" s="413"/>
      <c r="I19" s="14"/>
      <c r="J19" s="32"/>
    </row>
    <row r="20" spans="1:10" x14ac:dyDescent="0.2">
      <c r="E20" s="15"/>
      <c r="G20" s="32"/>
      <c r="H20" s="413"/>
      <c r="I20" s="14"/>
      <c r="J20" s="32"/>
    </row>
    <row r="21" spans="1:10" x14ac:dyDescent="0.2">
      <c r="A21" s="32" t="s">
        <v>89</v>
      </c>
      <c r="G21" s="32"/>
      <c r="H21" s="413"/>
      <c r="I21" s="14"/>
      <c r="J21" s="32"/>
    </row>
    <row r="22" spans="1:10" x14ac:dyDescent="0.2">
      <c r="A22" s="2" t="s">
        <v>76</v>
      </c>
      <c r="G22" s="32"/>
      <c r="H22" s="413"/>
      <c r="I22" s="14"/>
      <c r="J22" s="32"/>
    </row>
    <row r="23" spans="1:10" x14ac:dyDescent="0.2">
      <c r="G23" s="32"/>
      <c r="H23" s="413"/>
      <c r="I23" s="14"/>
      <c r="J23" s="32"/>
    </row>
    <row r="24" spans="1:10" x14ac:dyDescent="0.2">
      <c r="G24" s="32"/>
      <c r="H24" s="413"/>
      <c r="I24" s="14"/>
      <c r="J24" s="32"/>
    </row>
    <row r="25" spans="1:10" x14ac:dyDescent="0.2">
      <c r="A25" s="200">
        <v>37103</v>
      </c>
      <c r="C25" s="454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37128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2.84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A35" s="32" t="s">
        <v>89</v>
      </c>
      <c r="E35" s="15"/>
    </row>
    <row r="36" spans="1:9" x14ac:dyDescent="0.2">
      <c r="A36" s="32" t="s">
        <v>77</v>
      </c>
      <c r="E36" s="32" t="s">
        <v>157</v>
      </c>
      <c r="F36" s="381">
        <v>24268</v>
      </c>
      <c r="G36" s="381">
        <v>24693</v>
      </c>
      <c r="H36" s="381">
        <v>24361</v>
      </c>
    </row>
    <row r="37" spans="1:9" x14ac:dyDescent="0.2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">
      <c r="E38" s="49">
        <f>+A7</f>
        <v>37128</v>
      </c>
      <c r="F38" s="379">
        <f>+B17</f>
        <v>59605</v>
      </c>
      <c r="G38" s="379">
        <f>+B30</f>
        <v>0</v>
      </c>
      <c r="H38" s="379">
        <f>+B45</f>
        <v>7652</v>
      </c>
      <c r="I38" s="14"/>
    </row>
    <row r="39" spans="1:9" x14ac:dyDescent="0.2">
      <c r="A39" s="49">
        <v>37103</v>
      </c>
      <c r="C39" s="454">
        <v>732710.21</v>
      </c>
      <c r="F39" s="14">
        <f>+F38+F37</f>
        <v>282631</v>
      </c>
      <c r="G39" s="14">
        <f>+G38+G37</f>
        <v>117857</v>
      </c>
      <c r="H39" s="14">
        <f>+H38+H37</f>
        <v>146462</v>
      </c>
      <c r="I39" s="14">
        <f>+H39+G39+F39</f>
        <v>546950</v>
      </c>
    </row>
    <row r="40" spans="1:9" x14ac:dyDescent="0.2">
      <c r="G40" s="32"/>
      <c r="H40" s="15"/>
      <c r="I40" s="32"/>
    </row>
    <row r="41" spans="1:9" x14ac:dyDescent="0.2">
      <c r="A41" s="249">
        <v>37128</v>
      </c>
      <c r="G41" s="32"/>
    </row>
    <row r="42" spans="1:9" x14ac:dyDescent="0.2">
      <c r="A42" s="253">
        <v>500241</v>
      </c>
      <c r="B42" s="14"/>
      <c r="G42" s="32"/>
    </row>
    <row r="43" spans="1:9" x14ac:dyDescent="0.2">
      <c r="A43" s="32">
        <v>500391</v>
      </c>
      <c r="B43" s="212">
        <v>6187</v>
      </c>
      <c r="G43" s="32"/>
      <c r="H43" s="414"/>
      <c r="I43" s="14"/>
    </row>
    <row r="44" spans="1:9" x14ac:dyDescent="0.2">
      <c r="A44" s="32">
        <v>500392</v>
      </c>
      <c r="B44" s="257">
        <v>1465</v>
      </c>
      <c r="G44" s="32"/>
      <c r="H44" s="414"/>
      <c r="I44" s="14"/>
    </row>
    <row r="45" spans="1:9" x14ac:dyDescent="0.2">
      <c r="B45" s="14">
        <f>SUM(B42:B44)</f>
        <v>7652</v>
      </c>
      <c r="G45" s="32"/>
      <c r="H45" s="414"/>
      <c r="I45" s="14"/>
    </row>
    <row r="46" spans="1:9" x14ac:dyDescent="0.2">
      <c r="B46" s="201">
        <f>+B31</f>
        <v>2.84</v>
      </c>
      <c r="C46" s="201">
        <f>+B46*B45</f>
        <v>21731.68</v>
      </c>
      <c r="H46" s="414"/>
      <c r="I46" s="14"/>
    </row>
    <row r="47" spans="1:9" x14ac:dyDescent="0.2">
      <c r="C47" s="339">
        <f>+C46+C39</f>
        <v>754441.89</v>
      </c>
      <c r="E47" s="206"/>
      <c r="H47" s="414"/>
      <c r="I47" s="14"/>
    </row>
    <row r="48" spans="1:9" x14ac:dyDescent="0.2">
      <c r="E48" s="216"/>
      <c r="H48" s="414"/>
      <c r="I48" s="14"/>
    </row>
    <row r="49" spans="1:9" x14ac:dyDescent="0.2">
      <c r="E49" s="206"/>
      <c r="H49" s="414"/>
      <c r="I49" s="14"/>
    </row>
    <row r="50" spans="1:9" x14ac:dyDescent="0.2">
      <c r="C50" s="324"/>
      <c r="E50" s="216"/>
    </row>
    <row r="51" spans="1:9" x14ac:dyDescent="0.2">
      <c r="A51" s="32" t="s">
        <v>89</v>
      </c>
      <c r="C51" s="254"/>
    </row>
    <row r="52" spans="1:9" x14ac:dyDescent="0.2">
      <c r="A52" s="32">
        <v>21665</v>
      </c>
      <c r="B52" s="15" t="s">
        <v>142</v>
      </c>
      <c r="C52" s="453">
        <v>73449.16</v>
      </c>
      <c r="D52" s="32" t="s">
        <v>123</v>
      </c>
      <c r="E52" s="50"/>
      <c r="H52" s="414">
        <v>21665</v>
      </c>
      <c r="I52" s="14">
        <v>36403</v>
      </c>
    </row>
    <row r="53" spans="1:9" x14ac:dyDescent="0.2">
      <c r="A53" s="32">
        <v>22664</v>
      </c>
      <c r="B53" s="15" t="s">
        <v>142</v>
      </c>
      <c r="C53" s="477">
        <v>23612.35</v>
      </c>
      <c r="D53" s="32" t="s">
        <v>124</v>
      </c>
      <c r="H53" s="414">
        <v>22664</v>
      </c>
      <c r="I53" s="208">
        <v>18932</v>
      </c>
    </row>
    <row r="54" spans="1:9" x14ac:dyDescent="0.2">
      <c r="H54" s="415"/>
      <c r="I54" s="16"/>
    </row>
    <row r="55" spans="1:9" x14ac:dyDescent="0.2">
      <c r="C55" s="476"/>
    </row>
    <row r="56" spans="1:9" x14ac:dyDescent="0.2">
      <c r="C56" s="331">
        <f>+C53+C52+C47+C32+C19</f>
        <v>2458881.3600000003</v>
      </c>
      <c r="I56" s="14">
        <f>SUM(I39:I53)</f>
        <v>602285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2" workbookViewId="3">
      <selection activeCell="A41" sqref="A41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26046</v>
      </c>
      <c r="E10" s="11">
        <v>24612</v>
      </c>
      <c r="F10" s="11">
        <f t="shared" si="0"/>
        <v>-1434</v>
      </c>
      <c r="G10" s="11"/>
      <c r="I10" s="11"/>
      <c r="J10" s="24"/>
    </row>
    <row r="11" spans="1:10" x14ac:dyDescent="0.2">
      <c r="A11" s="10">
        <v>8</v>
      </c>
      <c r="B11" s="11">
        <v>11</v>
      </c>
      <c r="C11" s="11"/>
      <c r="D11" s="11">
        <v>24733</v>
      </c>
      <c r="E11" s="11">
        <v>24612</v>
      </c>
      <c r="F11" s="11">
        <f t="shared" si="0"/>
        <v>-132</v>
      </c>
      <c r="G11" s="11"/>
      <c r="I11" s="11"/>
      <c r="J11" s="24"/>
    </row>
    <row r="12" spans="1:10" x14ac:dyDescent="0.2">
      <c r="A12" s="10">
        <v>9</v>
      </c>
      <c r="B12" s="11">
        <v>22</v>
      </c>
      <c r="C12" s="11"/>
      <c r="D12" s="11">
        <v>26013</v>
      </c>
      <c r="E12" s="11">
        <v>24612</v>
      </c>
      <c r="F12" s="11">
        <f t="shared" si="0"/>
        <v>-1423</v>
      </c>
      <c r="G12" s="11"/>
      <c r="I12" s="11"/>
      <c r="J12" s="24"/>
    </row>
    <row r="13" spans="1:10" x14ac:dyDescent="0.2">
      <c r="A13" s="10">
        <v>10</v>
      </c>
      <c r="B13" s="11">
        <v>1</v>
      </c>
      <c r="C13" s="11"/>
      <c r="D13" s="11">
        <v>25516</v>
      </c>
      <c r="E13" s="11">
        <v>24612</v>
      </c>
      <c r="F13" s="11">
        <f t="shared" si="0"/>
        <v>-905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25869</v>
      </c>
      <c r="E14" s="11">
        <v>24612</v>
      </c>
      <c r="F14" s="11">
        <f t="shared" si="0"/>
        <v>-1257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25308</v>
      </c>
      <c r="E15" s="11">
        <v>24612</v>
      </c>
      <c r="F15" s="11">
        <f t="shared" si="0"/>
        <v>-696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25349</v>
      </c>
      <c r="E16" s="11">
        <v>24612</v>
      </c>
      <c r="F16" s="11">
        <f t="shared" si="0"/>
        <v>-737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26042</v>
      </c>
      <c r="E17" s="11">
        <v>24612</v>
      </c>
      <c r="F17" s="11">
        <f t="shared" si="0"/>
        <v>-1430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25954</v>
      </c>
      <c r="E18" s="11">
        <v>24612</v>
      </c>
      <c r="F18" s="11">
        <f t="shared" si="0"/>
        <v>-1342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26036</v>
      </c>
      <c r="E19" s="11">
        <v>24612</v>
      </c>
      <c r="F19" s="11">
        <f t="shared" si="0"/>
        <v>-1424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13182</v>
      </c>
      <c r="E20" s="11">
        <v>24612</v>
      </c>
      <c r="F20" s="11">
        <f t="shared" si="0"/>
        <v>11430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21303</v>
      </c>
      <c r="E21" s="11">
        <v>24612</v>
      </c>
      <c r="F21" s="11">
        <f t="shared" si="0"/>
        <v>3309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20687</v>
      </c>
      <c r="E22" s="11">
        <v>24612</v>
      </c>
      <c r="F22" s="11">
        <f t="shared" si="0"/>
        <v>3925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15373</v>
      </c>
      <c r="E23" s="11">
        <v>24612</v>
      </c>
      <c r="F23" s="11">
        <f t="shared" si="0"/>
        <v>9239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7932</v>
      </c>
      <c r="E24" s="11">
        <v>16205</v>
      </c>
      <c r="F24" s="11">
        <f t="shared" si="0"/>
        <v>8273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25349</v>
      </c>
      <c r="E25" s="11">
        <v>24612</v>
      </c>
      <c r="F25" s="11">
        <f t="shared" si="0"/>
        <v>-737</v>
      </c>
      <c r="I25" s="11"/>
      <c r="J25" s="24"/>
    </row>
    <row r="26" spans="1:10" x14ac:dyDescent="0.2">
      <c r="A26" s="10">
        <v>23</v>
      </c>
      <c r="B26" s="11"/>
      <c r="C26" s="11"/>
      <c r="D26" s="11">
        <v>25784</v>
      </c>
      <c r="E26" s="11">
        <v>24612</v>
      </c>
      <c r="F26" s="11">
        <f t="shared" si="0"/>
        <v>-1172</v>
      </c>
      <c r="I26" s="11"/>
      <c r="J26" s="24"/>
    </row>
    <row r="27" spans="1:10" x14ac:dyDescent="0.2">
      <c r="A27" s="10">
        <v>24</v>
      </c>
      <c r="B27" s="11"/>
      <c r="C27" s="11"/>
      <c r="D27" s="11">
        <v>26042</v>
      </c>
      <c r="E27" s="11">
        <v>24612</v>
      </c>
      <c r="F27" s="11">
        <f t="shared" si="0"/>
        <v>-1430</v>
      </c>
      <c r="I27" s="11"/>
      <c r="J27" s="24"/>
    </row>
    <row r="28" spans="1:10" x14ac:dyDescent="0.2">
      <c r="A28" s="10">
        <v>25</v>
      </c>
      <c r="B28" s="11"/>
      <c r="C28" s="11"/>
      <c r="D28" s="11">
        <v>26050</v>
      </c>
      <c r="E28" s="11">
        <v>24612</v>
      </c>
      <c r="F28" s="11">
        <f t="shared" si="0"/>
        <v>-1438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81">
        <v>23995</v>
      </c>
      <c r="J33" s="381">
        <v>22051</v>
      </c>
      <c r="K33" s="38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">
      <c r="A35" s="10"/>
      <c r="B35" s="11">
        <f>SUM(B4:B34)</f>
        <v>34</v>
      </c>
      <c r="C35" s="11">
        <f>SUM(C4:C34)</f>
        <v>0</v>
      </c>
      <c r="D35" s="11">
        <f>SUM(D4:D34)</f>
        <v>567148</v>
      </c>
      <c r="E35" s="11">
        <f>SUM(E4:E34)</f>
        <v>606893</v>
      </c>
      <c r="F35" s="11">
        <f>SUM(F4:F34)</f>
        <v>39711</v>
      </c>
      <c r="G35" s="11"/>
      <c r="H35" s="49">
        <f>+A40</f>
        <v>37128</v>
      </c>
      <c r="I35" s="379">
        <f>+C36</f>
        <v>-34</v>
      </c>
      <c r="J35" s="379">
        <f>+E36</f>
        <v>39745</v>
      </c>
      <c r="K35" s="208"/>
      <c r="L35" s="14"/>
    </row>
    <row r="36" spans="1:13" x14ac:dyDescent="0.2">
      <c r="C36" s="25">
        <f>+C35-B35</f>
        <v>-34</v>
      </c>
      <c r="E36" s="25">
        <f>+E35-D35</f>
        <v>39745</v>
      </c>
      <c r="F36" s="25">
        <f>+E36+C36</f>
        <v>39711</v>
      </c>
      <c r="H36" s="32"/>
      <c r="I36" s="14">
        <f>+I35+I34</f>
        <v>-178519</v>
      </c>
      <c r="J36" s="14">
        <f>+J35+J34</f>
        <v>-40787</v>
      </c>
      <c r="K36" s="14">
        <f>+J36+I36</f>
        <v>-219306</v>
      </c>
      <c r="L36" s="14"/>
    </row>
    <row r="37" spans="1:13" x14ac:dyDescent="0.2">
      <c r="C37" s="329">
        <f>+summary!H5</f>
        <v>2.93</v>
      </c>
      <c r="E37" s="104">
        <f>+C37</f>
        <v>2.93</v>
      </c>
      <c r="F37" s="138">
        <f>+F36*E37</f>
        <v>116353.23000000001</v>
      </c>
    </row>
    <row r="38" spans="1:13" x14ac:dyDescent="0.2">
      <c r="C38" s="138">
        <f>+C37*C36</f>
        <v>-99.62</v>
      </c>
      <c r="E38" s="136">
        <f>+E37*E36</f>
        <v>116452.85</v>
      </c>
      <c r="F38" s="138">
        <f>+E38+C38</f>
        <v>116353.23000000001</v>
      </c>
    </row>
    <row r="39" spans="1:13" x14ac:dyDescent="0.2">
      <c r="A39" s="57">
        <v>37103</v>
      </c>
      <c r="B39" s="2" t="s">
        <v>46</v>
      </c>
      <c r="C39" s="369">
        <v>-1023166</v>
      </c>
      <c r="D39" s="338"/>
      <c r="E39" s="449">
        <v>-496043.34</v>
      </c>
      <c r="F39" s="337">
        <f>+E39+C39</f>
        <v>-1519209.34</v>
      </c>
    </row>
    <row r="40" spans="1:13" x14ac:dyDescent="0.2">
      <c r="A40" s="57">
        <v>37128</v>
      </c>
      <c r="B40" s="2" t="s">
        <v>46</v>
      </c>
      <c r="C40" s="330">
        <f>+C39+C38</f>
        <v>-1023265.62</v>
      </c>
      <c r="D40" s="259"/>
      <c r="E40" s="330">
        <f>+E39+E38</f>
        <v>-379590.49</v>
      </c>
      <c r="F40" s="330">
        <f>+E40+C40</f>
        <v>-1402856.1099999999</v>
      </c>
      <c r="H40" s="131"/>
    </row>
    <row r="41" spans="1:13" x14ac:dyDescent="0.2">
      <c r="C41" s="348"/>
      <c r="D41" s="250"/>
      <c r="E41" s="250"/>
      <c r="H41" s="31"/>
    </row>
    <row r="42" spans="1:13" x14ac:dyDescent="0.2">
      <c r="C42" s="250"/>
      <c r="D42" s="250"/>
      <c r="E42" s="250"/>
    </row>
    <row r="43" spans="1:13" x14ac:dyDescent="0.2">
      <c r="C43" s="250"/>
      <c r="D43" s="250"/>
      <c r="E43" s="12" t="s">
        <v>115</v>
      </c>
    </row>
    <row r="44" spans="1:13" x14ac:dyDescent="0.2">
      <c r="C44" s="250"/>
      <c r="D44" s="250"/>
      <c r="E44" s="12">
        <v>22864</v>
      </c>
      <c r="F44" s="454">
        <v>-58339.66</v>
      </c>
      <c r="G44" s="254" t="s">
        <v>49</v>
      </c>
      <c r="J44" s="12">
        <v>22864</v>
      </c>
      <c r="K44" s="14">
        <v>-24566</v>
      </c>
    </row>
    <row r="45" spans="1:13" x14ac:dyDescent="0.2">
      <c r="C45" s="250"/>
      <c r="D45" s="250"/>
      <c r="E45" s="12">
        <v>20379</v>
      </c>
      <c r="F45" s="454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">
      <c r="C46" s="250"/>
      <c r="D46" s="250"/>
      <c r="E46" s="12">
        <v>26357</v>
      </c>
      <c r="F46" s="371">
        <v>44144.84</v>
      </c>
      <c r="G46" s="254" t="s">
        <v>127</v>
      </c>
      <c r="J46" s="12">
        <v>26357</v>
      </c>
      <c r="K46" s="14">
        <v>26521</v>
      </c>
    </row>
    <row r="47" spans="1:13" x14ac:dyDescent="0.2">
      <c r="C47" s="250"/>
      <c r="D47" s="250"/>
      <c r="E47" s="12">
        <v>21544</v>
      </c>
      <c r="F47" s="454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">
      <c r="C48" s="250"/>
      <c r="D48" s="250"/>
      <c r="E48" s="12">
        <v>24532</v>
      </c>
      <c r="F48" s="455">
        <v>-762222.24</v>
      </c>
      <c r="G48" s="254" t="s">
        <v>125</v>
      </c>
      <c r="J48" s="12">
        <v>24532</v>
      </c>
      <c r="K48" s="212">
        <v>17769</v>
      </c>
    </row>
    <row r="49" spans="3:13" x14ac:dyDescent="0.2">
      <c r="C49" s="250"/>
      <c r="D49" s="250"/>
      <c r="F49" s="349">
        <f>SUM(F40:F48)</f>
        <v>-2169628.88</v>
      </c>
      <c r="G49" s="250"/>
      <c r="K49" s="14">
        <f>SUM(K36:K48)</f>
        <v>-160495</v>
      </c>
    </row>
    <row r="50" spans="3:13" x14ac:dyDescent="0.2">
      <c r="C50" s="250"/>
      <c r="D50" s="250"/>
      <c r="F50" s="250"/>
      <c r="G50" s="250"/>
    </row>
    <row r="51" spans="3:13" x14ac:dyDescent="0.2">
      <c r="E51" s="2" t="s">
        <v>143</v>
      </c>
      <c r="F51" s="138">
        <f>+Duke!C56</f>
        <v>2458881.3600000003</v>
      </c>
      <c r="M51" s="14">
        <f>+Duke!I56</f>
        <v>602285</v>
      </c>
    </row>
    <row r="53" spans="3:13" x14ac:dyDescent="0.2">
      <c r="F53" s="104">
        <f>+F51+F49</f>
        <v>289252.48000000045</v>
      </c>
      <c r="M53" s="16">
        <f>+M51+K49</f>
        <v>441790</v>
      </c>
    </row>
    <row r="59" spans="3:13" x14ac:dyDescent="0.2">
      <c r="H59" s="258"/>
    </row>
    <row r="60" spans="3:13" x14ac:dyDescent="0.2">
      <c r="H60" s="258"/>
    </row>
    <row r="61" spans="3:13" x14ac:dyDescent="0.2">
      <c r="H61" s="258"/>
    </row>
    <row r="62" spans="3:13" x14ac:dyDescent="0.2">
      <c r="H62" s="367"/>
    </row>
    <row r="63" spans="3:13" x14ac:dyDescent="0.2">
      <c r="F63" s="367"/>
    </row>
    <row r="64" spans="3:13" x14ac:dyDescent="0.2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G33" sqref="G33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6926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-1055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7145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-1169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7121</v>
      </c>
      <c r="C19" s="11">
        <v>6031</v>
      </c>
      <c r="D19" s="11"/>
      <c r="E19" s="11"/>
      <c r="F19" s="11">
        <v>1011</v>
      </c>
      <c r="G19" s="11">
        <v>1150</v>
      </c>
      <c r="H19" s="11">
        <v>1426</v>
      </c>
      <c r="I19" s="11">
        <v>1283</v>
      </c>
      <c r="J19" s="25">
        <f t="shared" si="0"/>
        <v>-1094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7497</v>
      </c>
      <c r="C20" s="11">
        <v>6031</v>
      </c>
      <c r="D20" s="11"/>
      <c r="E20" s="11"/>
      <c r="F20" s="11">
        <v>1008</v>
      </c>
      <c r="G20" s="11">
        <v>1150</v>
      </c>
      <c r="H20" s="11">
        <v>1419</v>
      </c>
      <c r="I20" s="11">
        <v>1283</v>
      </c>
      <c r="J20" s="25">
        <f t="shared" si="0"/>
        <v>-1460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5169</v>
      </c>
      <c r="C21" s="11">
        <v>6031</v>
      </c>
      <c r="D21" s="11"/>
      <c r="E21" s="11"/>
      <c r="F21" s="11">
        <v>956</v>
      </c>
      <c r="G21" s="11">
        <v>1150</v>
      </c>
      <c r="H21" s="11">
        <v>1409</v>
      </c>
      <c r="I21" s="11">
        <v>1283</v>
      </c>
      <c r="J21" s="25">
        <f t="shared" si="0"/>
        <v>930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7298</v>
      </c>
      <c r="C22" s="11">
        <v>6531</v>
      </c>
      <c r="D22" s="11"/>
      <c r="E22" s="11"/>
      <c r="F22" s="11">
        <v>1098</v>
      </c>
      <c r="G22" s="11">
        <v>1150</v>
      </c>
      <c r="H22" s="11">
        <v>1394</v>
      </c>
      <c r="I22" s="11">
        <v>1283</v>
      </c>
      <c r="J22" s="25">
        <f t="shared" si="0"/>
        <v>-826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4507</v>
      </c>
      <c r="C23" s="11">
        <v>6531</v>
      </c>
      <c r="D23" s="11"/>
      <c r="E23" s="11"/>
      <c r="F23" s="11">
        <v>1042</v>
      </c>
      <c r="G23" s="11">
        <v>1150</v>
      </c>
      <c r="H23" s="11">
        <v>1404</v>
      </c>
      <c r="I23" s="11">
        <v>1283</v>
      </c>
      <c r="J23" s="25">
        <f t="shared" si="0"/>
        <v>2011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5627</v>
      </c>
      <c r="C24" s="11">
        <v>6513</v>
      </c>
      <c r="D24" s="11"/>
      <c r="E24" s="11"/>
      <c r="F24" s="11">
        <v>1034</v>
      </c>
      <c r="G24" s="11">
        <v>1150</v>
      </c>
      <c r="H24" s="11">
        <v>1409</v>
      </c>
      <c r="I24" s="11">
        <v>1283</v>
      </c>
      <c r="J24" s="25">
        <f t="shared" si="0"/>
        <v>876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6389</v>
      </c>
      <c r="C25" s="11">
        <v>6531</v>
      </c>
      <c r="D25" s="11"/>
      <c r="E25" s="11"/>
      <c r="F25" s="11">
        <v>1004</v>
      </c>
      <c r="G25" s="11">
        <v>1150</v>
      </c>
      <c r="H25" s="11">
        <v>1399</v>
      </c>
      <c r="I25" s="11">
        <v>1283</v>
      </c>
      <c r="J25" s="25">
        <f t="shared" si="0"/>
        <v>172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6016</v>
      </c>
      <c r="C26" s="11">
        <v>6531</v>
      </c>
      <c r="D26" s="11"/>
      <c r="E26" s="11"/>
      <c r="F26" s="11">
        <v>877</v>
      </c>
      <c r="G26" s="11">
        <v>1150</v>
      </c>
      <c r="H26" s="11">
        <v>1388</v>
      </c>
      <c r="I26" s="11">
        <v>1283</v>
      </c>
      <c r="J26" s="25">
        <f t="shared" si="0"/>
        <v>683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7602</v>
      </c>
      <c r="C27" s="11">
        <v>6531</v>
      </c>
      <c r="D27" s="11"/>
      <c r="E27" s="11"/>
      <c r="F27" s="11">
        <v>1064</v>
      </c>
      <c r="G27" s="11">
        <v>1150</v>
      </c>
      <c r="H27" s="11">
        <v>1365</v>
      </c>
      <c r="I27" s="11">
        <v>1283</v>
      </c>
      <c r="J27" s="25">
        <f t="shared" si="0"/>
        <v>-1067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7180</v>
      </c>
      <c r="C28" s="11">
        <v>6531</v>
      </c>
      <c r="D28" s="11"/>
      <c r="E28" s="11"/>
      <c r="F28" s="11">
        <v>965</v>
      </c>
      <c r="G28" s="11">
        <v>1150</v>
      </c>
      <c r="H28" s="11">
        <v>1220</v>
      </c>
      <c r="I28" s="11">
        <v>1283</v>
      </c>
      <c r="J28" s="25">
        <f t="shared" si="0"/>
        <v>-401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6993</v>
      </c>
      <c r="C29" s="11">
        <v>6531</v>
      </c>
      <c r="D29" s="11"/>
      <c r="E29" s="11"/>
      <c r="F29" s="11">
        <v>1003</v>
      </c>
      <c r="G29" s="11">
        <v>1150</v>
      </c>
      <c r="H29" s="11">
        <v>1451</v>
      </c>
      <c r="I29" s="11">
        <v>1283</v>
      </c>
      <c r="J29" s="25">
        <f t="shared" si="0"/>
        <v>-483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7013</v>
      </c>
      <c r="C30" s="11">
        <v>6531</v>
      </c>
      <c r="D30" s="11"/>
      <c r="E30" s="11"/>
      <c r="F30" s="11">
        <v>810</v>
      </c>
      <c r="G30" s="11">
        <v>1150</v>
      </c>
      <c r="H30" s="11">
        <v>1390</v>
      </c>
      <c r="I30" s="11">
        <v>1283</v>
      </c>
      <c r="J30" s="25">
        <f t="shared" si="0"/>
        <v>-249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7149</v>
      </c>
      <c r="C31" s="11">
        <v>6531</v>
      </c>
      <c r="D31" s="11"/>
      <c r="E31" s="11"/>
      <c r="F31" s="11">
        <v>912</v>
      </c>
      <c r="G31" s="11">
        <v>1150</v>
      </c>
      <c r="H31" s="11">
        <v>1365</v>
      </c>
      <c r="I31" s="11">
        <v>1283</v>
      </c>
      <c r="J31" s="25">
        <f t="shared" si="0"/>
        <v>-462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6994</v>
      </c>
      <c r="C32" s="11">
        <v>6531</v>
      </c>
      <c r="D32" s="11"/>
      <c r="E32" s="11"/>
      <c r="F32" s="11">
        <v>930</v>
      </c>
      <c r="G32" s="11">
        <v>1150</v>
      </c>
      <c r="H32" s="11">
        <v>1337</v>
      </c>
      <c r="I32" s="11">
        <v>1283</v>
      </c>
      <c r="J32" s="25">
        <f t="shared" si="0"/>
        <v>-297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171133</v>
      </c>
      <c r="C39" s="11">
        <f t="shared" si="1"/>
        <v>156257</v>
      </c>
      <c r="D39" s="11">
        <f t="shared" si="1"/>
        <v>0</v>
      </c>
      <c r="E39" s="11">
        <f t="shared" si="1"/>
        <v>0</v>
      </c>
      <c r="F39" s="11">
        <f t="shared" si="1"/>
        <v>26055</v>
      </c>
      <c r="G39" s="11">
        <f t="shared" si="1"/>
        <v>28750</v>
      </c>
      <c r="H39" s="11">
        <f t="shared" si="1"/>
        <v>35255</v>
      </c>
      <c r="I39" s="11">
        <f t="shared" si="1"/>
        <v>32075</v>
      </c>
      <c r="J39" s="25">
        <f t="shared" si="1"/>
        <v>-15361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2.84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-43625.24</v>
      </c>
      <c r="L41"/>
      <c r="R41" s="138"/>
      <c r="X41" s="138"/>
    </row>
    <row r="42" spans="1:24" x14ac:dyDescent="0.2">
      <c r="A42" s="57">
        <v>37103</v>
      </c>
      <c r="C42" s="15"/>
      <c r="J42" s="359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37128</v>
      </c>
      <c r="C43" s="48"/>
      <c r="J43" s="138">
        <f>+J42+J41</f>
        <v>329216.64000000001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157</v>
      </c>
      <c r="B46" s="32"/>
      <c r="C46" s="32"/>
      <c r="D46" s="32"/>
      <c r="L46"/>
    </row>
    <row r="47" spans="1:24" x14ac:dyDescent="0.2">
      <c r="A47" s="49">
        <f>+A42</f>
        <v>37103</v>
      </c>
      <c r="B47" s="32"/>
      <c r="C47" s="32"/>
      <c r="D47" s="212">
        <v>146405</v>
      </c>
      <c r="L47"/>
    </row>
    <row r="48" spans="1:24" x14ac:dyDescent="0.2">
      <c r="A48" s="49">
        <f>+A43</f>
        <v>37128</v>
      </c>
      <c r="B48" s="32"/>
      <c r="C48" s="32"/>
      <c r="D48" s="379">
        <f>+J39</f>
        <v>-15361</v>
      </c>
      <c r="L48"/>
    </row>
    <row r="49" spans="1:12" x14ac:dyDescent="0.2">
      <c r="A49" s="32"/>
      <c r="B49" s="32"/>
      <c r="C49" s="32"/>
      <c r="D49" s="14">
        <f>+D48+D47</f>
        <v>131044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D33" sqref="D33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10042</v>
      </c>
      <c r="C16" s="11">
        <v>11484</v>
      </c>
      <c r="D16" s="11"/>
      <c r="E16" s="11"/>
      <c r="F16" s="25">
        <f t="shared" si="0"/>
        <v>1442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11541</v>
      </c>
      <c r="C17" s="11">
        <v>11494</v>
      </c>
      <c r="D17" s="11"/>
      <c r="E17" s="11"/>
      <c r="F17" s="25">
        <f t="shared" si="0"/>
        <v>-47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12142</v>
      </c>
      <c r="C18" s="11">
        <v>11444</v>
      </c>
      <c r="D18" s="11">
        <v>-1</v>
      </c>
      <c r="E18" s="11"/>
      <c r="F18" s="25">
        <f t="shared" si="0"/>
        <v>-697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12792</v>
      </c>
      <c r="C19" s="11">
        <v>11444</v>
      </c>
      <c r="D19" s="11"/>
      <c r="E19" s="11"/>
      <c r="F19" s="25">
        <f t="shared" si="0"/>
        <v>-1348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12272</v>
      </c>
      <c r="C20" s="11">
        <v>11444</v>
      </c>
      <c r="D20" s="11"/>
      <c r="E20" s="11"/>
      <c r="F20" s="25">
        <f t="shared" si="0"/>
        <v>-828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11797</v>
      </c>
      <c r="C21" s="11">
        <v>11830</v>
      </c>
      <c r="D21" s="11"/>
      <c r="E21" s="11"/>
      <c r="F21" s="25">
        <f t="shared" si="0"/>
        <v>33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11785</v>
      </c>
      <c r="C22" s="11">
        <v>11837</v>
      </c>
      <c r="D22" s="11"/>
      <c r="E22" s="11"/>
      <c r="F22" s="25">
        <f t="shared" si="0"/>
        <v>52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11842</v>
      </c>
      <c r="C23" s="11">
        <v>11772</v>
      </c>
      <c r="D23" s="11">
        <v>-183</v>
      </c>
      <c r="E23" s="11"/>
      <c r="F23" s="25">
        <f t="shared" si="0"/>
        <v>113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12746</v>
      </c>
      <c r="C24" s="11">
        <v>11494</v>
      </c>
      <c r="D24" s="11">
        <v>-7</v>
      </c>
      <c r="E24" s="11"/>
      <c r="F24" s="25">
        <f t="shared" si="0"/>
        <v>-1245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11034</v>
      </c>
      <c r="C25" s="11">
        <v>11467</v>
      </c>
      <c r="D25" s="11">
        <v>-66</v>
      </c>
      <c r="E25" s="11"/>
      <c r="F25" s="25">
        <f t="shared" si="0"/>
        <v>499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>
        <v>11828</v>
      </c>
      <c r="C26" s="11">
        <v>11467</v>
      </c>
      <c r="D26" s="11">
        <v>-113</v>
      </c>
      <c r="E26" s="11"/>
      <c r="F26" s="25">
        <f t="shared" si="0"/>
        <v>-248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>
        <v>12542</v>
      </c>
      <c r="C27" s="11">
        <v>11467</v>
      </c>
      <c r="D27" s="11">
        <v>-62</v>
      </c>
      <c r="E27" s="11"/>
      <c r="F27" s="25">
        <f t="shared" si="0"/>
        <v>-1013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>
        <v>11913</v>
      </c>
      <c r="C28" s="11">
        <v>11494</v>
      </c>
      <c r="D28" s="11">
        <v>-36</v>
      </c>
      <c r="E28" s="11"/>
      <c r="F28" s="25">
        <f t="shared" si="0"/>
        <v>-383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>
        <v>10242</v>
      </c>
      <c r="C29" s="11">
        <v>11494</v>
      </c>
      <c r="D29" s="11">
        <v>-104</v>
      </c>
      <c r="E29" s="11"/>
      <c r="F29" s="25">
        <f t="shared" si="0"/>
        <v>1356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>
        <v>12102</v>
      </c>
      <c r="C30" s="11">
        <v>11494</v>
      </c>
      <c r="D30" s="11">
        <v>-81</v>
      </c>
      <c r="E30" s="11"/>
      <c r="F30" s="25">
        <f t="shared" si="0"/>
        <v>-527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>
        <v>12098</v>
      </c>
      <c r="C31" s="11">
        <v>11494</v>
      </c>
      <c r="D31" s="11">
        <v>-121</v>
      </c>
      <c r="E31" s="11"/>
      <c r="F31" s="25">
        <f t="shared" si="0"/>
        <v>-483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>
        <v>12322</v>
      </c>
      <c r="C32" s="11">
        <v>11494</v>
      </c>
      <c r="D32" s="11">
        <v>-47</v>
      </c>
      <c r="E32" s="11"/>
      <c r="F32" s="25">
        <f t="shared" si="0"/>
        <v>-781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295331</v>
      </c>
      <c r="C39" s="11">
        <f>SUM(C8:C38)</f>
        <v>287498</v>
      </c>
      <c r="D39" s="11">
        <f>SUM(D8:D38)</f>
        <v>-821</v>
      </c>
      <c r="E39" s="11">
        <f>SUM(E8:E38)</f>
        <v>0</v>
      </c>
      <c r="F39" s="11">
        <f>SUM(F8:F38)</f>
        <v>-7012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2.84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-19914.079999999998</v>
      </c>
      <c r="J41" s="138"/>
      <c r="N41" s="138"/>
      <c r="R41" s="138"/>
      <c r="V41" s="138"/>
      <c r="Z41" s="138"/>
    </row>
    <row r="42" spans="1:26" x14ac:dyDescent="0.2">
      <c r="A42" s="57">
        <v>37103</v>
      </c>
      <c r="C42" s="15"/>
      <c r="D42" s="15"/>
      <c r="E42" s="15"/>
      <c r="F42" s="450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37128</v>
      </c>
      <c r="C43" s="48"/>
      <c r="D43" s="48"/>
      <c r="E43" s="48"/>
      <c r="F43" s="110">
        <f>+F42+F41</f>
        <v>422262.44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157</v>
      </c>
      <c r="B46" s="32"/>
      <c r="C46" s="32"/>
      <c r="D46" s="32"/>
      <c r="E46" s="11"/>
    </row>
    <row r="47" spans="1:26" x14ac:dyDescent="0.2">
      <c r="A47" s="49">
        <f>+A42</f>
        <v>37103</v>
      </c>
      <c r="B47" s="32"/>
      <c r="C47" s="32"/>
      <c r="D47" s="212">
        <v>-235778</v>
      </c>
      <c r="E47" s="11"/>
    </row>
    <row r="48" spans="1:26" x14ac:dyDescent="0.2">
      <c r="A48" s="49">
        <f>+A43</f>
        <v>37128</v>
      </c>
      <c r="B48" s="32"/>
      <c r="C48" s="32"/>
      <c r="D48" s="379">
        <f>+F39</f>
        <v>-7012</v>
      </c>
      <c r="E48" s="11"/>
    </row>
    <row r="49" spans="1:5" x14ac:dyDescent="0.2">
      <c r="A49" s="32"/>
      <c r="B49" s="32"/>
      <c r="C49" s="32"/>
      <c r="D49" s="14">
        <f>+D48+D47</f>
        <v>-242790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workbookViewId="3">
      <selection activeCell="E60" sqref="E60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5" t="s">
        <v>145</v>
      </c>
      <c r="G2" s="396" t="s">
        <v>81</v>
      </c>
      <c r="H2" s="373"/>
    </row>
    <row r="3" spans="1:32" ht="15" customHeight="1" x14ac:dyDescent="0.2">
      <c r="G3" s="299" t="s">
        <v>30</v>
      </c>
      <c r="H3" s="372">
        <f>+'[1]0701'!$K$39</f>
        <v>2.66</v>
      </c>
      <c r="I3" s="407">
        <f ca="1">NOW()</f>
        <v>37130.69006400463</v>
      </c>
    </row>
    <row r="4" spans="1:32" ht="15" customHeight="1" x14ac:dyDescent="0.2">
      <c r="A4" s="34" t="s">
        <v>152</v>
      </c>
      <c r="C4" s="34" t="s">
        <v>5</v>
      </c>
      <c r="G4" s="300" t="s">
        <v>31</v>
      </c>
      <c r="H4" s="301">
        <f>+'[1]0701'!$M$39</f>
        <v>2.84</v>
      </c>
    </row>
    <row r="5" spans="1:32" ht="15" customHeight="1" x14ac:dyDescent="0.2">
      <c r="B5" s="367"/>
      <c r="G5" s="299" t="s">
        <v>120</v>
      </c>
      <c r="H5" s="372">
        <f>+'[1]0701'!$H$39</f>
        <v>2.93</v>
      </c>
    </row>
    <row r="6" spans="1:32" ht="9.9499999999999993" customHeight="1" x14ac:dyDescent="0.2"/>
    <row r="7" spans="1:32" ht="15" customHeight="1" x14ac:dyDescent="0.2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">
      <c r="A8" s="374" t="s">
        <v>29</v>
      </c>
      <c r="B8" s="375">
        <f>+C8*$H$3</f>
        <v>763454.58000000007</v>
      </c>
      <c r="C8" s="285">
        <f>+williams!J40</f>
        <v>287013</v>
      </c>
      <c r="D8" s="397">
        <f>+williams!A40</f>
        <v>37129</v>
      </c>
      <c r="E8" s="206" t="s">
        <v>87</v>
      </c>
      <c r="F8" s="206" t="s">
        <v>151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83</v>
      </c>
      <c r="B9" s="375">
        <f>+Conoco!$F$41</f>
        <v>538102.71</v>
      </c>
      <c r="C9" s="285">
        <f>+B9/$H$4</f>
        <v>189472.78521126759</v>
      </c>
      <c r="D9" s="397">
        <f>+Conoco!A41</f>
        <v>37129</v>
      </c>
      <c r="E9" s="32" t="s">
        <v>88</v>
      </c>
      <c r="F9" s="32" t="s">
        <v>116</v>
      </c>
      <c r="G9" s="32" t="s">
        <v>149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3" t="s">
        <v>154</v>
      </c>
      <c r="B10" s="375">
        <f>+PGETX!$H$39</f>
        <v>485265.05</v>
      </c>
      <c r="C10" s="285">
        <f>+B10/$H$4</f>
        <v>170867.97535211267</v>
      </c>
      <c r="D10" s="398">
        <f>+PGETX!E39</f>
        <v>37128</v>
      </c>
      <c r="E10" s="32" t="s">
        <v>88</v>
      </c>
      <c r="F10" s="32" t="s">
        <v>105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374" t="s">
        <v>33</v>
      </c>
      <c r="B11" s="375">
        <f>+C11*$H$4</f>
        <v>483637.8</v>
      </c>
      <c r="C11" s="208">
        <f>+SoCal!F40</f>
        <v>170295</v>
      </c>
      <c r="D11" s="397">
        <f>+SoCal!A40</f>
        <v>37129</v>
      </c>
      <c r="E11" s="206" t="s">
        <v>87</v>
      </c>
      <c r="F11" s="206" t="s">
        <v>105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110</v>
      </c>
      <c r="B12" s="375">
        <f>+KN_Westar!F41</f>
        <v>444822.19</v>
      </c>
      <c r="C12" s="285">
        <f>+B12/$H$4</f>
        <v>156627.53169014087</v>
      </c>
      <c r="D12" s="398">
        <f>+KN_Westar!A41</f>
        <v>37129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97</v>
      </c>
      <c r="B13" s="375">
        <f>+C13*$H$4</f>
        <v>429200.68</v>
      </c>
      <c r="C13" s="285">
        <f>+Mojave!D40</f>
        <v>151127</v>
      </c>
      <c r="D13" s="398">
        <f>+Mojave!A40</f>
        <v>37129</v>
      </c>
      <c r="E13" s="32" t="s">
        <v>87</v>
      </c>
      <c r="F13" s="32" t="s">
        <v>103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113</v>
      </c>
      <c r="B14" s="375">
        <f>+CIG!$D$43</f>
        <v>427495.48</v>
      </c>
      <c r="C14" s="285">
        <f>+B14/$H$4</f>
        <v>150526.57746478874</v>
      </c>
      <c r="D14" s="398">
        <f>+CIG!A43</f>
        <v>37125</v>
      </c>
      <c r="E14" s="32" t="s">
        <v>88</v>
      </c>
      <c r="F14" s="32" t="s">
        <v>116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3</v>
      </c>
      <c r="B15" s="375">
        <f>+'Amoco Abo'!$F$43</f>
        <v>422262.44</v>
      </c>
      <c r="C15" s="285">
        <f>+B15/$H$4</f>
        <v>148683.95774647887</v>
      </c>
      <c r="D15" s="398">
        <f>+'Amoco Abo'!A43</f>
        <v>37128</v>
      </c>
      <c r="E15" s="32" t="s">
        <v>88</v>
      </c>
      <c r="F15" s="32" t="s">
        <v>118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253" t="s">
        <v>24</v>
      </c>
      <c r="B16" s="458">
        <f>+C16*$H$3</f>
        <v>365699.46</v>
      </c>
      <c r="C16" s="377">
        <f>+'Red C'!F43</f>
        <v>137481</v>
      </c>
      <c r="D16" s="397">
        <f>+'Red C'!B43</f>
        <v>37129</v>
      </c>
      <c r="E16" s="206" t="s">
        <v>87</v>
      </c>
      <c r="F16" s="32" t="s">
        <v>118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3" t="s">
        <v>91</v>
      </c>
      <c r="B17" s="375">
        <f>+C17*$H$4</f>
        <v>376765.76</v>
      </c>
      <c r="C17" s="285">
        <f>+NGPL!F38</f>
        <v>132664</v>
      </c>
      <c r="D17" s="398">
        <f>+NGPL!A38</f>
        <v>37129</v>
      </c>
      <c r="E17" s="32" t="s">
        <v>87</v>
      </c>
      <c r="F17" s="32" t="s">
        <v>118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374" t="s">
        <v>90</v>
      </c>
      <c r="B18" s="375">
        <f>+NNG!$D$24</f>
        <v>376371.49</v>
      </c>
      <c r="C18" s="285">
        <f>+B18/$H$4</f>
        <v>132525.17253521128</v>
      </c>
      <c r="D18" s="397">
        <f>+NNG!A24</f>
        <v>37128</v>
      </c>
      <c r="E18" s="206" t="s">
        <v>88</v>
      </c>
      <c r="F18" s="206" t="s">
        <v>103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3" t="s">
        <v>2</v>
      </c>
      <c r="B19" s="375">
        <f>+mewborne!$J$43</f>
        <v>329216.64000000001</v>
      </c>
      <c r="C19" s="285">
        <f>+B19/$H$4</f>
        <v>115921.35211267606</v>
      </c>
      <c r="D19" s="398">
        <f>+mewborne!A43</f>
        <v>37128</v>
      </c>
      <c r="E19" s="32" t="s">
        <v>88</v>
      </c>
      <c r="F19" s="32" t="s">
        <v>102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3" t="s">
        <v>131</v>
      </c>
      <c r="B20" s="375">
        <f>+DEFS!F53</f>
        <v>289252.48000000045</v>
      </c>
      <c r="C20" s="208">
        <f>+B20/$H$4</f>
        <v>101849.46478873256</v>
      </c>
      <c r="D20" s="398">
        <f>+DEFS!A40</f>
        <v>37128</v>
      </c>
      <c r="E20" s="32" t="s">
        <v>88</v>
      </c>
      <c r="F20" s="32" t="s">
        <v>103</v>
      </c>
      <c r="G20" s="32" t="s">
        <v>121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3" t="s">
        <v>6</v>
      </c>
      <c r="B21" s="375">
        <f>+C21*$H$3</f>
        <v>261608.34000000003</v>
      </c>
      <c r="C21" s="285">
        <f>+Amoco!D40</f>
        <v>98349</v>
      </c>
      <c r="D21" s="398">
        <f>+Amoco!A40</f>
        <v>37129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3" t="s">
        <v>1</v>
      </c>
      <c r="B22" s="375">
        <f>+C22*$H$3</f>
        <v>195672.26</v>
      </c>
      <c r="C22" s="208">
        <f>+NW!$F$41</f>
        <v>73561</v>
      </c>
      <c r="D22" s="397">
        <f>+NW!B41</f>
        <v>37129</v>
      </c>
      <c r="E22" s="32" t="s">
        <v>87</v>
      </c>
      <c r="F22" s="32" t="s">
        <v>118</v>
      </c>
      <c r="G22" s="381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3" t="s">
        <v>32</v>
      </c>
      <c r="B23" s="375">
        <f>+C23*$H$4</f>
        <v>191694.31999999998</v>
      </c>
      <c r="C23" s="285">
        <f>+Lonestar!F42</f>
        <v>67498</v>
      </c>
      <c r="D23" s="397">
        <f>+Lonestar!B42</f>
        <v>37128</v>
      </c>
      <c r="E23" s="32" t="s">
        <v>87</v>
      </c>
      <c r="F23" s="32" t="s">
        <v>105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3" t="s">
        <v>148</v>
      </c>
      <c r="B24" s="376">
        <f>+C24*$H$4</f>
        <v>183151.59999999998</v>
      </c>
      <c r="C24" s="377">
        <f>+PEPL!D41</f>
        <v>64490</v>
      </c>
      <c r="D24" s="398">
        <f>+PEPL!A41</f>
        <v>37129</v>
      </c>
      <c r="E24" s="32" t="s">
        <v>87</v>
      </c>
      <c r="F24" s="32" t="s">
        <v>103</v>
      </c>
      <c r="G24" s="32" t="s">
        <v>147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3" t="s">
        <v>85</v>
      </c>
      <c r="B25" s="375">
        <f>+PNM!$D$23</f>
        <v>139898.86999999997</v>
      </c>
      <c r="C25" s="285">
        <f>+B25/$H$4</f>
        <v>49260.165492957734</v>
      </c>
      <c r="D25" s="398">
        <f>+PNM!A23</f>
        <v>37128</v>
      </c>
      <c r="E25" s="32" t="s">
        <v>88</v>
      </c>
      <c r="F25" s="32" t="s">
        <v>118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53" t="s">
        <v>7</v>
      </c>
      <c r="B26" s="375">
        <f>+C26*$H$4</f>
        <v>123534.31999999999</v>
      </c>
      <c r="C26" s="208">
        <f>+Oasis!D40</f>
        <v>43498</v>
      </c>
      <c r="D26" s="398">
        <f>+Oasis!B40</f>
        <v>37129</v>
      </c>
      <c r="E26" s="32" t="s">
        <v>87</v>
      </c>
      <c r="F26" s="32" t="s">
        <v>105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253" t="s">
        <v>117</v>
      </c>
      <c r="B27" s="375">
        <f>+C27*$H$4</f>
        <v>115227.31999999999</v>
      </c>
      <c r="C27" s="208">
        <f>+'PG&amp;E'!D40</f>
        <v>40573</v>
      </c>
      <c r="D27" s="398">
        <f>+'PG&amp;E'!A40</f>
        <v>37129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374" t="s">
        <v>132</v>
      </c>
      <c r="B28" s="375">
        <f>+Calpine!D41</f>
        <v>97348.92</v>
      </c>
      <c r="C28" s="208">
        <f>+B28/$H$4</f>
        <v>34277.788732394365</v>
      </c>
      <c r="D28" s="397">
        <f>+Calpine!A41</f>
        <v>37129</v>
      </c>
      <c r="E28" s="206" t="s">
        <v>88</v>
      </c>
      <c r="F28" s="206" t="s">
        <v>102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253" t="s">
        <v>106</v>
      </c>
      <c r="B29" s="375">
        <f>+EOG!J41</f>
        <v>83993.16</v>
      </c>
      <c r="C29" s="285">
        <f>+B29/$H$4</f>
        <v>29575.056338028171</v>
      </c>
      <c r="D29" s="397">
        <f>+EOG!A41</f>
        <v>37128</v>
      </c>
      <c r="E29" s="32" t="s">
        <v>88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374" t="s">
        <v>74</v>
      </c>
      <c r="B30" s="376">
        <f>+transcol!$D$43</f>
        <v>13560.020000000002</v>
      </c>
      <c r="C30" s="377">
        <f>+B30/$H$4</f>
        <v>4774.6549295774657</v>
      </c>
      <c r="D30" s="397">
        <f>+transcol!A43</f>
        <v>37128</v>
      </c>
      <c r="E30" s="206" t="s">
        <v>88</v>
      </c>
      <c r="F30" s="206" t="s">
        <v>118</v>
      </c>
      <c r="G30" s="304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3.5" customHeight="1" x14ac:dyDescent="0.2">
      <c r="A31" s="374" t="s">
        <v>98</v>
      </c>
      <c r="B31" s="375">
        <f>+burlington!D42</f>
        <v>7764.0400000000009</v>
      </c>
      <c r="C31" s="285">
        <f>+B31/$H$3</f>
        <v>2918.812030075188</v>
      </c>
      <c r="D31" s="397">
        <f>+burlington!A42</f>
        <v>37129</v>
      </c>
      <c r="E31" s="206" t="s">
        <v>88</v>
      </c>
      <c r="F31" s="32" t="s">
        <v>116</v>
      </c>
      <c r="G31" s="32" t="s">
        <v>150</v>
      </c>
      <c r="H31" s="206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253" t="s">
        <v>136</v>
      </c>
      <c r="B32" s="375">
        <f>+SidR!D41</f>
        <v>8007.6900000000005</v>
      </c>
      <c r="C32" s="285">
        <f>+B32/$H$4</f>
        <v>2819.6091549295779</v>
      </c>
      <c r="D32" s="398">
        <f>+SidR!A41</f>
        <v>37129</v>
      </c>
      <c r="E32" s="32" t="s">
        <v>88</v>
      </c>
      <c r="F32" s="32" t="s">
        <v>105</v>
      </c>
      <c r="G32" s="32" t="s">
        <v>168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253" t="s">
        <v>34</v>
      </c>
      <c r="B33" s="378">
        <f>+'El Paso'!C39*summary!H4+'El Paso'!E39*summary!H3</f>
        <v>4762.4199999999837</v>
      </c>
      <c r="C33" s="71">
        <f>+'El Paso'!H39</f>
        <v>-2551</v>
      </c>
      <c r="D33" s="398">
        <f>+'El Paso'!A39</f>
        <v>37128</v>
      </c>
      <c r="E33" s="32" t="s">
        <v>87</v>
      </c>
      <c r="F33" s="32" t="s">
        <v>103</v>
      </c>
      <c r="G33" s="32" t="s">
        <v>122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">
      <c r="A34" s="32" t="s">
        <v>99</v>
      </c>
      <c r="B34" s="47">
        <f>SUM(B8:B33)</f>
        <v>7157770.040000001</v>
      </c>
      <c r="C34" s="69">
        <f>SUM(C8:C33)</f>
        <v>2554098.9035793715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2"/>
      <c r="B35" s="47"/>
      <c r="C35" s="69"/>
      <c r="D35" s="205"/>
      <c r="E35" s="32"/>
      <c r="F35" s="380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55" t="s">
        <v>92</v>
      </c>
      <c r="B36" s="356" t="s">
        <v>17</v>
      </c>
      <c r="C36" s="357" t="s">
        <v>0</v>
      </c>
      <c r="D36" s="366" t="s">
        <v>153</v>
      </c>
      <c r="E36" s="355" t="s">
        <v>93</v>
      </c>
      <c r="F36" s="358" t="s">
        <v>104</v>
      </c>
      <c r="G36" s="355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5" customHeight="1" x14ac:dyDescent="0.2">
      <c r="A37" s="374" t="s">
        <v>140</v>
      </c>
      <c r="B37" s="375">
        <f>+Citizens!D18</f>
        <v>-788646.42</v>
      </c>
      <c r="C37" s="208">
        <f>+B37/$H$4</f>
        <v>-277692.40140845074</v>
      </c>
      <c r="D37" s="397">
        <f>+Citizens!A18</f>
        <v>37128</v>
      </c>
      <c r="E37" s="206" t="s">
        <v>88</v>
      </c>
      <c r="F37" s="206" t="s">
        <v>102</v>
      </c>
      <c r="G37" s="38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253" t="s">
        <v>138</v>
      </c>
      <c r="B38" s="375">
        <f>+'NS Steel'!D41</f>
        <v>-434995.3</v>
      </c>
      <c r="C38" s="208">
        <f>+B38/$H$4</f>
        <v>-153167.35915492958</v>
      </c>
      <c r="D38" s="398">
        <f>+'NS Steel'!A41</f>
        <v>37129</v>
      </c>
      <c r="E38" s="32" t="s">
        <v>88</v>
      </c>
      <c r="F38" s="32" t="s">
        <v>103</v>
      </c>
      <c r="G38" s="38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53" t="s">
        <v>144</v>
      </c>
      <c r="B39" s="375">
        <f>+'Citizens-Griffith'!D41</f>
        <v>-211612.72</v>
      </c>
      <c r="C39" s="285">
        <f>+B39/$H$4</f>
        <v>-74511.521126760563</v>
      </c>
      <c r="D39" s="397">
        <f>+'Citizens-Griffith'!A41</f>
        <v>37128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374" t="s">
        <v>82</v>
      </c>
      <c r="B40" s="375">
        <f>+Agave!$D$24</f>
        <v>-179023.67</v>
      </c>
      <c r="C40" s="208">
        <f>+B40/$H$4</f>
        <v>-63036.503521126768</v>
      </c>
      <c r="D40" s="397">
        <f>+Agave!A24</f>
        <v>37128</v>
      </c>
      <c r="E40" s="206" t="s">
        <v>88</v>
      </c>
      <c r="F40" s="206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253" t="s">
        <v>134</v>
      </c>
      <c r="B41" s="375">
        <f>+EPFS!D41</f>
        <v>-133506.75</v>
      </c>
      <c r="C41" s="208">
        <f>+B41/$H$5</f>
        <v>-45565.443686006824</v>
      </c>
      <c r="D41" s="397">
        <f>+EPFS!A41</f>
        <v>37128</v>
      </c>
      <c r="E41" s="32" t="s">
        <v>88</v>
      </c>
      <c r="F41" s="32" t="s">
        <v>105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53" t="s">
        <v>112</v>
      </c>
      <c r="B42" s="378">
        <f>+Continental!F43</f>
        <v>-5216.57</v>
      </c>
      <c r="C42" s="379">
        <f>+B42/$H$4</f>
        <v>-1836.8204225352113</v>
      </c>
      <c r="D42" s="398">
        <f>+Continental!A43</f>
        <v>37128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5">
        <f>SUM(B37:B42)</f>
        <v>-1753001.43</v>
      </c>
      <c r="C43" s="208">
        <f>SUM(C37:C42)</f>
        <v>-615810.04931980965</v>
      </c>
      <c r="D43" s="38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8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3">
        <f>+B43+B34</f>
        <v>5404768.6100000013</v>
      </c>
      <c r="C45" s="384">
        <f>+C43+C34</f>
        <v>1938288.8542595617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5"/>
      <c r="C60" s="386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8"/>
      <c r="E66" s="389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90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9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9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3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3"/>
      <c r="C72" s="69"/>
      <c r="D72" s="38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4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4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3"/>
      <c r="C75" s="14"/>
      <c r="D75" s="38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3"/>
      <c r="C76" s="69"/>
      <c r="D76" s="38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3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5"/>
      <c r="C78" s="395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10" workbookViewId="3">
      <selection activeCell="B10" sqref="B10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-1797</v>
      </c>
      <c r="C6" s="80"/>
      <c r="D6" s="80">
        <f t="shared" ref="D6:D14" si="0">+C6-B6</f>
        <v>1797</v>
      </c>
    </row>
    <row r="7" spans="1:8" x14ac:dyDescent="0.2">
      <c r="A7" s="32">
        <v>3531</v>
      </c>
      <c r="B7" s="323">
        <v>-678695</v>
      </c>
      <c r="C7" s="80">
        <v>-335131</v>
      </c>
      <c r="D7" s="80">
        <f t="shared" si="0"/>
        <v>343564</v>
      </c>
    </row>
    <row r="8" spans="1:8" x14ac:dyDescent="0.2">
      <c r="A8" s="32">
        <v>60667</v>
      </c>
      <c r="B8" s="323">
        <v>-434275</v>
      </c>
      <c r="C8" s="80"/>
      <c r="D8" s="80">
        <f t="shared" si="0"/>
        <v>434275</v>
      </c>
      <c r="H8" s="254"/>
    </row>
    <row r="9" spans="1:8" x14ac:dyDescent="0.2">
      <c r="A9" s="32">
        <v>60749</v>
      </c>
      <c r="B9" s="323">
        <v>1029774</v>
      </c>
      <c r="C9" s="80">
        <v>109619</v>
      </c>
      <c r="D9" s="80">
        <f t="shared" si="0"/>
        <v>-920155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-115376</v>
      </c>
    </row>
    <row r="19" spans="1:5" x14ac:dyDescent="0.2">
      <c r="A19" s="32" t="s">
        <v>84</v>
      </c>
      <c r="B19" s="69"/>
      <c r="C19" s="69"/>
      <c r="D19" s="73">
        <f>+summary!H4</f>
        <v>2.84</v>
      </c>
    </row>
    <row r="20" spans="1:5" x14ac:dyDescent="0.2">
      <c r="B20" s="69"/>
      <c r="C20" s="69"/>
      <c r="D20" s="75">
        <f>+D19*D18</f>
        <v>-327667.83999999997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47">
        <v>704039.33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37128</v>
      </c>
      <c r="B24" s="69"/>
      <c r="C24" s="69"/>
      <c r="D24" s="351">
        <f>+D22+D20</f>
        <v>376371.49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37128</v>
      </c>
      <c r="D33" s="379">
        <f>+D18</f>
        <v>-115376</v>
      </c>
    </row>
    <row r="34" spans="1:4" x14ac:dyDescent="0.2">
      <c r="D34" s="14">
        <f>+D33+D32</f>
        <v>-35340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B14" sqref="B1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4">
        <v>-52274</v>
      </c>
      <c r="C5" s="90">
        <v>-29280</v>
      </c>
      <c r="D5" s="90">
        <f t="shared" ref="D5:D13" si="0">+C5-B5</f>
        <v>22994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4">
        <v>-2816598</v>
      </c>
      <c r="C7" s="90">
        <v>-2900805</v>
      </c>
      <c r="D7" s="90">
        <f t="shared" si="0"/>
        <v>-84207</v>
      </c>
      <c r="E7" s="285"/>
      <c r="F7" s="70"/>
    </row>
    <row r="8" spans="1:13" x14ac:dyDescent="0.2">
      <c r="A8" s="87">
        <v>58710</v>
      </c>
      <c r="B8" s="364">
        <v>-22709</v>
      </c>
      <c r="C8" s="90">
        <v>-1093</v>
      </c>
      <c r="D8" s="90">
        <f t="shared" si="0"/>
        <v>21616</v>
      </c>
      <c r="E8" s="285"/>
      <c r="F8" s="70"/>
    </row>
    <row r="9" spans="1:13" x14ac:dyDescent="0.2">
      <c r="A9" s="87">
        <v>60921</v>
      </c>
      <c r="B9" s="319">
        <v>2483519</v>
      </c>
      <c r="C9" s="90">
        <v>2414565</v>
      </c>
      <c r="D9" s="90">
        <f t="shared" si="0"/>
        <v>-68954</v>
      </c>
      <c r="E9" s="285"/>
      <c r="F9" s="70"/>
    </row>
    <row r="10" spans="1:13" x14ac:dyDescent="0.2">
      <c r="A10" s="87">
        <v>78026</v>
      </c>
      <c r="B10" s="364"/>
      <c r="C10" s="90">
        <v>59600</v>
      </c>
      <c r="D10" s="90">
        <f t="shared" si="0"/>
        <v>59600</v>
      </c>
      <c r="E10" s="285"/>
      <c r="F10" s="283"/>
    </row>
    <row r="11" spans="1:13" x14ac:dyDescent="0.2">
      <c r="A11" s="87">
        <v>500084</v>
      </c>
      <c r="B11" s="364">
        <v>-18603</v>
      </c>
      <c r="C11" s="90">
        <v>-25000</v>
      </c>
      <c r="D11" s="90">
        <f t="shared" si="0"/>
        <v>-6397</v>
      </c>
      <c r="E11" s="286"/>
      <c r="F11" s="283"/>
    </row>
    <row r="12" spans="1:13" x14ac:dyDescent="0.2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-108</v>
      </c>
      <c r="C13" s="90"/>
      <c r="D13" s="90">
        <f t="shared" si="0"/>
        <v>108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-55240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2.84</v>
      </c>
      <c r="E18" s="287"/>
      <c r="F18" s="283"/>
    </row>
    <row r="19" spans="1:7" x14ac:dyDescent="0.2">
      <c r="A19" s="87"/>
      <c r="B19" s="88"/>
      <c r="C19" s="88"/>
      <c r="D19" s="96">
        <f>+D18*D17</f>
        <v>-156881.60000000001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37103</v>
      </c>
      <c r="B21" s="88"/>
      <c r="C21" s="88"/>
      <c r="D21" s="452">
        <v>296780.46999999997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37128</v>
      </c>
      <c r="B23" s="88"/>
      <c r="C23" s="88"/>
      <c r="D23" s="334">
        <f>+D21+D19</f>
        <v>139898.86999999997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157</v>
      </c>
      <c r="B27" s="32"/>
      <c r="C27" s="32"/>
      <c r="D27" s="32"/>
    </row>
    <row r="28" spans="1:7" x14ac:dyDescent="0.2">
      <c r="A28" s="49">
        <f>+A21</f>
        <v>37103</v>
      </c>
      <c r="B28" s="32"/>
      <c r="C28" s="32"/>
      <c r="D28" s="212">
        <v>67620</v>
      </c>
    </row>
    <row r="29" spans="1:7" x14ac:dyDescent="0.2">
      <c r="A29" s="49">
        <v>37114</v>
      </c>
      <c r="B29" s="32"/>
      <c r="C29" s="32"/>
      <c r="D29" s="379">
        <f>+D17</f>
        <v>-55240</v>
      </c>
    </row>
    <row r="30" spans="1:7" x14ac:dyDescent="0.2">
      <c r="A30" s="32"/>
      <c r="B30" s="32"/>
      <c r="C30" s="32"/>
      <c r="D30" s="14">
        <f>+D29+D28</f>
        <v>12380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19" workbookViewId="3">
      <selection activeCell="C29" sqref="C2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">
      <c r="A15">
        <v>13</v>
      </c>
      <c r="B15" s="88">
        <v>46816</v>
      </c>
      <c r="C15" s="88">
        <v>46871</v>
      </c>
      <c r="D15" s="88"/>
      <c r="E15" s="88"/>
      <c r="F15" s="90">
        <f t="shared" si="0"/>
        <v>55</v>
      </c>
    </row>
    <row r="16" spans="1:6" x14ac:dyDescent="0.2">
      <c r="A16">
        <v>14</v>
      </c>
      <c r="B16" s="88">
        <v>44923</v>
      </c>
      <c r="C16" s="88">
        <v>44937</v>
      </c>
      <c r="D16" s="88"/>
      <c r="E16" s="88"/>
      <c r="F16" s="90">
        <f t="shared" si="0"/>
        <v>14</v>
      </c>
    </row>
    <row r="17" spans="1:6" x14ac:dyDescent="0.2">
      <c r="A17">
        <v>15</v>
      </c>
      <c r="B17" s="88">
        <v>49883</v>
      </c>
      <c r="C17" s="88">
        <v>44937</v>
      </c>
      <c r="D17" s="14"/>
      <c r="E17" s="14"/>
      <c r="F17" s="90">
        <f t="shared" si="0"/>
        <v>-4946</v>
      </c>
    </row>
    <row r="18" spans="1:6" x14ac:dyDescent="0.2">
      <c r="A18">
        <v>16</v>
      </c>
      <c r="B18" s="88">
        <v>51915</v>
      </c>
      <c r="C18" s="88">
        <v>46937</v>
      </c>
      <c r="D18" s="14"/>
      <c r="E18" s="14"/>
      <c r="F18" s="90">
        <f t="shared" si="0"/>
        <v>-4978</v>
      </c>
    </row>
    <row r="19" spans="1:6" x14ac:dyDescent="0.2">
      <c r="A19">
        <v>17</v>
      </c>
      <c r="B19" s="88">
        <v>54916</v>
      </c>
      <c r="C19" s="88">
        <v>49937</v>
      </c>
      <c r="D19" s="14"/>
      <c r="E19" s="14"/>
      <c r="F19" s="90">
        <f t="shared" si="0"/>
        <v>-4979</v>
      </c>
    </row>
    <row r="20" spans="1:6" x14ac:dyDescent="0.2">
      <c r="A20">
        <v>18</v>
      </c>
      <c r="B20" s="346">
        <v>63907</v>
      </c>
      <c r="C20" s="346">
        <v>58936</v>
      </c>
      <c r="D20" s="14"/>
      <c r="E20" s="14"/>
      <c r="F20" s="90">
        <f t="shared" si="0"/>
        <v>-4971</v>
      </c>
    </row>
    <row r="21" spans="1:6" x14ac:dyDescent="0.2">
      <c r="A21">
        <v>19</v>
      </c>
      <c r="B21" s="346">
        <v>63938</v>
      </c>
      <c r="C21" s="346">
        <v>58937</v>
      </c>
      <c r="D21" s="14"/>
      <c r="E21" s="14"/>
      <c r="F21" s="90">
        <f t="shared" si="0"/>
        <v>-5001</v>
      </c>
    </row>
    <row r="22" spans="1:6" x14ac:dyDescent="0.2">
      <c r="A22">
        <v>20</v>
      </c>
      <c r="B22" s="346">
        <v>58756</v>
      </c>
      <c r="C22" s="346">
        <v>58727</v>
      </c>
      <c r="D22" s="14"/>
      <c r="E22" s="14"/>
      <c r="F22" s="90">
        <f t="shared" si="0"/>
        <v>-29</v>
      </c>
    </row>
    <row r="23" spans="1:6" x14ac:dyDescent="0.2">
      <c r="A23">
        <v>21</v>
      </c>
      <c r="B23" s="346">
        <v>49619</v>
      </c>
      <c r="C23" s="346">
        <v>49630</v>
      </c>
      <c r="D23" s="14"/>
      <c r="E23" s="14"/>
      <c r="F23" s="90">
        <f t="shared" si="0"/>
        <v>11</v>
      </c>
    </row>
    <row r="24" spans="1:6" x14ac:dyDescent="0.2">
      <c r="A24">
        <v>22</v>
      </c>
      <c r="B24" s="346">
        <v>62677</v>
      </c>
      <c r="C24" s="346">
        <v>62726</v>
      </c>
      <c r="D24" s="14"/>
      <c r="E24" s="14"/>
      <c r="F24" s="90">
        <f t="shared" si="0"/>
        <v>49</v>
      </c>
    </row>
    <row r="25" spans="1:6" x14ac:dyDescent="0.2">
      <c r="A25">
        <v>23</v>
      </c>
      <c r="B25" s="346">
        <v>25217</v>
      </c>
      <c r="C25" s="346">
        <v>24938</v>
      </c>
      <c r="D25" s="14"/>
      <c r="E25" s="14"/>
      <c r="F25" s="90">
        <f t="shared" si="0"/>
        <v>-279</v>
      </c>
    </row>
    <row r="26" spans="1:6" x14ac:dyDescent="0.2">
      <c r="A26">
        <v>24</v>
      </c>
      <c r="B26" s="346">
        <v>47555</v>
      </c>
      <c r="C26" s="346">
        <v>47771</v>
      </c>
      <c r="D26" s="14"/>
      <c r="E26" s="14"/>
      <c r="F26" s="90">
        <f t="shared" si="0"/>
        <v>216</v>
      </c>
    </row>
    <row r="27" spans="1:6" x14ac:dyDescent="0.2">
      <c r="A27">
        <v>25</v>
      </c>
      <c r="B27" s="346">
        <v>61590</v>
      </c>
      <c r="C27" s="346">
        <v>59450</v>
      </c>
      <c r="D27" s="14"/>
      <c r="E27" s="14"/>
      <c r="F27" s="90">
        <f t="shared" si="0"/>
        <v>-2140</v>
      </c>
    </row>
    <row r="28" spans="1:6" x14ac:dyDescent="0.2">
      <c r="A28">
        <v>26</v>
      </c>
      <c r="B28" s="346">
        <v>62611</v>
      </c>
      <c r="C28" s="346">
        <v>59665</v>
      </c>
      <c r="D28" s="14"/>
      <c r="E28" s="14"/>
      <c r="F28" s="90">
        <f t="shared" si="0"/>
        <v>-2946</v>
      </c>
    </row>
    <row r="29" spans="1:6" x14ac:dyDescent="0.2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">
      <c r="A30">
        <v>28</v>
      </c>
      <c r="B30" s="346"/>
      <c r="C30" s="346"/>
      <c r="D30" s="14"/>
      <c r="E30" s="14"/>
      <c r="F30" s="90">
        <f t="shared" si="0"/>
        <v>0</v>
      </c>
    </row>
    <row r="31" spans="1:6" x14ac:dyDescent="0.2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">
      <c r="B34" s="297">
        <f>SUM(B3:B33)</f>
        <v>1174549</v>
      </c>
      <c r="C34" s="297">
        <f>SUM(C3:C33)</f>
        <v>1155706</v>
      </c>
      <c r="D34" s="14">
        <f>SUM(D3:D33)</f>
        <v>-965</v>
      </c>
      <c r="E34" s="14">
        <f>SUM(E3:E33)</f>
        <v>0</v>
      </c>
      <c r="F34" s="14">
        <f>SUM(F3:F33)</f>
        <v>-17878</v>
      </c>
    </row>
    <row r="35" spans="1:6" x14ac:dyDescent="0.2">
      <c r="D35" s="14"/>
      <c r="E35" s="14"/>
      <c r="F35" s="14"/>
    </row>
    <row r="36" spans="1:6" x14ac:dyDescent="0.2">
      <c r="F36" s="350"/>
    </row>
    <row r="37" spans="1:6" x14ac:dyDescent="0.2">
      <c r="A37" s="263">
        <v>37103</v>
      </c>
      <c r="B37" s="14"/>
      <c r="C37" s="14"/>
      <c r="D37" s="14"/>
      <c r="E37" s="14"/>
      <c r="F37" s="446">
        <f>120271+30271</f>
        <v>150542</v>
      </c>
    </row>
    <row r="38" spans="1:6" x14ac:dyDescent="0.2">
      <c r="A38" s="263">
        <v>37129</v>
      </c>
      <c r="B38" s="14"/>
      <c r="C38" s="14"/>
      <c r="D38" s="14"/>
      <c r="E38" s="14"/>
      <c r="F38" s="150">
        <f>+F37+F34</f>
        <v>132664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158</v>
      </c>
      <c r="B42" s="32"/>
      <c r="C42" s="32"/>
      <c r="D42" s="47"/>
      <c r="F42" s="304"/>
    </row>
    <row r="43" spans="1:6" x14ac:dyDescent="0.2">
      <c r="A43" s="49">
        <f>+A37</f>
        <v>37103</v>
      </c>
      <c r="B43" s="32"/>
      <c r="C43" s="32"/>
      <c r="D43" s="440">
        <f>201367.37+184384.51</f>
        <v>385751.88</v>
      </c>
      <c r="F43" s="304"/>
    </row>
    <row r="44" spans="1:6" x14ac:dyDescent="0.2">
      <c r="A44" s="49">
        <f>+A38</f>
        <v>37129</v>
      </c>
      <c r="B44" s="32"/>
      <c r="C44" s="32"/>
      <c r="D44" s="408">
        <f>+F34*'by type'!J4</f>
        <v>-50773.52</v>
      </c>
      <c r="F44" s="304"/>
    </row>
    <row r="45" spans="1:6" x14ac:dyDescent="0.2">
      <c r="A45" s="32"/>
      <c r="B45" s="32"/>
      <c r="C45" s="32"/>
      <c r="D45" s="202">
        <f>+D44+D43</f>
        <v>334978.36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0" workbookViewId="3">
      <selection activeCell="C30" sqref="C30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">
      <c r="A15" s="10">
        <v>12</v>
      </c>
      <c r="B15" s="11">
        <v>-20140</v>
      </c>
      <c r="C15" s="11">
        <v>-19726</v>
      </c>
      <c r="D15" s="25">
        <f t="shared" si="0"/>
        <v>414</v>
      </c>
    </row>
    <row r="16" spans="1:4" x14ac:dyDescent="0.2">
      <c r="A16" s="10">
        <v>13</v>
      </c>
      <c r="B16" s="11">
        <v>-19791</v>
      </c>
      <c r="C16" s="11">
        <v>-20000</v>
      </c>
      <c r="D16" s="25">
        <f t="shared" si="0"/>
        <v>-209</v>
      </c>
    </row>
    <row r="17" spans="1:4" x14ac:dyDescent="0.2">
      <c r="A17" s="10">
        <v>14</v>
      </c>
      <c r="B17" s="11">
        <v>-20311</v>
      </c>
      <c r="C17" s="11">
        <v>-20000</v>
      </c>
      <c r="D17" s="25">
        <f t="shared" si="0"/>
        <v>311</v>
      </c>
    </row>
    <row r="18" spans="1:4" x14ac:dyDescent="0.2">
      <c r="A18" s="10">
        <v>15</v>
      </c>
      <c r="B18" s="11">
        <v>-26129</v>
      </c>
      <c r="C18" s="11">
        <v>-25702</v>
      </c>
      <c r="D18" s="25">
        <f t="shared" si="0"/>
        <v>427</v>
      </c>
    </row>
    <row r="19" spans="1:4" x14ac:dyDescent="0.2">
      <c r="A19" s="10">
        <v>16</v>
      </c>
      <c r="B19" s="11">
        <v>-20992</v>
      </c>
      <c r="C19" s="11">
        <v>-20000</v>
      </c>
      <c r="D19" s="25">
        <f t="shared" si="0"/>
        <v>992</v>
      </c>
    </row>
    <row r="20" spans="1:4" x14ac:dyDescent="0.2">
      <c r="A20" s="10">
        <v>17</v>
      </c>
      <c r="B20" s="11">
        <v>-20037</v>
      </c>
      <c r="C20" s="11">
        <v>-20000</v>
      </c>
      <c r="D20" s="25">
        <f t="shared" si="0"/>
        <v>37</v>
      </c>
    </row>
    <row r="21" spans="1:4" x14ac:dyDescent="0.2">
      <c r="A21" s="10">
        <v>18</v>
      </c>
      <c r="B21" s="11">
        <v>-24168</v>
      </c>
      <c r="C21" s="11">
        <v>-23202</v>
      </c>
      <c r="D21" s="25">
        <f t="shared" si="0"/>
        <v>966</v>
      </c>
    </row>
    <row r="22" spans="1:4" x14ac:dyDescent="0.2">
      <c r="A22" s="10">
        <v>19</v>
      </c>
      <c r="B22" s="11">
        <v>-23086</v>
      </c>
      <c r="C22" s="11">
        <v>-23202</v>
      </c>
      <c r="D22" s="25">
        <f t="shared" si="0"/>
        <v>-116</v>
      </c>
    </row>
    <row r="23" spans="1:4" x14ac:dyDescent="0.2">
      <c r="A23" s="10">
        <v>20</v>
      </c>
      <c r="B23" s="11">
        <v>-23625</v>
      </c>
      <c r="C23" s="11">
        <v>-23202</v>
      </c>
      <c r="D23" s="25">
        <f t="shared" si="0"/>
        <v>423</v>
      </c>
    </row>
    <row r="24" spans="1:4" x14ac:dyDescent="0.2">
      <c r="A24" s="10">
        <v>21</v>
      </c>
      <c r="B24" s="11">
        <v>-21002</v>
      </c>
      <c r="C24" s="11">
        <v>-20468</v>
      </c>
      <c r="D24" s="25">
        <f t="shared" si="0"/>
        <v>534</v>
      </c>
    </row>
    <row r="25" spans="1:4" x14ac:dyDescent="0.2">
      <c r="A25" s="10">
        <v>22</v>
      </c>
      <c r="B25" s="11">
        <v>-20992</v>
      </c>
      <c r="C25" s="11">
        <v>-20468</v>
      </c>
      <c r="D25" s="25">
        <f t="shared" si="0"/>
        <v>524</v>
      </c>
    </row>
    <row r="26" spans="1:4" x14ac:dyDescent="0.2">
      <c r="A26" s="10">
        <v>23</v>
      </c>
      <c r="B26" s="11">
        <v>-21004</v>
      </c>
      <c r="C26" s="11">
        <v>-20000</v>
      </c>
      <c r="D26" s="25">
        <f t="shared" si="0"/>
        <v>1004</v>
      </c>
    </row>
    <row r="27" spans="1:4" x14ac:dyDescent="0.2">
      <c r="A27" s="10">
        <v>24</v>
      </c>
      <c r="B27" s="11">
        <v>-20997</v>
      </c>
      <c r="C27" s="11">
        <v>-19966</v>
      </c>
      <c r="D27" s="25">
        <f t="shared" si="0"/>
        <v>1031</v>
      </c>
    </row>
    <row r="28" spans="1:4" x14ac:dyDescent="0.2">
      <c r="A28" s="10">
        <v>25</v>
      </c>
      <c r="B28" s="11">
        <v>-21000</v>
      </c>
      <c r="C28" s="11">
        <v>-20000</v>
      </c>
      <c r="D28" s="25">
        <f t="shared" si="0"/>
        <v>1000</v>
      </c>
    </row>
    <row r="29" spans="1:4" x14ac:dyDescent="0.2">
      <c r="A29" s="10">
        <v>26</v>
      </c>
      <c r="B29" s="11">
        <v>-21002</v>
      </c>
      <c r="C29" s="11">
        <v>-20000</v>
      </c>
      <c r="D29" s="25">
        <f t="shared" si="0"/>
        <v>1002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-552504</v>
      </c>
      <c r="C35" s="11">
        <f>SUM(C4:C34)</f>
        <v>-537180</v>
      </c>
      <c r="D35" s="11">
        <f>SUM(D4:D34)</f>
        <v>15324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37103</v>
      </c>
      <c r="D38" s="247">
        <v>135803</v>
      </c>
    </row>
    <row r="39" spans="1:4" x14ac:dyDescent="0.2">
      <c r="A39" s="2"/>
      <c r="D39" s="24"/>
    </row>
    <row r="40" spans="1:4" x14ac:dyDescent="0.2">
      <c r="A40" s="57">
        <v>37129</v>
      </c>
      <c r="D40" s="51">
        <f>+D38+D35</f>
        <v>151127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+A38</f>
        <v>37103</v>
      </c>
      <c r="B45" s="32"/>
      <c r="C45" s="32"/>
      <c r="D45" s="202">
        <v>82140</v>
      </c>
    </row>
    <row r="46" spans="1:4" x14ac:dyDescent="0.2">
      <c r="A46" s="49">
        <f>+A40</f>
        <v>37129</v>
      </c>
      <c r="B46" s="32"/>
      <c r="C46" s="32"/>
      <c r="D46" s="408">
        <f>+D35*'by type'!J4</f>
        <v>43520.159999999996</v>
      </c>
    </row>
    <row r="47" spans="1:4" x14ac:dyDescent="0.2">
      <c r="A47" s="32"/>
      <c r="B47" s="32"/>
      <c r="C47" s="32"/>
      <c r="D47" s="202">
        <f>+D46+D45</f>
        <v>125660.16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1" workbookViewId="3">
      <selection activeCell="E25" sqref="E25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22755</v>
      </c>
      <c r="C15" s="11">
        <v>22796</v>
      </c>
      <c r="D15" s="11">
        <v>9161</v>
      </c>
      <c r="E15" s="11">
        <v>8243</v>
      </c>
      <c r="F15" s="11"/>
      <c r="G15" s="11"/>
      <c r="H15" s="11"/>
      <c r="I15" s="11"/>
      <c r="J15" s="11">
        <f t="shared" si="0"/>
        <v>-877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22602</v>
      </c>
      <c r="C16" s="11">
        <v>22816</v>
      </c>
      <c r="D16" s="11">
        <v>8237</v>
      </c>
      <c r="E16" s="11">
        <v>8250</v>
      </c>
      <c r="F16" s="11"/>
      <c r="G16" s="11"/>
      <c r="H16" s="11"/>
      <c r="I16" s="11"/>
      <c r="J16" s="11">
        <f t="shared" si="0"/>
        <v>227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22706</v>
      </c>
      <c r="C17" s="11">
        <v>22816</v>
      </c>
      <c r="D17" s="11">
        <v>9219</v>
      </c>
      <c r="E17" s="11">
        <v>8250</v>
      </c>
      <c r="F17" s="11"/>
      <c r="G17" s="11"/>
      <c r="H17" s="11"/>
      <c r="I17" s="11"/>
      <c r="J17" s="11">
        <f t="shared" si="0"/>
        <v>-859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22564</v>
      </c>
      <c r="C18" s="11">
        <v>22816</v>
      </c>
      <c r="D18" s="11">
        <v>9531</v>
      </c>
      <c r="E18" s="11">
        <v>8250</v>
      </c>
      <c r="F18" s="11"/>
      <c r="G18" s="11"/>
      <c r="H18" s="11"/>
      <c r="I18" s="11"/>
      <c r="J18" s="11">
        <f t="shared" si="0"/>
        <v>-1029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22545</v>
      </c>
      <c r="C19" s="11">
        <v>22418</v>
      </c>
      <c r="D19" s="11">
        <v>9530</v>
      </c>
      <c r="E19" s="11">
        <v>8106</v>
      </c>
      <c r="F19" s="11"/>
      <c r="G19" s="11"/>
      <c r="H19" s="11"/>
      <c r="I19" s="11"/>
      <c r="J19" s="11">
        <f t="shared" si="0"/>
        <v>-1551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22399</v>
      </c>
      <c r="C20" s="11">
        <v>22816</v>
      </c>
      <c r="D20" s="11">
        <v>9520</v>
      </c>
      <c r="E20" s="11">
        <v>8250</v>
      </c>
      <c r="F20" s="11"/>
      <c r="G20" s="11"/>
      <c r="H20" s="11"/>
      <c r="I20" s="11"/>
      <c r="J20" s="11">
        <f t="shared" si="0"/>
        <v>-853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22559</v>
      </c>
      <c r="C21" s="11">
        <v>15898</v>
      </c>
      <c r="D21" s="11">
        <v>9287</v>
      </c>
      <c r="E21" s="11">
        <v>5749</v>
      </c>
      <c r="F21" s="11"/>
      <c r="G21" s="11"/>
      <c r="H21" s="11"/>
      <c r="I21" s="11"/>
      <c r="J21" s="11">
        <f t="shared" si="0"/>
        <v>-10199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22320</v>
      </c>
      <c r="C22" s="11">
        <v>15898</v>
      </c>
      <c r="D22" s="11">
        <v>8830</v>
      </c>
      <c r="E22" s="11">
        <v>5749</v>
      </c>
      <c r="F22" s="11"/>
      <c r="G22" s="11"/>
      <c r="H22" s="11"/>
      <c r="I22" s="11"/>
      <c r="J22" s="11">
        <f t="shared" si="0"/>
        <v>-9503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22134</v>
      </c>
      <c r="C23" s="11">
        <v>17352</v>
      </c>
      <c r="D23" s="11">
        <v>7841</v>
      </c>
      <c r="E23" s="11">
        <v>6274</v>
      </c>
      <c r="F23" s="11"/>
      <c r="G23" s="11"/>
      <c r="H23" s="11"/>
      <c r="I23" s="11"/>
      <c r="J23" s="11">
        <f t="shared" si="0"/>
        <v>-6349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21998</v>
      </c>
      <c r="C24" s="11">
        <v>22757</v>
      </c>
      <c r="D24" s="11">
        <v>7574</v>
      </c>
      <c r="E24" s="11">
        <v>8229</v>
      </c>
      <c r="F24" s="11"/>
      <c r="G24" s="11"/>
      <c r="H24" s="11"/>
      <c r="I24" s="11"/>
      <c r="J24" s="11">
        <f t="shared" si="0"/>
        <v>1414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21990</v>
      </c>
      <c r="C25" s="11">
        <v>22816</v>
      </c>
      <c r="D25" s="11">
        <v>9634</v>
      </c>
      <c r="E25" s="11">
        <v>8250</v>
      </c>
      <c r="F25" s="11"/>
      <c r="G25" s="11"/>
      <c r="H25" s="11"/>
      <c r="I25" s="11"/>
      <c r="J25" s="11">
        <f t="shared" si="0"/>
        <v>-558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21678</v>
      </c>
      <c r="C26" s="11">
        <v>22488</v>
      </c>
      <c r="D26" s="11">
        <v>8719</v>
      </c>
      <c r="E26" s="11">
        <v>8131</v>
      </c>
      <c r="F26" s="11"/>
      <c r="G26" s="11"/>
      <c r="H26" s="11"/>
      <c r="I26" s="11"/>
      <c r="J26" s="11">
        <f t="shared" si="0"/>
        <v>222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21808</v>
      </c>
      <c r="C27" s="11">
        <v>22816</v>
      </c>
      <c r="D27" s="11">
        <v>8539</v>
      </c>
      <c r="E27" s="11">
        <v>8250</v>
      </c>
      <c r="F27" s="11"/>
      <c r="G27" s="11"/>
      <c r="H27" s="11"/>
      <c r="I27" s="11"/>
      <c r="J27" s="11">
        <f t="shared" si="0"/>
        <v>719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21144</v>
      </c>
      <c r="C28" s="11">
        <v>22699</v>
      </c>
      <c r="D28" s="11">
        <v>8500</v>
      </c>
      <c r="E28" s="11">
        <v>8208</v>
      </c>
      <c r="F28" s="11"/>
      <c r="G28" s="11"/>
      <c r="H28" s="11"/>
      <c r="I28" s="11"/>
      <c r="J28" s="11">
        <f t="shared" si="0"/>
        <v>1263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578353</v>
      </c>
      <c r="C35" s="11">
        <f t="shared" ref="C35:I35" si="1">SUM(C4:C34)</f>
        <v>577719</v>
      </c>
      <c r="D35" s="11">
        <f t="shared" si="1"/>
        <v>225595</v>
      </c>
      <c r="E35" s="11">
        <f t="shared" si="1"/>
        <v>202844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-23276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2.84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-66103.839999999997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37103</v>
      </c>
      <c r="C39" s="25"/>
      <c r="E39" s="25"/>
      <c r="G39" s="25"/>
      <c r="I39" s="25"/>
      <c r="J39" s="449">
        <v>150097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37128</v>
      </c>
      <c r="J41" s="337">
        <f>+J39+J37</f>
        <v>83993.16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37128</v>
      </c>
      <c r="B47" s="32"/>
      <c r="C47" s="32"/>
      <c r="D47" s="379">
        <f>+J35</f>
        <v>-23276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-83298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26" workbookViewId="3">
      <selection activeCell="C32" sqref="C3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-88622</v>
      </c>
      <c r="C15" s="24">
        <v>-89290</v>
      </c>
      <c r="D15" s="24">
        <v>-8183</v>
      </c>
      <c r="E15" s="24">
        <v>-10000</v>
      </c>
      <c r="F15" s="24">
        <f t="shared" si="0"/>
        <v>-2485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-99079</v>
      </c>
      <c r="C16" s="24">
        <v>-99924</v>
      </c>
      <c r="D16" s="24"/>
      <c r="E16" s="24"/>
      <c r="F16" s="24">
        <f t="shared" si="0"/>
        <v>-845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-99644</v>
      </c>
      <c r="C17" s="24">
        <v>-99924</v>
      </c>
      <c r="D17" s="24"/>
      <c r="E17" s="24"/>
      <c r="F17" s="24">
        <f t="shared" si="0"/>
        <v>-280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-96896</v>
      </c>
      <c r="C18" s="24">
        <v>-99924</v>
      </c>
      <c r="D18" s="24"/>
      <c r="E18" s="24"/>
      <c r="F18" s="24">
        <f t="shared" si="0"/>
        <v>-3028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-60119</v>
      </c>
      <c r="C19" s="24">
        <v>-59502</v>
      </c>
      <c r="D19" s="24">
        <v>-1</v>
      </c>
      <c r="E19" s="24"/>
      <c r="F19" s="24">
        <f t="shared" si="0"/>
        <v>618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-100957</v>
      </c>
      <c r="C20" s="24">
        <v>-100332</v>
      </c>
      <c r="D20" s="24"/>
      <c r="E20" s="24"/>
      <c r="F20" s="24">
        <f t="shared" si="0"/>
        <v>625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-52592</v>
      </c>
      <c r="C21" s="24">
        <v>-50761</v>
      </c>
      <c r="D21" s="24"/>
      <c r="E21" s="24"/>
      <c r="F21" s="24">
        <f t="shared" si="0"/>
        <v>1831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-75444</v>
      </c>
      <c r="C22" s="24">
        <v>-74973</v>
      </c>
      <c r="D22" s="24"/>
      <c r="E22" s="24"/>
      <c r="F22" s="24">
        <f t="shared" si="0"/>
        <v>471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-37835</v>
      </c>
      <c r="C23" s="24">
        <v>-37403</v>
      </c>
      <c r="D23" s="24"/>
      <c r="E23" s="24"/>
      <c r="F23" s="24">
        <f t="shared" si="0"/>
        <v>432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-36917</v>
      </c>
      <c r="C24" s="24">
        <v>-37403</v>
      </c>
      <c r="D24" s="24"/>
      <c r="E24" s="24"/>
      <c r="F24" s="24">
        <f t="shared" si="0"/>
        <v>-486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-27048</v>
      </c>
      <c r="C25" s="24">
        <v>-27119</v>
      </c>
      <c r="D25" s="24"/>
      <c r="E25" s="24"/>
      <c r="F25" s="24">
        <f t="shared" si="0"/>
        <v>-71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-70875</v>
      </c>
      <c r="C26" s="24">
        <v>-74286</v>
      </c>
      <c r="D26" s="24"/>
      <c r="E26" s="24"/>
      <c r="F26" s="24">
        <f t="shared" si="0"/>
        <v>-3411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-59872</v>
      </c>
      <c r="C27" s="24">
        <v>-59332</v>
      </c>
      <c r="D27" s="24"/>
      <c r="E27" s="24"/>
      <c r="F27" s="24">
        <f t="shared" si="0"/>
        <v>540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-84167</v>
      </c>
      <c r="C28" s="24">
        <v>-87235</v>
      </c>
      <c r="D28" s="24"/>
      <c r="E28" s="24"/>
      <c r="F28" s="24">
        <f t="shared" si="0"/>
        <v>-3068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-53411</v>
      </c>
      <c r="C29" s="24">
        <v>-54502</v>
      </c>
      <c r="D29" s="24"/>
      <c r="E29" s="24"/>
      <c r="F29" s="24">
        <f t="shared" si="0"/>
        <v>-1091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-60976</v>
      </c>
      <c r="C30" s="24">
        <v>-61097</v>
      </c>
      <c r="D30" s="24"/>
      <c r="E30" s="24"/>
      <c r="F30" s="24">
        <f t="shared" si="0"/>
        <v>-121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-60189</v>
      </c>
      <c r="C31" s="24">
        <v>-60522</v>
      </c>
      <c r="D31" s="24"/>
      <c r="E31" s="24"/>
      <c r="F31" s="24">
        <f t="shared" si="0"/>
        <v>-333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-1983018</v>
      </c>
      <c r="C37" s="24">
        <f>SUM(C6:C36)</f>
        <v>-1991545</v>
      </c>
      <c r="D37" s="24">
        <f>SUM(D6:D36)</f>
        <v>-46652</v>
      </c>
      <c r="E37" s="24">
        <f>SUM(E6:E36)</f>
        <v>-46908</v>
      </c>
      <c r="F37" s="24">
        <f>SUM(F6:F36)</f>
        <v>-8783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2.84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-24943.719999999998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6">
        <v>37103</v>
      </c>
      <c r="E40" s="14"/>
      <c r="F40" s="448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6">
        <v>37129</v>
      </c>
      <c r="E41" s="14"/>
      <c r="F41" s="104">
        <f>+F40+F39</f>
        <v>444822.19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37129</v>
      </c>
      <c r="B47" s="32"/>
      <c r="C47" s="32"/>
      <c r="D47" s="379">
        <f>+F37</f>
        <v>-8783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20244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2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2.84</v>
      </c>
    </row>
    <row r="41" spans="1:6" x14ac:dyDescent="0.2">
      <c r="F41" s="138">
        <f>+F40*F39</f>
        <v>0</v>
      </c>
    </row>
    <row r="42" spans="1:6" x14ac:dyDescent="0.2">
      <c r="A42" s="57">
        <v>37103</v>
      </c>
      <c r="C42" s="15"/>
      <c r="F42" s="359">
        <v>-5216.57</v>
      </c>
    </row>
    <row r="43" spans="1:6" x14ac:dyDescent="0.2">
      <c r="A43" s="57">
        <v>37128</v>
      </c>
      <c r="C43" s="48"/>
      <c r="F43" s="138">
        <f>+F42+F41</f>
        <v>-5216.57</v>
      </c>
    </row>
    <row r="47" spans="1:6" x14ac:dyDescent="0.2">
      <c r="A47" s="32" t="s">
        <v>157</v>
      </c>
      <c r="B47" s="32"/>
      <c r="C47" s="32"/>
      <c r="D47" s="32"/>
    </row>
    <row r="48" spans="1:6" x14ac:dyDescent="0.2">
      <c r="A48" s="49">
        <f>+A42</f>
        <v>37103</v>
      </c>
      <c r="B48" s="32"/>
      <c r="C48" s="32"/>
      <c r="D48" s="212">
        <v>-17302</v>
      </c>
    </row>
    <row r="49" spans="1:4" x14ac:dyDescent="0.2">
      <c r="A49" s="49">
        <f>+A43</f>
        <v>37128</v>
      </c>
      <c r="B49" s="32"/>
      <c r="C49" s="32"/>
      <c r="D49" s="379">
        <f>+F39</f>
        <v>0</v>
      </c>
    </row>
    <row r="50" spans="1:4" x14ac:dyDescent="0.2">
      <c r="A50" s="32"/>
      <c r="B50" s="32"/>
      <c r="C50" s="32"/>
      <c r="D50" s="14">
        <f>+D49+D48</f>
        <v>-17302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B27" sqref="B27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">
      <c r="A15" s="10">
        <v>8</v>
      </c>
      <c r="B15" s="11">
        <v>0</v>
      </c>
      <c r="C15" s="11">
        <v>7579</v>
      </c>
      <c r="D15" s="25">
        <f t="shared" si="0"/>
        <v>7579</v>
      </c>
    </row>
    <row r="16" spans="1:4" x14ac:dyDescent="0.2">
      <c r="A16" s="10">
        <v>9</v>
      </c>
      <c r="B16" s="11">
        <v>2449</v>
      </c>
      <c r="C16" s="11">
        <v>7579</v>
      </c>
      <c r="D16" s="25">
        <f t="shared" si="0"/>
        <v>5130</v>
      </c>
    </row>
    <row r="17" spans="1:4" x14ac:dyDescent="0.2">
      <c r="A17" s="10">
        <v>10</v>
      </c>
      <c r="B17" s="11">
        <v>7660</v>
      </c>
      <c r="C17" s="11">
        <v>7579</v>
      </c>
      <c r="D17" s="25">
        <f t="shared" si="0"/>
        <v>-81</v>
      </c>
    </row>
    <row r="18" spans="1:4" x14ac:dyDescent="0.2">
      <c r="A18" s="10">
        <v>11</v>
      </c>
      <c r="B18" s="11">
        <v>3951</v>
      </c>
      <c r="C18" s="11">
        <v>7579</v>
      </c>
      <c r="D18" s="25">
        <f t="shared" si="0"/>
        <v>3628</v>
      </c>
    </row>
    <row r="19" spans="1:4" x14ac:dyDescent="0.2">
      <c r="A19" s="10">
        <v>12</v>
      </c>
      <c r="B19" s="11">
        <v>5968</v>
      </c>
      <c r="C19" s="11">
        <v>7579</v>
      </c>
      <c r="D19" s="25">
        <f t="shared" si="0"/>
        <v>1611</v>
      </c>
    </row>
    <row r="20" spans="1:4" x14ac:dyDescent="0.2">
      <c r="A20" s="10">
        <v>13</v>
      </c>
      <c r="B20" s="11">
        <v>5793</v>
      </c>
      <c r="C20" s="11">
        <v>7579</v>
      </c>
      <c r="D20" s="25">
        <f t="shared" si="0"/>
        <v>1786</v>
      </c>
    </row>
    <row r="21" spans="1:4" x14ac:dyDescent="0.2">
      <c r="A21" s="10">
        <v>14</v>
      </c>
      <c r="B21" s="11">
        <v>6933</v>
      </c>
      <c r="C21" s="11">
        <v>7579</v>
      </c>
      <c r="D21" s="25">
        <f t="shared" si="0"/>
        <v>646</v>
      </c>
    </row>
    <row r="22" spans="1:4" x14ac:dyDescent="0.2">
      <c r="A22" s="10">
        <v>15</v>
      </c>
      <c r="B22" s="11">
        <v>7195</v>
      </c>
      <c r="C22" s="11">
        <v>7579</v>
      </c>
      <c r="D22" s="25">
        <f t="shared" si="0"/>
        <v>384</v>
      </c>
    </row>
    <row r="23" spans="1:4" x14ac:dyDescent="0.2">
      <c r="A23" s="10">
        <v>16</v>
      </c>
      <c r="B23" s="11">
        <v>7192</v>
      </c>
      <c r="C23" s="11">
        <v>7579</v>
      </c>
      <c r="D23" s="25">
        <f t="shared" si="0"/>
        <v>387</v>
      </c>
    </row>
    <row r="24" spans="1:4" x14ac:dyDescent="0.2">
      <c r="A24" s="10">
        <v>17</v>
      </c>
      <c r="B24" s="11">
        <v>8173</v>
      </c>
      <c r="C24" s="11">
        <v>7579</v>
      </c>
      <c r="D24" s="25">
        <f t="shared" si="0"/>
        <v>-594</v>
      </c>
    </row>
    <row r="25" spans="1:4" x14ac:dyDescent="0.2">
      <c r="A25" s="10">
        <v>18</v>
      </c>
      <c r="B25" s="11">
        <v>8169</v>
      </c>
      <c r="C25" s="11">
        <v>7579</v>
      </c>
      <c r="D25" s="25">
        <f t="shared" si="0"/>
        <v>-590</v>
      </c>
    </row>
    <row r="26" spans="1:4" x14ac:dyDescent="0.2">
      <c r="A26" s="10">
        <v>19</v>
      </c>
      <c r="B26" s="11">
        <v>7779</v>
      </c>
      <c r="C26" s="11">
        <v>7579</v>
      </c>
      <c r="D26" s="25">
        <f t="shared" si="0"/>
        <v>-200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108529</v>
      </c>
      <c r="C39" s="11">
        <f>SUM(C8:C38)</f>
        <v>144001</v>
      </c>
      <c r="D39" s="25">
        <f>SUM(D8:D38)</f>
        <v>35472</v>
      </c>
    </row>
    <row r="40" spans="1:4" x14ac:dyDescent="0.2">
      <c r="A40" s="26"/>
      <c r="C40" s="14"/>
      <c r="D40" s="260">
        <f>+summary!H4</f>
        <v>2.84</v>
      </c>
    </row>
    <row r="41" spans="1:4" x14ac:dyDescent="0.2">
      <c r="D41" s="138">
        <f>+D40*D39</f>
        <v>100740.48</v>
      </c>
    </row>
    <row r="42" spans="1:4" x14ac:dyDescent="0.2">
      <c r="A42" s="57">
        <v>37103</v>
      </c>
      <c r="C42" s="15"/>
      <c r="D42" s="368">
        <v>326755</v>
      </c>
    </row>
    <row r="43" spans="1:4" x14ac:dyDescent="0.2">
      <c r="A43" s="57">
        <v>37125</v>
      </c>
      <c r="C43" s="48"/>
      <c r="D43" s="138">
        <f>+D42+D41</f>
        <v>427495.48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+A42</f>
        <v>37103</v>
      </c>
      <c r="B47" s="32"/>
      <c r="C47" s="32"/>
      <c r="D47" s="14">
        <v>6289</v>
      </c>
    </row>
    <row r="48" spans="1:4" x14ac:dyDescent="0.2">
      <c r="A48" s="49">
        <f>+A43</f>
        <v>37125</v>
      </c>
      <c r="B48" s="32"/>
      <c r="C48" s="32"/>
      <c r="D48" s="379">
        <f>+D39</f>
        <v>35472</v>
      </c>
    </row>
    <row r="49" spans="1:4" x14ac:dyDescent="0.2">
      <c r="A49" s="32"/>
      <c r="B49" s="32"/>
      <c r="C49" s="32"/>
      <c r="D49" s="14">
        <f>+D48+D47</f>
        <v>41761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C32" sqref="C3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">
      <c r="A16" s="10">
        <v>11</v>
      </c>
      <c r="B16" s="11">
        <v>-77550</v>
      </c>
      <c r="C16" s="11">
        <v>-79499</v>
      </c>
      <c r="D16" s="25">
        <f t="shared" si="0"/>
        <v>-1949</v>
      </c>
    </row>
    <row r="17" spans="1:4" x14ac:dyDescent="0.2">
      <c r="A17" s="10">
        <v>12</v>
      </c>
      <c r="B17" s="11">
        <v>-79020</v>
      </c>
      <c r="C17" s="11">
        <v>-79795</v>
      </c>
      <c r="D17" s="25">
        <f t="shared" si="0"/>
        <v>-775</v>
      </c>
    </row>
    <row r="18" spans="1:4" x14ac:dyDescent="0.2">
      <c r="A18" s="10">
        <v>13</v>
      </c>
      <c r="B18" s="11">
        <v>-81735</v>
      </c>
      <c r="C18" s="11">
        <v>-80070</v>
      </c>
      <c r="D18" s="25">
        <f t="shared" si="0"/>
        <v>1665</v>
      </c>
    </row>
    <row r="19" spans="1:4" x14ac:dyDescent="0.2">
      <c r="A19" s="10">
        <v>14</v>
      </c>
      <c r="B19" s="11">
        <v>-83487</v>
      </c>
      <c r="C19" s="11">
        <v>-80300</v>
      </c>
      <c r="D19" s="25">
        <f t="shared" si="0"/>
        <v>3187</v>
      </c>
    </row>
    <row r="20" spans="1:4" x14ac:dyDescent="0.2">
      <c r="A20" s="10">
        <v>15</v>
      </c>
      <c r="B20" s="11">
        <v>-61528</v>
      </c>
      <c r="C20" s="11">
        <v>-59563</v>
      </c>
      <c r="D20" s="25">
        <f t="shared" si="0"/>
        <v>1965</v>
      </c>
    </row>
    <row r="21" spans="1:4" x14ac:dyDescent="0.2">
      <c r="A21" s="10">
        <v>16</v>
      </c>
      <c r="B21" s="11">
        <v>-41521</v>
      </c>
      <c r="C21" s="11">
        <v>-50000</v>
      </c>
      <c r="D21" s="25">
        <f t="shared" si="0"/>
        <v>-8479</v>
      </c>
    </row>
    <row r="22" spans="1:4" x14ac:dyDescent="0.2">
      <c r="A22" s="10">
        <v>17</v>
      </c>
      <c r="B22" s="11">
        <v>-42402</v>
      </c>
      <c r="C22" s="11">
        <v>-50000</v>
      </c>
      <c r="D22" s="25">
        <f t="shared" si="0"/>
        <v>-7598</v>
      </c>
    </row>
    <row r="23" spans="1:4" x14ac:dyDescent="0.2">
      <c r="A23" s="10">
        <v>18</v>
      </c>
      <c r="B23" s="11">
        <v>-52322</v>
      </c>
      <c r="C23" s="11">
        <v>-50000</v>
      </c>
      <c r="D23" s="25">
        <f t="shared" si="0"/>
        <v>2322</v>
      </c>
    </row>
    <row r="24" spans="1:4" x14ac:dyDescent="0.2">
      <c r="A24" s="10">
        <v>19</v>
      </c>
      <c r="B24" s="11">
        <v>-79654</v>
      </c>
      <c r="C24" s="11">
        <v>-48847</v>
      </c>
      <c r="D24" s="25">
        <f t="shared" si="0"/>
        <v>30807</v>
      </c>
    </row>
    <row r="25" spans="1:4" x14ac:dyDescent="0.2">
      <c r="A25" s="10">
        <v>20</v>
      </c>
      <c r="B25" s="11">
        <v>-81639</v>
      </c>
      <c r="C25" s="11">
        <v>-60462</v>
      </c>
      <c r="D25" s="25">
        <f t="shared" si="0"/>
        <v>21177</v>
      </c>
    </row>
    <row r="26" spans="1:4" x14ac:dyDescent="0.2">
      <c r="A26" s="10">
        <v>21</v>
      </c>
      <c r="B26" s="11">
        <v>-82328</v>
      </c>
      <c r="C26" s="11">
        <v>-89045</v>
      </c>
      <c r="D26" s="25">
        <f t="shared" si="0"/>
        <v>-6717</v>
      </c>
    </row>
    <row r="27" spans="1:4" x14ac:dyDescent="0.2">
      <c r="A27" s="10">
        <v>22</v>
      </c>
      <c r="B27" s="11">
        <v>-70813</v>
      </c>
      <c r="C27" s="11">
        <v>-65162</v>
      </c>
      <c r="D27" s="25">
        <f t="shared" si="0"/>
        <v>5651</v>
      </c>
    </row>
    <row r="28" spans="1:4" x14ac:dyDescent="0.2">
      <c r="A28" s="10">
        <v>23</v>
      </c>
      <c r="B28" s="11">
        <v>-69354</v>
      </c>
      <c r="C28" s="11">
        <v>-83170</v>
      </c>
      <c r="D28" s="25">
        <f t="shared" si="0"/>
        <v>-13816</v>
      </c>
    </row>
    <row r="29" spans="1:4" x14ac:dyDescent="0.2">
      <c r="A29" s="10">
        <v>24</v>
      </c>
      <c r="B29" s="11">
        <v>-40965</v>
      </c>
      <c r="C29" s="11">
        <v>-43257</v>
      </c>
      <c r="D29" s="25">
        <f t="shared" si="0"/>
        <v>-2292</v>
      </c>
    </row>
    <row r="30" spans="1:4" x14ac:dyDescent="0.2">
      <c r="A30" s="10">
        <v>25</v>
      </c>
      <c r="B30" s="11">
        <v>-40926</v>
      </c>
      <c r="C30" s="11">
        <v>-38167</v>
      </c>
      <c r="D30" s="25">
        <f t="shared" si="0"/>
        <v>2759</v>
      </c>
    </row>
    <row r="31" spans="1:4" x14ac:dyDescent="0.2">
      <c r="A31" s="10">
        <v>26</v>
      </c>
      <c r="B31" s="11">
        <v>-41028</v>
      </c>
      <c r="C31" s="11">
        <v>-36581</v>
      </c>
      <c r="D31" s="25">
        <f t="shared" si="0"/>
        <v>4447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-1686591</v>
      </c>
      <c r="C37" s="11">
        <f>SUM(C6:C36)</f>
        <v>-1659967</v>
      </c>
      <c r="D37" s="25">
        <f>SUM(D6:D36)</f>
        <v>26624</v>
      </c>
    </row>
    <row r="38" spans="1:4" x14ac:dyDescent="0.2">
      <c r="A38" s="26"/>
      <c r="C38" s="14"/>
      <c r="D38" s="345">
        <f>+summary!H4</f>
        <v>2.84</v>
      </c>
    </row>
    <row r="39" spans="1:4" x14ac:dyDescent="0.2">
      <c r="D39" s="138">
        <f>+D38*D37</f>
        <v>75612.160000000003</v>
      </c>
    </row>
    <row r="40" spans="1:4" x14ac:dyDescent="0.2">
      <c r="A40" s="57">
        <v>37103</v>
      </c>
      <c r="C40" s="15"/>
      <c r="D40" s="457">
        <v>21736.76</v>
      </c>
    </row>
    <row r="41" spans="1:4" x14ac:dyDescent="0.2">
      <c r="A41" s="57">
        <v>37129</v>
      </c>
      <c r="C41" s="48"/>
      <c r="D41" s="138">
        <f>+D40+D39</f>
        <v>97348.92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">
      <c r="A46" s="49">
        <f>+A41</f>
        <v>37129</v>
      </c>
      <c r="B46" s="32"/>
      <c r="C46" s="32"/>
      <c r="D46" s="379">
        <f>+D37</f>
        <v>26624</v>
      </c>
    </row>
    <row r="47" spans="1:4" x14ac:dyDescent="0.2">
      <c r="A47" s="32"/>
      <c r="B47" s="32"/>
      <c r="C47" s="32"/>
      <c r="D47" s="14">
        <f>+D46+D45</f>
        <v>135474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1" workbookViewId="3">
      <selection activeCell="C31" sqref="C31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">
      <c r="A16" s="10">
        <v>11</v>
      </c>
      <c r="B16" s="129">
        <v>39852</v>
      </c>
      <c r="C16" s="11">
        <v>38499</v>
      </c>
      <c r="D16" s="25">
        <f t="shared" si="0"/>
        <v>-1353</v>
      </c>
    </row>
    <row r="17" spans="1:4" x14ac:dyDescent="0.2">
      <c r="A17" s="10">
        <v>12</v>
      </c>
      <c r="B17" s="129">
        <v>18864</v>
      </c>
      <c r="C17" s="11">
        <v>24382</v>
      </c>
      <c r="D17" s="25">
        <f t="shared" si="0"/>
        <v>5518</v>
      </c>
    </row>
    <row r="18" spans="1:4" x14ac:dyDescent="0.2">
      <c r="A18" s="10">
        <v>13</v>
      </c>
      <c r="B18" s="129">
        <v>34489</v>
      </c>
      <c r="C18" s="11">
        <v>35457</v>
      </c>
      <c r="D18" s="25">
        <f t="shared" si="0"/>
        <v>968</v>
      </c>
    </row>
    <row r="19" spans="1:4" x14ac:dyDescent="0.2">
      <c r="A19" s="10">
        <v>14</v>
      </c>
      <c r="B19" s="129">
        <v>40193</v>
      </c>
      <c r="C19" s="11">
        <v>39600</v>
      </c>
      <c r="D19" s="25">
        <f t="shared" si="0"/>
        <v>-593</v>
      </c>
    </row>
    <row r="20" spans="1:4" x14ac:dyDescent="0.2">
      <c r="A20" s="10">
        <v>15</v>
      </c>
      <c r="B20" s="129">
        <v>40662</v>
      </c>
      <c r="C20" s="11">
        <v>38879</v>
      </c>
      <c r="D20" s="25">
        <f t="shared" si="0"/>
        <v>-1783</v>
      </c>
    </row>
    <row r="21" spans="1:4" x14ac:dyDescent="0.2">
      <c r="A21" s="10">
        <v>16</v>
      </c>
      <c r="B21" s="11">
        <v>38470</v>
      </c>
      <c r="C21" s="11">
        <v>39600</v>
      </c>
      <c r="D21" s="25">
        <f t="shared" si="0"/>
        <v>1130</v>
      </c>
    </row>
    <row r="22" spans="1:4" x14ac:dyDescent="0.2">
      <c r="A22" s="10">
        <v>17</v>
      </c>
      <c r="B22" s="11">
        <v>40314</v>
      </c>
      <c r="C22" s="11">
        <v>39600</v>
      </c>
      <c r="D22" s="25">
        <f t="shared" si="0"/>
        <v>-714</v>
      </c>
    </row>
    <row r="23" spans="1:4" x14ac:dyDescent="0.2">
      <c r="A23" s="10">
        <v>18</v>
      </c>
      <c r="B23" s="11">
        <v>40863</v>
      </c>
      <c r="C23" s="11">
        <v>39600</v>
      </c>
      <c r="D23" s="25">
        <f t="shared" si="0"/>
        <v>-1263</v>
      </c>
    </row>
    <row r="24" spans="1:4" x14ac:dyDescent="0.2">
      <c r="A24" s="10">
        <v>19</v>
      </c>
      <c r="B24" s="11">
        <v>39065</v>
      </c>
      <c r="C24" s="11">
        <v>39600</v>
      </c>
      <c r="D24" s="25">
        <f t="shared" si="0"/>
        <v>535</v>
      </c>
    </row>
    <row r="25" spans="1:4" x14ac:dyDescent="0.2">
      <c r="A25" s="10">
        <v>20</v>
      </c>
      <c r="B25" s="11">
        <v>40407</v>
      </c>
      <c r="C25" s="11">
        <v>39600</v>
      </c>
      <c r="D25" s="25">
        <f t="shared" si="0"/>
        <v>-807</v>
      </c>
    </row>
    <row r="26" spans="1:4" x14ac:dyDescent="0.2">
      <c r="A26" s="10">
        <v>21</v>
      </c>
      <c r="B26" s="11">
        <v>42088</v>
      </c>
      <c r="C26" s="11">
        <v>36760</v>
      </c>
      <c r="D26" s="25">
        <f t="shared" si="0"/>
        <v>-5328</v>
      </c>
    </row>
    <row r="27" spans="1:4" x14ac:dyDescent="0.2">
      <c r="A27" s="10">
        <v>22</v>
      </c>
      <c r="B27" s="11">
        <v>41031</v>
      </c>
      <c r="C27" s="11">
        <v>35000</v>
      </c>
      <c r="D27" s="25">
        <f t="shared" si="0"/>
        <v>-6031</v>
      </c>
    </row>
    <row r="28" spans="1:4" x14ac:dyDescent="0.2">
      <c r="A28" s="10">
        <v>23</v>
      </c>
      <c r="B28" s="11">
        <v>40034</v>
      </c>
      <c r="C28" s="11">
        <v>35000</v>
      </c>
      <c r="D28" s="25">
        <f t="shared" si="0"/>
        <v>-5034</v>
      </c>
    </row>
    <row r="29" spans="1:4" x14ac:dyDescent="0.2">
      <c r="A29" s="10">
        <v>24</v>
      </c>
      <c r="B29" s="11">
        <v>41568</v>
      </c>
      <c r="C29" s="11">
        <v>35000</v>
      </c>
      <c r="D29" s="25">
        <f t="shared" si="0"/>
        <v>-6568</v>
      </c>
    </row>
    <row r="30" spans="1:4" x14ac:dyDescent="0.2">
      <c r="A30" s="10">
        <v>25</v>
      </c>
      <c r="B30" s="11">
        <v>31257</v>
      </c>
      <c r="C30" s="11">
        <v>37000</v>
      </c>
      <c r="D30" s="25">
        <f t="shared" si="0"/>
        <v>5743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948027</v>
      </c>
      <c r="C37" s="11">
        <f>SUM(C6:C36)</f>
        <v>915472</v>
      </c>
      <c r="D37" s="25">
        <f>SUM(D6:D36)</f>
        <v>-32555</v>
      </c>
    </row>
    <row r="38" spans="1:4" x14ac:dyDescent="0.2">
      <c r="A38" s="26"/>
      <c r="C38" s="14"/>
      <c r="D38" s="345">
        <f>+summary!H5</f>
        <v>2.93</v>
      </c>
    </row>
    <row r="39" spans="1:4" x14ac:dyDescent="0.2">
      <c r="D39" s="138">
        <f>+D38*D37</f>
        <v>-95386.150000000009</v>
      </c>
    </row>
    <row r="40" spans="1:4" x14ac:dyDescent="0.2">
      <c r="A40" s="57">
        <v>37103</v>
      </c>
      <c r="C40" s="15"/>
      <c r="D40" s="359">
        <v>-38120.6</v>
      </c>
    </row>
    <row r="41" spans="1:4" x14ac:dyDescent="0.2">
      <c r="A41" s="57">
        <v>37128</v>
      </c>
      <c r="C41" s="48"/>
      <c r="D41" s="138">
        <f>+D40+D39</f>
        <v>-133506.75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v>-2104</v>
      </c>
    </row>
    <row r="46" spans="1:4" x14ac:dyDescent="0.2">
      <c r="A46" s="49">
        <f>+A41</f>
        <v>37128</v>
      </c>
      <c r="B46" s="32"/>
      <c r="C46" s="32"/>
      <c r="D46" s="379">
        <f>+D37</f>
        <v>-32555</v>
      </c>
    </row>
    <row r="47" spans="1:4" x14ac:dyDescent="0.2">
      <c r="A47" s="32"/>
      <c r="B47" s="32"/>
      <c r="C47" s="32"/>
      <c r="D47" s="14">
        <f>+D46+D45</f>
        <v>-34659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1" workbookViewId="3">
      <selection activeCell="F29" sqref="F29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62" bestFit="1" customWidth="1"/>
    <col min="18" max="18" width="11.42578125" style="267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0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1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M4" s="461" t="s">
        <v>40</v>
      </c>
      <c r="N4" s="4" t="s">
        <v>20</v>
      </c>
      <c r="O4" s="4" t="s">
        <v>21</v>
      </c>
      <c r="P4" s="459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M5" s="461"/>
      <c r="N5" s="14"/>
      <c r="O5" s="14"/>
      <c r="P5" s="14">
        <f t="shared" ref="P5:P13" si="1">+O5-N5</f>
        <v>0</v>
      </c>
      <c r="Q5" s="390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M6" s="461">
        <v>36861</v>
      </c>
      <c r="N6" s="24">
        <v>19698194</v>
      </c>
      <c r="O6" s="24">
        <v>19662410</v>
      </c>
      <c r="P6" s="14">
        <f t="shared" si="1"/>
        <v>-35784</v>
      </c>
      <c r="Q6" s="390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M7" s="461">
        <v>36892</v>
      </c>
      <c r="N7" s="24">
        <v>18949781</v>
      </c>
      <c r="O7" s="14">
        <v>18975457</v>
      </c>
      <c r="P7" s="14">
        <f t="shared" si="1"/>
        <v>25676</v>
      </c>
      <c r="Q7" s="390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M8" s="461">
        <v>36923</v>
      </c>
      <c r="N8" s="24">
        <v>15193330</v>
      </c>
      <c r="O8" s="14">
        <v>15256233</v>
      </c>
      <c r="P8" s="14">
        <f t="shared" si="1"/>
        <v>62903</v>
      </c>
      <c r="Q8" s="390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M9" s="461">
        <v>36951</v>
      </c>
      <c r="N9" s="24">
        <v>17049350</v>
      </c>
      <c r="O9" s="14">
        <v>17089226</v>
      </c>
      <c r="P9" s="14">
        <f t="shared" si="1"/>
        <v>39876</v>
      </c>
      <c r="Q9" s="390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M10" s="461">
        <v>36982</v>
      </c>
      <c r="N10" s="24">
        <v>17652369</v>
      </c>
      <c r="O10" s="14">
        <v>17743987</v>
      </c>
      <c r="P10" s="14">
        <f t="shared" si="1"/>
        <v>91618</v>
      </c>
      <c r="Q10" s="390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M11" s="461">
        <v>37012</v>
      </c>
      <c r="N11" s="24">
        <v>16124989</v>
      </c>
      <c r="O11" s="14">
        <v>16282021</v>
      </c>
      <c r="P11" s="14">
        <f t="shared" si="1"/>
        <v>157032</v>
      </c>
      <c r="Q11" s="390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M12" s="461">
        <v>37043</v>
      </c>
      <c r="N12" s="24">
        <v>15928675</v>
      </c>
      <c r="O12" s="14">
        <v>15936227</v>
      </c>
      <c r="P12" s="14">
        <f t="shared" si="1"/>
        <v>7552</v>
      </c>
      <c r="Q12" s="390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M13" s="461">
        <v>37073</v>
      </c>
      <c r="N13" s="24">
        <v>16669639</v>
      </c>
      <c r="O13" s="14">
        <v>16693576</v>
      </c>
      <c r="P13" s="14">
        <f t="shared" si="1"/>
        <v>23937</v>
      </c>
      <c r="Q13" s="390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343074</v>
      </c>
      <c r="C15" s="11">
        <v>331485</v>
      </c>
      <c r="D15" s="11">
        <v>41056</v>
      </c>
      <c r="E15" s="11">
        <v>62006</v>
      </c>
      <c r="F15" s="11">
        <v>63625</v>
      </c>
      <c r="G15" s="11">
        <v>61306</v>
      </c>
      <c r="H15" s="11">
        <v>145898</v>
      </c>
      <c r="I15" s="11">
        <v>141767</v>
      </c>
      <c r="J15" s="11">
        <f t="shared" si="0"/>
        <v>2911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329776</v>
      </c>
      <c r="C16" s="11">
        <v>327012</v>
      </c>
      <c r="D16" s="11">
        <v>46642</v>
      </c>
      <c r="E16" s="11">
        <v>59179</v>
      </c>
      <c r="F16" s="11">
        <v>62952</v>
      </c>
      <c r="G16" s="11">
        <v>61308</v>
      </c>
      <c r="H16" s="11">
        <v>138478</v>
      </c>
      <c r="I16" s="11">
        <v>126232</v>
      </c>
      <c r="J16" s="11">
        <f t="shared" si="0"/>
        <v>-4117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326625</v>
      </c>
      <c r="C17" s="11">
        <v>336221</v>
      </c>
      <c r="D17" s="11">
        <v>37103</v>
      </c>
      <c r="E17" s="11">
        <v>26877</v>
      </c>
      <c r="F17" s="11">
        <v>56806</v>
      </c>
      <c r="G17" s="11">
        <v>58064</v>
      </c>
      <c r="H17" s="11">
        <v>133830</v>
      </c>
      <c r="I17" s="11">
        <v>131396</v>
      </c>
      <c r="J17" s="11">
        <f t="shared" si="0"/>
        <v>-1806</v>
      </c>
      <c r="M17" s="461"/>
      <c r="N17" s="24"/>
      <c r="O17" s="14"/>
      <c r="P17" s="14">
        <f>+O17-N17</f>
        <v>0</v>
      </c>
      <c r="Q17" s="390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336681</v>
      </c>
      <c r="C18" s="11">
        <v>332244</v>
      </c>
      <c r="D18" s="11">
        <v>61849</v>
      </c>
      <c r="E18" s="11">
        <v>62006</v>
      </c>
      <c r="F18" s="11">
        <v>56541</v>
      </c>
      <c r="G18" s="11">
        <v>57130</v>
      </c>
      <c r="H18" s="11">
        <v>149355</v>
      </c>
      <c r="I18" s="11">
        <v>149369</v>
      </c>
      <c r="J18" s="11">
        <f t="shared" si="0"/>
        <v>-3677</v>
      </c>
      <c r="M18" s="461"/>
      <c r="N18" s="24"/>
      <c r="O18" s="14"/>
      <c r="P18" s="14"/>
      <c r="Q18" s="390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330403</v>
      </c>
      <c r="C19" s="11">
        <v>330339</v>
      </c>
      <c r="D19" s="11">
        <v>63183</v>
      </c>
      <c r="E19" s="11">
        <v>62006</v>
      </c>
      <c r="F19" s="11">
        <v>56691</v>
      </c>
      <c r="G19" s="11">
        <v>58312</v>
      </c>
      <c r="H19" s="11">
        <v>153223</v>
      </c>
      <c r="I19" s="11">
        <v>151210</v>
      </c>
      <c r="J19" s="11">
        <f t="shared" si="0"/>
        <v>-1633</v>
      </c>
      <c r="M19" s="461"/>
      <c r="N19" s="14"/>
      <c r="O19" s="14"/>
      <c r="P19" s="14"/>
      <c r="Q19" s="390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334818</v>
      </c>
      <c r="C20" s="11">
        <v>346212</v>
      </c>
      <c r="D20" s="11">
        <v>81572</v>
      </c>
      <c r="E20" s="11">
        <v>62006</v>
      </c>
      <c r="F20" s="11">
        <v>63376</v>
      </c>
      <c r="G20" s="11">
        <v>65126</v>
      </c>
      <c r="H20" s="11">
        <v>135420</v>
      </c>
      <c r="I20" s="11">
        <v>142145</v>
      </c>
      <c r="J20" s="11">
        <f t="shared" si="0"/>
        <v>303</v>
      </c>
      <c r="M20" s="461"/>
      <c r="N20" s="14"/>
      <c r="O20" s="14"/>
      <c r="P20" s="15"/>
      <c r="Q20" s="390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366455</v>
      </c>
      <c r="C21" s="11">
        <v>357416</v>
      </c>
      <c r="D21" s="11">
        <v>64878</v>
      </c>
      <c r="E21" s="11">
        <v>62006</v>
      </c>
      <c r="F21" s="11">
        <v>59007</v>
      </c>
      <c r="G21" s="11">
        <v>58705</v>
      </c>
      <c r="H21" s="11">
        <v>125144</v>
      </c>
      <c r="I21" s="11">
        <v>131878</v>
      </c>
      <c r="J21" s="11">
        <f t="shared" si="0"/>
        <v>-5479</v>
      </c>
      <c r="M21" s="461"/>
      <c r="N21" s="24"/>
      <c r="O21" s="24"/>
      <c r="P21" s="110"/>
      <c r="Q21" s="463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297258</v>
      </c>
      <c r="C22" s="11">
        <v>320201</v>
      </c>
      <c r="D22" s="11">
        <v>63849</v>
      </c>
      <c r="E22" s="11">
        <v>62006</v>
      </c>
      <c r="F22" s="11">
        <v>57721</v>
      </c>
      <c r="G22" s="11">
        <v>60383</v>
      </c>
      <c r="H22" s="11">
        <v>126422</v>
      </c>
      <c r="I22" s="11">
        <v>129766</v>
      </c>
      <c r="J22" s="11">
        <f t="shared" si="0"/>
        <v>27106</v>
      </c>
      <c r="M22" s="32"/>
      <c r="N22" s="24"/>
      <c r="O22" s="24"/>
      <c r="P22" s="24">
        <f>SUM(P5:P21)</f>
        <v>372810</v>
      </c>
      <c r="Q22" s="463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322632</v>
      </c>
      <c r="C23" s="11">
        <v>322211</v>
      </c>
      <c r="D23" s="11">
        <v>62973</v>
      </c>
      <c r="E23" s="11">
        <v>62006</v>
      </c>
      <c r="F23" s="11">
        <v>57755</v>
      </c>
      <c r="G23" s="11">
        <v>56963</v>
      </c>
      <c r="H23" s="11">
        <v>119641</v>
      </c>
      <c r="I23" s="11">
        <v>119045</v>
      </c>
      <c r="J23" s="11">
        <f t="shared" si="0"/>
        <v>-2776</v>
      </c>
      <c r="M23" s="32"/>
      <c r="N23" s="24"/>
      <c r="O23" s="24"/>
      <c r="P23" s="110"/>
      <c r="Q23" s="463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338791</v>
      </c>
      <c r="C24" s="11">
        <v>340947</v>
      </c>
      <c r="D24" s="11">
        <v>64404</v>
      </c>
      <c r="E24" s="11">
        <v>60467</v>
      </c>
      <c r="F24" s="11">
        <v>52773</v>
      </c>
      <c r="G24" s="11">
        <v>50154</v>
      </c>
      <c r="H24" s="11">
        <v>128561</v>
      </c>
      <c r="I24" s="11">
        <v>132981</v>
      </c>
      <c r="J24" s="11">
        <f t="shared" si="0"/>
        <v>20</v>
      </c>
      <c r="M24" s="32"/>
      <c r="N24" s="24"/>
      <c r="O24" s="24"/>
      <c r="P24" s="110"/>
      <c r="Q24" s="463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322113</v>
      </c>
      <c r="C25" s="11">
        <v>321612</v>
      </c>
      <c r="D25" s="11">
        <v>62032</v>
      </c>
      <c r="E25" s="11">
        <v>62005</v>
      </c>
      <c r="F25" s="11">
        <v>59462</v>
      </c>
      <c r="G25" s="11">
        <v>53971</v>
      </c>
      <c r="H25" s="11">
        <v>124463</v>
      </c>
      <c r="I25" s="11">
        <v>122727</v>
      </c>
      <c r="J25" s="11">
        <f t="shared" si="0"/>
        <v>-7755</v>
      </c>
      <c r="M25" s="32"/>
      <c r="N25" s="24"/>
      <c r="O25" s="24"/>
      <c r="P25" s="110"/>
      <c r="Q25" s="46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317312</v>
      </c>
      <c r="C26" s="11">
        <v>313150</v>
      </c>
      <c r="D26" s="11">
        <v>62012</v>
      </c>
      <c r="E26" s="11">
        <v>60837</v>
      </c>
      <c r="F26" s="11">
        <v>54209</v>
      </c>
      <c r="G26" s="11">
        <v>52721</v>
      </c>
      <c r="H26" s="11">
        <v>140828</v>
      </c>
      <c r="I26" s="11">
        <v>137994</v>
      </c>
      <c r="J26" s="11">
        <f t="shared" si="0"/>
        <v>-9659</v>
      </c>
      <c r="M26" s="32"/>
      <c r="N26" s="24"/>
      <c r="O26" s="24"/>
      <c r="P26" s="110"/>
      <c r="Q26" s="46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280757</v>
      </c>
      <c r="C27" s="11">
        <v>274743</v>
      </c>
      <c r="D27" s="11">
        <v>68585</v>
      </c>
      <c r="E27" s="11">
        <v>82867</v>
      </c>
      <c r="F27" s="11">
        <v>51834</v>
      </c>
      <c r="G27" s="11">
        <v>49477</v>
      </c>
      <c r="H27" s="11">
        <v>139939</v>
      </c>
      <c r="I27" s="11">
        <v>138872</v>
      </c>
      <c r="J27" s="11">
        <f t="shared" si="0"/>
        <v>4844</v>
      </c>
      <c r="M27" s="32"/>
      <c r="N27" s="24"/>
      <c r="O27" s="24"/>
      <c r="P27" s="110"/>
      <c r="Q27" s="46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305788</v>
      </c>
      <c r="C28" s="11">
        <v>302147</v>
      </c>
      <c r="D28" s="11">
        <v>64078</v>
      </c>
      <c r="E28" s="11">
        <v>62006</v>
      </c>
      <c r="F28" s="11">
        <v>47855</v>
      </c>
      <c r="G28" s="11">
        <v>55810</v>
      </c>
      <c r="H28" s="11">
        <v>117719</v>
      </c>
      <c r="I28" s="11">
        <v>111618</v>
      </c>
      <c r="J28" s="11">
        <f t="shared" si="0"/>
        <v>-3859</v>
      </c>
      <c r="M28" s="32"/>
      <c r="N28" s="24"/>
      <c r="O28" s="24"/>
      <c r="P28" s="110"/>
      <c r="Q28" s="46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>
        <v>295178</v>
      </c>
      <c r="C29" s="11">
        <v>298389</v>
      </c>
      <c r="D29" s="11">
        <v>65205</v>
      </c>
      <c r="E29" s="11">
        <v>62005</v>
      </c>
      <c r="F29" s="11">
        <v>55022</v>
      </c>
      <c r="G29" s="11">
        <v>53622</v>
      </c>
      <c r="H29" s="11">
        <v>104372</v>
      </c>
      <c r="I29" s="11">
        <v>97955</v>
      </c>
      <c r="J29" s="11">
        <f t="shared" si="0"/>
        <v>-7806</v>
      </c>
      <c r="M29" s="32"/>
      <c r="N29" s="24"/>
      <c r="O29" s="24"/>
      <c r="P29" s="110"/>
      <c r="Q29" s="46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6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0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0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0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8479719</v>
      </c>
      <c r="C35" s="11">
        <f t="shared" ref="C35:I35" si="3">SUM(C4:C34)</f>
        <v>8603497</v>
      </c>
      <c r="D35" s="11">
        <f t="shared" si="3"/>
        <v>1660565</v>
      </c>
      <c r="E35" s="11">
        <f t="shared" si="3"/>
        <v>1575679</v>
      </c>
      <c r="F35" s="11">
        <f t="shared" si="3"/>
        <v>1547850</v>
      </c>
      <c r="G35" s="11">
        <f t="shared" si="3"/>
        <v>1532628</v>
      </c>
      <c r="H35" s="11">
        <f t="shared" si="3"/>
        <v>3420552</v>
      </c>
      <c r="I35" s="11">
        <f t="shared" si="3"/>
        <v>3373627</v>
      </c>
      <c r="J35" s="11">
        <f>SUM(J4:J34)</f>
        <v>-23255</v>
      </c>
      <c r="M35" s="32"/>
      <c r="N35" s="24"/>
      <c r="O35" s="32"/>
      <c r="P35" s="15"/>
      <c r="Q35" s="390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90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90"/>
      <c r="R37" s="110"/>
      <c r="S37" s="19"/>
      <c r="T37" s="104"/>
      <c r="U37" s="16"/>
      <c r="V37" s="15"/>
      <c r="W37" s="13"/>
    </row>
    <row r="38" spans="1:23" x14ac:dyDescent="0.2">
      <c r="A38" s="56">
        <v>37103</v>
      </c>
      <c r="C38" s="25"/>
      <c r="E38" s="25"/>
      <c r="G38" s="25"/>
      <c r="I38" s="25"/>
      <c r="J38" s="439">
        <v>310268</v>
      </c>
      <c r="M38" s="32"/>
      <c r="N38" s="24"/>
      <c r="O38" s="32"/>
      <c r="P38" s="15"/>
      <c r="Q38" s="390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90"/>
      <c r="R39" s="110"/>
      <c r="S39" s="19"/>
      <c r="T39" s="104"/>
      <c r="U39" s="16"/>
      <c r="V39" s="15"/>
      <c r="W39" s="13"/>
    </row>
    <row r="40" spans="1:23" x14ac:dyDescent="0.2">
      <c r="A40" s="33">
        <v>37129</v>
      </c>
      <c r="J40" s="51">
        <f>+J38+J35</f>
        <v>287013</v>
      </c>
      <c r="M40" s="32"/>
      <c r="N40" s="24"/>
      <c r="O40" s="32"/>
      <c r="P40" s="15"/>
      <c r="Q40" s="390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90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90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90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90"/>
      <c r="R44" s="110"/>
      <c r="S44" s="19"/>
      <c r="T44" s="104"/>
      <c r="U44" s="16"/>
      <c r="V44" s="15"/>
      <c r="W44" s="13"/>
    </row>
    <row r="45" spans="1:23" x14ac:dyDescent="0.2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0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37103</v>
      </c>
      <c r="B46" s="32"/>
      <c r="C46" s="32"/>
      <c r="D46" s="440">
        <v>1379269.57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0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37129</v>
      </c>
      <c r="B47" s="32"/>
      <c r="C47" s="32"/>
      <c r="D47" s="408">
        <f>+J35*'by type'!J3</f>
        <v>-61858.3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0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1317411.27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0"/>
      <c r="R48" s="15"/>
      <c r="S48" s="19"/>
      <c r="T48" s="32"/>
    </row>
    <row r="49" spans="1:20" x14ac:dyDescent="0.2">
      <c r="A49" s="139"/>
      <c r="B49" s="119"/>
      <c r="C49" s="140"/>
      <c r="D49" s="409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0"/>
      <c r="R49" s="15"/>
      <c r="S49" s="32"/>
      <c r="T49" s="32"/>
    </row>
    <row r="50" spans="1:20" x14ac:dyDescent="0.2">
      <c r="A50" s="10"/>
      <c r="B50" s="11"/>
      <c r="C50" s="11"/>
      <c r="D50" s="410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0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0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0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0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0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0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0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0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0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0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0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0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0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0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0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0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0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0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3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3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3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6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6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6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6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6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6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6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0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0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0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0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0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0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0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0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0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0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0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0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0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0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0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0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0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0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0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6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59"/>
      <c r="Q255" s="143"/>
      <c r="R255" s="45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0"/>
      <c r="Q256" s="465"/>
      <c r="R256" s="46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64"/>
      <c r="S295" s="1"/>
    </row>
    <row r="296" spans="9:21" x14ac:dyDescent="0.2">
      <c r="K296" s="2"/>
      <c r="M296" s="30"/>
      <c r="N296" s="4"/>
      <c r="O296" s="4"/>
      <c r="P296" s="459"/>
      <c r="Q296" s="143"/>
      <c r="R296" s="45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60"/>
      <c r="Q297" s="465"/>
      <c r="R297" s="46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6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6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6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6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6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6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6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6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6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6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6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6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6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6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6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6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6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6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6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6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6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6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6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6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6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6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6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6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6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6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6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6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64"/>
      <c r="S337" s="1"/>
    </row>
    <row r="338" spans="11:21" x14ac:dyDescent="0.2">
      <c r="K338" s="2"/>
      <c r="M338" s="30"/>
      <c r="N338" s="4"/>
      <c r="O338" s="4"/>
      <c r="P338" s="459"/>
      <c r="Q338" s="143"/>
      <c r="R338" s="45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60"/>
      <c r="Q339" s="465"/>
      <c r="R339" s="46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6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6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6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6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6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6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6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6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6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6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6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6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6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6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6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6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6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6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6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6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6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6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6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6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6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6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6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6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6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6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6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6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64"/>
      <c r="S379" s="1"/>
    </row>
    <row r="380" spans="11:21" x14ac:dyDescent="0.2">
      <c r="K380" s="2"/>
      <c r="M380" s="30"/>
      <c r="N380" s="4"/>
      <c r="O380" s="4"/>
      <c r="P380" s="459"/>
      <c r="Q380" s="143"/>
      <c r="R380" s="45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60"/>
      <c r="Q381" s="465"/>
      <c r="R381" s="46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6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6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6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6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6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6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6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6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6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6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6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6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6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6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6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6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6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6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6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6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6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6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6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6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6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6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6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6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6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6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6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6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64"/>
      <c r="S423" s="1"/>
    </row>
    <row r="424" spans="11:21" x14ac:dyDescent="0.2">
      <c r="K424" s="2"/>
      <c r="M424" s="30"/>
      <c r="N424" s="4"/>
      <c r="O424" s="4"/>
      <c r="P424" s="459"/>
      <c r="Q424" s="143"/>
      <c r="R424" s="45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60"/>
      <c r="Q425" s="465"/>
      <c r="R425" s="46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6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6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6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6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6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6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6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6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6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6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6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6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6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6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6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6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6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6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6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6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6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6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6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6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6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6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6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6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6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6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6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6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6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59"/>
      <c r="Q466" s="143"/>
      <c r="R466" s="45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60"/>
      <c r="Q467" s="465"/>
      <c r="R467" s="46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6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6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6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6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6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6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6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6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6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6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6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6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6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6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6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6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6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6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6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6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6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6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6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6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6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6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6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6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6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6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6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6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7" workbookViewId="3">
      <selection activeCell="C32" sqref="C32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">
      <c r="A17" s="10">
        <v>12</v>
      </c>
      <c r="B17" s="11">
        <v>64945</v>
      </c>
      <c r="C17" s="11">
        <v>63665</v>
      </c>
      <c r="D17" s="25">
        <f t="shared" si="0"/>
        <v>-1280</v>
      </c>
    </row>
    <row r="18" spans="1:4" x14ac:dyDescent="0.2">
      <c r="A18" s="10">
        <v>13</v>
      </c>
      <c r="B18" s="11">
        <v>64939</v>
      </c>
      <c r="C18" s="11">
        <v>64464</v>
      </c>
      <c r="D18" s="25">
        <f t="shared" si="0"/>
        <v>-475</v>
      </c>
    </row>
    <row r="19" spans="1:4" x14ac:dyDescent="0.2">
      <c r="A19" s="10">
        <v>14</v>
      </c>
      <c r="B19" s="11">
        <v>63062</v>
      </c>
      <c r="C19" s="11">
        <v>63411</v>
      </c>
      <c r="D19" s="25">
        <f t="shared" si="0"/>
        <v>349</v>
      </c>
    </row>
    <row r="20" spans="1:4" x14ac:dyDescent="0.2">
      <c r="A20" s="10">
        <v>15</v>
      </c>
      <c r="B20" s="11">
        <v>56053</v>
      </c>
      <c r="C20" s="11">
        <v>59448</v>
      </c>
      <c r="D20" s="25">
        <f t="shared" si="0"/>
        <v>3395</v>
      </c>
    </row>
    <row r="21" spans="1:4" x14ac:dyDescent="0.2">
      <c r="A21" s="10">
        <v>16</v>
      </c>
      <c r="B21" s="11">
        <v>62374</v>
      </c>
      <c r="C21" s="11">
        <v>63447</v>
      </c>
      <c r="D21" s="25">
        <f t="shared" si="0"/>
        <v>1073</v>
      </c>
    </row>
    <row r="22" spans="1:4" x14ac:dyDescent="0.2">
      <c r="A22" s="10">
        <v>17</v>
      </c>
      <c r="B22" s="11">
        <v>61677</v>
      </c>
      <c r="C22" s="11">
        <v>61277</v>
      </c>
      <c r="D22" s="25">
        <f t="shared" si="0"/>
        <v>-400</v>
      </c>
    </row>
    <row r="23" spans="1:4" x14ac:dyDescent="0.2">
      <c r="A23" s="10">
        <v>18</v>
      </c>
      <c r="B23" s="11">
        <v>60811</v>
      </c>
      <c r="C23" s="11">
        <v>60711</v>
      </c>
      <c r="D23" s="25">
        <f t="shared" si="0"/>
        <v>-100</v>
      </c>
    </row>
    <row r="24" spans="1:4" x14ac:dyDescent="0.2">
      <c r="A24" s="10">
        <v>19</v>
      </c>
      <c r="B24" s="11">
        <v>60896</v>
      </c>
      <c r="C24" s="11">
        <v>60711</v>
      </c>
      <c r="D24" s="25">
        <f t="shared" si="0"/>
        <v>-185</v>
      </c>
    </row>
    <row r="25" spans="1:4" x14ac:dyDescent="0.2">
      <c r="A25" s="10">
        <v>20</v>
      </c>
      <c r="B25" s="11">
        <v>60946</v>
      </c>
      <c r="C25" s="11">
        <v>60636</v>
      </c>
      <c r="D25" s="25">
        <f t="shared" si="0"/>
        <v>-310</v>
      </c>
    </row>
    <row r="26" spans="1:4" x14ac:dyDescent="0.2">
      <c r="A26" s="10">
        <v>21</v>
      </c>
      <c r="B26" s="11">
        <v>61474</v>
      </c>
      <c r="C26" s="11">
        <v>63821</v>
      </c>
      <c r="D26" s="25">
        <f t="shared" si="0"/>
        <v>2347</v>
      </c>
    </row>
    <row r="27" spans="1:4" x14ac:dyDescent="0.2">
      <c r="A27" s="10">
        <v>22</v>
      </c>
      <c r="B27" s="11">
        <v>48657</v>
      </c>
      <c r="C27" s="11">
        <v>48609</v>
      </c>
      <c r="D27" s="25">
        <f t="shared" si="0"/>
        <v>-48</v>
      </c>
    </row>
    <row r="28" spans="1:4" x14ac:dyDescent="0.2">
      <c r="A28" s="10">
        <v>23</v>
      </c>
      <c r="B28" s="11">
        <v>59613</v>
      </c>
      <c r="C28" s="11">
        <v>60860</v>
      </c>
      <c r="D28" s="25">
        <f t="shared" si="0"/>
        <v>1247</v>
      </c>
    </row>
    <row r="29" spans="1:4" x14ac:dyDescent="0.2">
      <c r="A29" s="10">
        <v>24</v>
      </c>
      <c r="B29" s="11">
        <v>63878</v>
      </c>
      <c r="C29" s="11">
        <v>65031</v>
      </c>
      <c r="D29" s="25">
        <f t="shared" si="0"/>
        <v>1153</v>
      </c>
    </row>
    <row r="30" spans="1:4" x14ac:dyDescent="0.2">
      <c r="A30" s="10">
        <v>25</v>
      </c>
      <c r="B30" s="11">
        <v>50648</v>
      </c>
      <c r="C30" s="11">
        <v>51858</v>
      </c>
      <c r="D30" s="25">
        <f t="shared" si="0"/>
        <v>1210</v>
      </c>
    </row>
    <row r="31" spans="1:4" x14ac:dyDescent="0.2">
      <c r="A31" s="10">
        <v>26</v>
      </c>
      <c r="B31" s="11">
        <v>52883</v>
      </c>
      <c r="C31" s="11">
        <v>52171</v>
      </c>
      <c r="D31" s="25">
        <f t="shared" si="0"/>
        <v>-712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1568949</v>
      </c>
      <c r="C37" s="11">
        <f>SUM(C6:C36)</f>
        <v>1571682</v>
      </c>
      <c r="D37" s="25">
        <f>SUM(D6:D36)</f>
        <v>2733</v>
      </c>
    </row>
    <row r="38" spans="1:4" x14ac:dyDescent="0.2">
      <c r="A38" s="26"/>
      <c r="C38" s="14"/>
      <c r="D38" s="345">
        <f>+summary!H5</f>
        <v>2.93</v>
      </c>
    </row>
    <row r="39" spans="1:4" x14ac:dyDescent="0.2">
      <c r="D39" s="138">
        <f>+D38*D37</f>
        <v>8007.6900000000005</v>
      </c>
    </row>
    <row r="40" spans="1:4" x14ac:dyDescent="0.2">
      <c r="A40" s="57">
        <v>37103</v>
      </c>
      <c r="C40" s="15"/>
      <c r="D40" s="368">
        <v>0</v>
      </c>
    </row>
    <row r="41" spans="1:4" x14ac:dyDescent="0.2">
      <c r="A41" s="57">
        <v>37129</v>
      </c>
      <c r="C41" s="48"/>
      <c r="D41" s="138">
        <f>+D40+D39</f>
        <v>8007.6900000000005</v>
      </c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53363</v>
      </c>
    </row>
    <row r="47" spans="1:4" x14ac:dyDescent="0.2">
      <c r="A47" s="49">
        <f>+A41</f>
        <v>37129</v>
      </c>
      <c r="B47" s="32"/>
      <c r="C47" s="32"/>
      <c r="D47" s="379">
        <f>+D37</f>
        <v>2733</v>
      </c>
    </row>
    <row r="48" spans="1:4" x14ac:dyDescent="0.2">
      <c r="A48" s="32"/>
      <c r="B48" s="32"/>
      <c r="C48" s="32"/>
      <c r="D48" s="14">
        <f>+D47+D46</f>
        <v>56096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1" workbookViewId="3">
      <selection activeCell="D31" sqref="D31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138</v>
      </c>
      <c r="C3" s="87"/>
      <c r="D3" s="87"/>
      <c r="E3" s="87"/>
    </row>
    <row r="4" spans="1:13" x14ac:dyDescent="0.2">
      <c r="A4" s="3"/>
      <c r="B4" s="347" t="s">
        <v>139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-2001</v>
      </c>
      <c r="C6" s="11">
        <v>-2139</v>
      </c>
      <c r="D6" s="25">
        <f>+C6-B6</f>
        <v>-138</v>
      </c>
    </row>
    <row r="7" spans="1:13" x14ac:dyDescent="0.2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13" x14ac:dyDescent="0.2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13" x14ac:dyDescent="0.2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13" x14ac:dyDescent="0.2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13" x14ac:dyDescent="0.2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13" x14ac:dyDescent="0.2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13" x14ac:dyDescent="0.2">
      <c r="A13" s="10">
        <v>8</v>
      </c>
      <c r="B13" s="11">
        <v>-1968</v>
      </c>
      <c r="C13" s="11">
        <v>-2139</v>
      </c>
      <c r="D13" s="25">
        <f t="shared" si="0"/>
        <v>-171</v>
      </c>
      <c r="H13" s="118"/>
      <c r="I13" s="34"/>
      <c r="J13" s="34"/>
      <c r="K13" s="189"/>
      <c r="L13" s="467" t="s">
        <v>197</v>
      </c>
      <c r="M13" s="189"/>
    </row>
    <row r="14" spans="1:13" x14ac:dyDescent="0.2">
      <c r="A14" s="10">
        <v>9</v>
      </c>
      <c r="B14" s="11">
        <v>-76</v>
      </c>
      <c r="C14" s="11">
        <v>-711</v>
      </c>
      <c r="D14" s="25">
        <f t="shared" si="0"/>
        <v>-635</v>
      </c>
      <c r="H14" s="118" t="s">
        <v>40</v>
      </c>
      <c r="I14" s="468" t="s">
        <v>20</v>
      </c>
      <c r="J14" s="468" t="s">
        <v>21</v>
      </c>
      <c r="K14" s="469" t="s">
        <v>51</v>
      </c>
      <c r="L14" s="467" t="s">
        <v>16</v>
      </c>
      <c r="M14" s="189" t="s">
        <v>28</v>
      </c>
    </row>
    <row r="15" spans="1:13" x14ac:dyDescent="0.2">
      <c r="A15" s="10">
        <v>10</v>
      </c>
      <c r="B15" s="11">
        <v>-800</v>
      </c>
      <c r="C15" s="11">
        <v>-2139</v>
      </c>
      <c r="D15" s="25">
        <f t="shared" si="0"/>
        <v>-1339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-1249</v>
      </c>
      <c r="C16" s="11">
        <v>-2139</v>
      </c>
      <c r="D16" s="25">
        <f t="shared" si="0"/>
        <v>-890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67">
        <v>8.2100000000000009</v>
      </c>
      <c r="M16" s="472">
        <f t="shared" ref="M16:M22" si="2">+L16*K16</f>
        <v>-148748.78000000003</v>
      </c>
    </row>
    <row r="17" spans="1:15" x14ac:dyDescent="0.2">
      <c r="A17" s="10">
        <v>12</v>
      </c>
      <c r="B17" s="11">
        <v>-1989</v>
      </c>
      <c r="C17" s="11">
        <v>-2139</v>
      </c>
      <c r="D17" s="25">
        <f t="shared" si="0"/>
        <v>-150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67">
        <v>5.62</v>
      </c>
      <c r="M17" s="472">
        <f t="shared" si="2"/>
        <v>-91100.2</v>
      </c>
    </row>
    <row r="18" spans="1:15" x14ac:dyDescent="0.2">
      <c r="A18" s="10">
        <v>13</v>
      </c>
      <c r="B18" s="11">
        <v>-1956</v>
      </c>
      <c r="C18" s="11">
        <v>-2139</v>
      </c>
      <c r="D18" s="25">
        <f t="shared" si="0"/>
        <v>-183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67">
        <v>4.9800000000000004</v>
      </c>
      <c r="M18" s="472">
        <f t="shared" si="2"/>
        <v>-118748.1</v>
      </c>
    </row>
    <row r="19" spans="1:15" x14ac:dyDescent="0.2">
      <c r="A19" s="10">
        <v>14</v>
      </c>
      <c r="B19" s="11">
        <v>-1952</v>
      </c>
      <c r="C19" s="11">
        <v>-2139</v>
      </c>
      <c r="D19" s="25">
        <f t="shared" si="0"/>
        <v>-187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67">
        <v>4.87</v>
      </c>
      <c r="M19" s="472">
        <f t="shared" si="2"/>
        <v>63012.93</v>
      </c>
      <c r="O19" s="267"/>
    </row>
    <row r="20" spans="1:15" x14ac:dyDescent="0.2">
      <c r="A20" s="10">
        <v>15</v>
      </c>
      <c r="B20" s="11">
        <v>-1924</v>
      </c>
      <c r="C20" s="11">
        <v>-2139</v>
      </c>
      <c r="D20" s="25">
        <f t="shared" si="0"/>
        <v>-215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67">
        <v>3.82</v>
      </c>
      <c r="M20" s="472">
        <f t="shared" si="2"/>
        <v>32531.119999999999</v>
      </c>
    </row>
    <row r="21" spans="1:15" x14ac:dyDescent="0.2">
      <c r="A21" s="10">
        <v>16</v>
      </c>
      <c r="B21" s="11">
        <v>-530</v>
      </c>
      <c r="C21" s="11">
        <v>-2250</v>
      </c>
      <c r="D21" s="25">
        <f t="shared" si="0"/>
        <v>-1720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67">
        <v>3.2</v>
      </c>
      <c r="M21" s="472">
        <f t="shared" si="2"/>
        <v>-47644.800000000003</v>
      </c>
    </row>
    <row r="22" spans="1:15" x14ac:dyDescent="0.2">
      <c r="A22" s="10">
        <v>17</v>
      </c>
      <c r="B22" s="11">
        <v>-528</v>
      </c>
      <c r="C22" s="11">
        <v>-2139</v>
      </c>
      <c r="D22" s="25">
        <f t="shared" si="0"/>
        <v>-1611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67">
        <v>2.77</v>
      </c>
      <c r="M22" s="473">
        <f t="shared" si="2"/>
        <v>-43139.98</v>
      </c>
    </row>
    <row r="23" spans="1:15" ht="13.5" thickBot="1" x14ac:dyDescent="0.25">
      <c r="A23" s="10">
        <v>18</v>
      </c>
      <c r="B23" s="11">
        <v>-1187</v>
      </c>
      <c r="C23" s="11">
        <v>-2139</v>
      </c>
      <c r="D23" s="25">
        <f t="shared" si="0"/>
        <v>-952</v>
      </c>
      <c r="H23" s="34"/>
      <c r="I23" s="119"/>
      <c r="J23" s="119"/>
      <c r="K23" s="119"/>
      <c r="L23" s="470"/>
      <c r="M23" s="471">
        <f>SUM(M16:M22)</f>
        <v>-353837.81000000006</v>
      </c>
      <c r="O23" s="267"/>
    </row>
    <row r="24" spans="1:15" ht="13.5" thickTop="1" x14ac:dyDescent="0.2">
      <c r="A24" s="10">
        <v>19</v>
      </c>
      <c r="B24" s="11">
        <v>-1956</v>
      </c>
      <c r="C24" s="11">
        <v>-1979</v>
      </c>
      <c r="D24" s="25">
        <f t="shared" si="0"/>
        <v>-23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-2023</v>
      </c>
      <c r="C25" s="11">
        <v>-625</v>
      </c>
      <c r="D25" s="25">
        <f t="shared" si="0"/>
        <v>1398</v>
      </c>
    </row>
    <row r="26" spans="1:15" x14ac:dyDescent="0.2">
      <c r="A26" s="10">
        <v>21</v>
      </c>
      <c r="B26" s="11">
        <v>-1961</v>
      </c>
      <c r="C26" s="11">
        <v>-2139</v>
      </c>
      <c r="D26" s="25">
        <f t="shared" si="0"/>
        <v>-178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-1992</v>
      </c>
      <c r="C27" s="11">
        <v>-2139</v>
      </c>
      <c r="D27" s="25">
        <f t="shared" si="0"/>
        <v>-147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-78</v>
      </c>
      <c r="C28" s="11">
        <v>-2139</v>
      </c>
      <c r="D28" s="25">
        <f t="shared" si="0"/>
        <v>-2061</v>
      </c>
    </row>
    <row r="29" spans="1:15" x14ac:dyDescent="0.2">
      <c r="A29" s="10">
        <v>24</v>
      </c>
      <c r="B29" s="11">
        <v>-566</v>
      </c>
      <c r="C29" s="11">
        <v>-714</v>
      </c>
      <c r="D29" s="25">
        <f t="shared" si="0"/>
        <v>-148</v>
      </c>
    </row>
    <row r="30" spans="1:15" x14ac:dyDescent="0.2">
      <c r="A30" s="10">
        <v>25</v>
      </c>
      <c r="B30" s="11">
        <v>-1350</v>
      </c>
      <c r="C30" s="11">
        <v>-714</v>
      </c>
      <c r="D30" s="25">
        <f t="shared" si="0"/>
        <v>636</v>
      </c>
    </row>
    <row r="31" spans="1:15" x14ac:dyDescent="0.2">
      <c r="A31" s="10">
        <v>26</v>
      </c>
      <c r="B31" s="11">
        <v>-2060</v>
      </c>
      <c r="C31" s="11">
        <v>-714</v>
      </c>
      <c r="D31" s="25">
        <f t="shared" si="0"/>
        <v>1346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-35255</v>
      </c>
      <c r="C37" s="11">
        <f>SUM(C6:C36)</f>
        <v>-49604</v>
      </c>
      <c r="D37" s="25">
        <f>SUM(D6:D36)</f>
        <v>-14349</v>
      </c>
    </row>
    <row r="38" spans="1:4" x14ac:dyDescent="0.2">
      <c r="A38" s="26"/>
      <c r="C38" s="14"/>
      <c r="D38" s="345">
        <f>+summary!H4</f>
        <v>2.84</v>
      </c>
    </row>
    <row r="39" spans="1:4" x14ac:dyDescent="0.2">
      <c r="D39" s="138">
        <f>+D38*D37</f>
        <v>-40751.159999999996</v>
      </c>
    </row>
    <row r="40" spans="1:4" x14ac:dyDescent="0.2">
      <c r="A40" s="57">
        <v>37103</v>
      </c>
      <c r="C40" s="15"/>
      <c r="D40" s="359">
        <v>-394244.14</v>
      </c>
    </row>
    <row r="41" spans="1:4" x14ac:dyDescent="0.2">
      <c r="A41" s="57">
        <v>37129</v>
      </c>
      <c r="C41" s="48"/>
      <c r="D41" s="138">
        <f>+D40+D39</f>
        <v>-434995.3</v>
      </c>
    </row>
    <row r="47" spans="1:4" x14ac:dyDescent="0.2">
      <c r="A47" s="32" t="s">
        <v>157</v>
      </c>
      <c r="B47" s="32"/>
      <c r="C47" s="32"/>
      <c r="D47" s="32"/>
    </row>
    <row r="48" spans="1:4" x14ac:dyDescent="0.2">
      <c r="A48" s="49">
        <f>+A40</f>
        <v>37103</v>
      </c>
      <c r="B48" s="32"/>
      <c r="C48" s="32"/>
      <c r="D48" s="212">
        <v>-68282</v>
      </c>
    </row>
    <row r="49" spans="1:4" x14ac:dyDescent="0.2">
      <c r="A49" s="49">
        <f>+A41</f>
        <v>37129</v>
      </c>
      <c r="B49" s="32"/>
      <c r="C49" s="32"/>
      <c r="D49" s="379">
        <f>+D37</f>
        <v>-14349</v>
      </c>
    </row>
    <row r="50" spans="1:4" x14ac:dyDescent="0.2">
      <c r="A50" s="32"/>
      <c r="B50" s="32"/>
      <c r="C50" s="32"/>
      <c r="D50" s="14">
        <f>+D49+D48</f>
        <v>-82631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6" workbookViewId="3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144</v>
      </c>
      <c r="C3" s="87"/>
      <c r="D3" s="87"/>
    </row>
    <row r="4" spans="1:4" x14ac:dyDescent="0.2">
      <c r="A4" s="3"/>
      <c r="B4" s="347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">
      <c r="A12" s="10">
        <v>7</v>
      </c>
      <c r="B12" s="11">
        <v>-97070</v>
      </c>
      <c r="C12" s="11">
        <v>-108743</v>
      </c>
      <c r="D12" s="25">
        <f t="shared" si="0"/>
        <v>-11673</v>
      </c>
    </row>
    <row r="13" spans="1:4" x14ac:dyDescent="0.2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">
      <c r="A17" s="10">
        <v>12</v>
      </c>
      <c r="B17" s="11">
        <v>-13135</v>
      </c>
      <c r="C17" s="11">
        <v>-20000</v>
      </c>
      <c r="D17" s="25">
        <f t="shared" si="0"/>
        <v>-6865</v>
      </c>
    </row>
    <row r="18" spans="1:4" x14ac:dyDescent="0.2">
      <c r="A18" s="10">
        <v>13</v>
      </c>
      <c r="B18" s="11">
        <v>-60483</v>
      </c>
      <c r="C18" s="11">
        <v>-29781</v>
      </c>
      <c r="D18" s="25">
        <f t="shared" si="0"/>
        <v>30702</v>
      </c>
    </row>
    <row r="19" spans="1:4" x14ac:dyDescent="0.2">
      <c r="A19" s="10">
        <v>14</v>
      </c>
      <c r="B19" s="11">
        <v>-57710</v>
      </c>
      <c r="C19" s="11">
        <v>-79525</v>
      </c>
      <c r="D19" s="25">
        <f t="shared" si="0"/>
        <v>-21815</v>
      </c>
    </row>
    <row r="20" spans="1:4" x14ac:dyDescent="0.2">
      <c r="A20" s="10">
        <v>15</v>
      </c>
      <c r="B20" s="11">
        <v>-92681</v>
      </c>
      <c r="C20" s="11">
        <v>-85129</v>
      </c>
      <c r="D20" s="25">
        <f t="shared" si="0"/>
        <v>7552</v>
      </c>
    </row>
    <row r="21" spans="1:4" x14ac:dyDescent="0.2">
      <c r="A21" s="10">
        <v>16</v>
      </c>
      <c r="B21" s="11">
        <v>-99516</v>
      </c>
      <c r="C21" s="11">
        <v>-74859</v>
      </c>
      <c r="D21" s="25">
        <f t="shared" si="0"/>
        <v>24657</v>
      </c>
    </row>
    <row r="22" spans="1:4" x14ac:dyDescent="0.2">
      <c r="A22" s="10">
        <v>17</v>
      </c>
      <c r="B22" s="11">
        <v>-32937</v>
      </c>
      <c r="C22" s="11">
        <v>-30000</v>
      </c>
      <c r="D22" s="25">
        <f t="shared" si="0"/>
        <v>2937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>
        <v>-5244</v>
      </c>
      <c r="D25" s="25">
        <f t="shared" si="0"/>
        <v>-5244</v>
      </c>
    </row>
    <row r="26" spans="1:4" x14ac:dyDescent="0.2">
      <c r="A26" s="10">
        <v>21</v>
      </c>
      <c r="B26" s="11">
        <v>-188</v>
      </c>
      <c r="C26" s="11">
        <v>-4252</v>
      </c>
      <c r="D26" s="25">
        <f t="shared" si="0"/>
        <v>-4064</v>
      </c>
    </row>
    <row r="27" spans="1:4" x14ac:dyDescent="0.2">
      <c r="A27" s="10">
        <v>22</v>
      </c>
      <c r="B27" s="11">
        <v>-7</v>
      </c>
      <c r="C27" s="11"/>
      <c r="D27" s="25">
        <f t="shared" si="0"/>
        <v>7</v>
      </c>
    </row>
    <row r="28" spans="1:4" x14ac:dyDescent="0.2">
      <c r="A28" s="10">
        <v>23</v>
      </c>
      <c r="B28" s="11">
        <v>-12322</v>
      </c>
      <c r="C28" s="11">
        <v>-22851</v>
      </c>
      <c r="D28" s="25">
        <f t="shared" si="0"/>
        <v>-10529</v>
      </c>
    </row>
    <row r="29" spans="1:4" x14ac:dyDescent="0.2">
      <c r="A29" s="10">
        <v>24</v>
      </c>
      <c r="B29" s="11">
        <v>-40282</v>
      </c>
      <c r="C29" s="11">
        <v>-37582</v>
      </c>
      <c r="D29" s="25">
        <f t="shared" si="0"/>
        <v>2700</v>
      </c>
    </row>
    <row r="30" spans="1:4" x14ac:dyDescent="0.2">
      <c r="A30" s="10">
        <v>25</v>
      </c>
      <c r="B30" s="11">
        <v>-46817</v>
      </c>
      <c r="C30" s="11">
        <v>-42731</v>
      </c>
      <c r="D30" s="25">
        <f t="shared" si="0"/>
        <v>4086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-849479</v>
      </c>
      <c r="C37" s="11">
        <f>SUM(C6:C36)</f>
        <v>-800339</v>
      </c>
      <c r="D37" s="25">
        <f>SUM(D6:D36)</f>
        <v>49140</v>
      </c>
    </row>
    <row r="38" spans="1:4" x14ac:dyDescent="0.2">
      <c r="A38" s="26"/>
      <c r="C38" s="14"/>
      <c r="D38" s="345">
        <f>+summary!H4</f>
        <v>2.84</v>
      </c>
    </row>
    <row r="39" spans="1:4" x14ac:dyDescent="0.2">
      <c r="D39" s="138">
        <f>+D38*D37</f>
        <v>139557.6</v>
      </c>
    </row>
    <row r="40" spans="1:4" x14ac:dyDescent="0.2">
      <c r="A40" s="57">
        <v>37103</v>
      </c>
      <c r="C40" s="15"/>
      <c r="D40" s="359">
        <v>-351170.32</v>
      </c>
    </row>
    <row r="41" spans="1:4" x14ac:dyDescent="0.2">
      <c r="A41" s="57">
        <v>37128</v>
      </c>
      <c r="C41" s="48"/>
      <c r="D41" s="138">
        <f>+D40+D39</f>
        <v>-211612.72</v>
      </c>
    </row>
    <row r="42" spans="1:4" x14ac:dyDescent="0.2">
      <c r="D42" s="24"/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-150287</v>
      </c>
    </row>
    <row r="47" spans="1:4" x14ac:dyDescent="0.2">
      <c r="A47" s="49">
        <f>+A41</f>
        <v>37128</v>
      </c>
      <c r="B47" s="32"/>
      <c r="C47" s="32"/>
      <c r="D47" s="379">
        <f>+D37</f>
        <v>49140</v>
      </c>
    </row>
    <row r="48" spans="1:4" x14ac:dyDescent="0.2">
      <c r="A48" s="32"/>
      <c r="B48" s="32"/>
      <c r="C48" s="32"/>
      <c r="D48" s="14">
        <f>+D47+D46</f>
        <v>-101147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2">
        <v>-26177</v>
      </c>
      <c r="C5" s="90">
        <v>-2925</v>
      </c>
      <c r="D5" s="90">
        <f>+C5-B5</f>
        <v>23252</v>
      </c>
      <c r="E5" s="285"/>
      <c r="F5" s="283"/>
    </row>
    <row r="6" spans="1:13" x14ac:dyDescent="0.2">
      <c r="A6" s="87">
        <v>500046</v>
      </c>
      <c r="B6" s="90">
        <v>-584</v>
      </c>
      <c r="C6" s="90"/>
      <c r="D6" s="90">
        <f t="shared" ref="D6:D11" si="0">+C6-B6</f>
        <v>584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23836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2.84</v>
      </c>
      <c r="E13" s="287"/>
      <c r="F13" s="283"/>
    </row>
    <row r="14" spans="1:13" x14ac:dyDescent="0.2">
      <c r="A14" s="87"/>
      <c r="B14" s="88"/>
      <c r="C14" s="88"/>
      <c r="D14" s="96">
        <f>+D13*D12</f>
        <v>67694.239999999991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37103</v>
      </c>
      <c r="B16" s="88"/>
      <c r="C16" s="88"/>
      <c r="D16" s="452">
        <v>-856340.66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37128</v>
      </c>
      <c r="B18" s="88"/>
      <c r="C18" s="88"/>
      <c r="D18" s="334">
        <f>+D16+D14</f>
        <v>-788646.42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157</v>
      </c>
      <c r="B21" s="32"/>
      <c r="C21" s="32"/>
      <c r="D21" s="32"/>
    </row>
    <row r="22" spans="1:7" x14ac:dyDescent="0.2">
      <c r="A22" s="49">
        <f>+A16</f>
        <v>37103</v>
      </c>
      <c r="B22" s="32"/>
      <c r="C22" s="32"/>
      <c r="D22" s="212">
        <v>-187753</v>
      </c>
    </row>
    <row r="23" spans="1:7" x14ac:dyDescent="0.2">
      <c r="A23" s="49">
        <f>+A18</f>
        <v>37128</v>
      </c>
      <c r="B23" s="32"/>
      <c r="C23" s="32"/>
      <c r="D23" s="379">
        <f>+D12</f>
        <v>23836</v>
      </c>
    </row>
    <row r="24" spans="1:7" x14ac:dyDescent="0.2">
      <c r="A24" s="32"/>
      <c r="B24" s="32"/>
      <c r="C24" s="32"/>
      <c r="D24" s="14">
        <f>+D23+D22</f>
        <v>-163917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6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147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>
        <v>-4</v>
      </c>
      <c r="C21" s="11"/>
      <c r="D21" s="25">
        <f t="shared" si="0"/>
        <v>4</v>
      </c>
    </row>
    <row r="22" spans="1:4" x14ac:dyDescent="0.2">
      <c r="A22" s="10">
        <v>17</v>
      </c>
      <c r="B22" s="11">
        <v>-1</v>
      </c>
      <c r="C22" s="11"/>
      <c r="D22" s="25">
        <f t="shared" si="0"/>
        <v>1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</v>
      </c>
      <c r="C37" s="11">
        <f>SUM(C6:C36)</f>
        <v>-11840</v>
      </c>
      <c r="D37" s="25">
        <f>SUM(D6:D36)</f>
        <v>-11835</v>
      </c>
    </row>
    <row r="38" spans="1:4" x14ac:dyDescent="0.2">
      <c r="A38" s="26"/>
      <c r="C38" s="14"/>
      <c r="D38" s="360"/>
    </row>
    <row r="39" spans="1:4" x14ac:dyDescent="0.2">
      <c r="D39" s="138"/>
    </row>
    <row r="40" spans="1:4" x14ac:dyDescent="0.2">
      <c r="A40" s="57">
        <v>37103</v>
      </c>
      <c r="C40" s="15"/>
      <c r="D40" s="439">
        <v>76325</v>
      </c>
    </row>
    <row r="41" spans="1:4" x14ac:dyDescent="0.2">
      <c r="A41" s="57">
        <v>37129</v>
      </c>
      <c r="C41" s="48"/>
      <c r="D41" s="25">
        <f>+D40+D37</f>
        <v>64490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+A40</f>
        <v>37103</v>
      </c>
      <c r="B45" s="32"/>
      <c r="C45" s="32"/>
      <c r="D45" s="440">
        <v>341220.3</v>
      </c>
    </row>
    <row r="46" spans="1:4" x14ac:dyDescent="0.2">
      <c r="A46" s="49">
        <f>+A41</f>
        <v>37129</v>
      </c>
      <c r="B46" s="32"/>
      <c r="C46" s="32"/>
      <c r="D46" s="408">
        <f>+D37*'by type'!J4</f>
        <v>-33611.4</v>
      </c>
    </row>
    <row r="47" spans="1:4" x14ac:dyDescent="0.2">
      <c r="A47" s="32"/>
      <c r="B47" s="32"/>
      <c r="C47" s="32"/>
      <c r="D47" s="202">
        <f>+D46+D45</f>
        <v>307608.89999999997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D32" sqref="D32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">
      <c r="A18" s="10">
        <v>12</v>
      </c>
      <c r="B18" s="11">
        <v>111233</v>
      </c>
      <c r="C18" s="11">
        <v>110704</v>
      </c>
      <c r="D18" s="25">
        <f t="shared" si="0"/>
        <v>-529</v>
      </c>
    </row>
    <row r="19" spans="1:4" x14ac:dyDescent="0.2">
      <c r="A19" s="10">
        <v>13</v>
      </c>
      <c r="B19" s="11">
        <v>119896</v>
      </c>
      <c r="C19" s="11">
        <v>119795</v>
      </c>
      <c r="D19" s="25">
        <f t="shared" si="0"/>
        <v>-101</v>
      </c>
    </row>
    <row r="20" spans="1:4" x14ac:dyDescent="0.2">
      <c r="A20" s="10">
        <v>14</v>
      </c>
      <c r="B20" s="11">
        <v>112667</v>
      </c>
      <c r="C20" s="11">
        <v>112310</v>
      </c>
      <c r="D20" s="25">
        <f t="shared" si="0"/>
        <v>-357</v>
      </c>
    </row>
    <row r="21" spans="1:4" x14ac:dyDescent="0.2">
      <c r="A21" s="10">
        <v>15</v>
      </c>
      <c r="B21" s="11">
        <v>108935</v>
      </c>
      <c r="C21" s="11">
        <v>108429</v>
      </c>
      <c r="D21" s="25">
        <f t="shared" si="0"/>
        <v>-506</v>
      </c>
    </row>
    <row r="22" spans="1:4" x14ac:dyDescent="0.2">
      <c r="A22" s="10">
        <v>16</v>
      </c>
      <c r="B22" s="11">
        <v>107432</v>
      </c>
      <c r="C22" s="11">
        <v>107294</v>
      </c>
      <c r="D22" s="25">
        <f t="shared" si="0"/>
        <v>-138</v>
      </c>
    </row>
    <row r="23" spans="1:4" x14ac:dyDescent="0.2">
      <c r="A23" s="10">
        <v>17</v>
      </c>
      <c r="B23" s="11">
        <v>108973</v>
      </c>
      <c r="C23" s="11">
        <v>108429</v>
      </c>
      <c r="D23" s="25">
        <f t="shared" si="0"/>
        <v>-544</v>
      </c>
    </row>
    <row r="24" spans="1:4" x14ac:dyDescent="0.2">
      <c r="A24" s="10">
        <v>18</v>
      </c>
      <c r="B24" s="11">
        <v>105972</v>
      </c>
      <c r="C24" s="11">
        <v>105750</v>
      </c>
      <c r="D24" s="25">
        <f t="shared" si="0"/>
        <v>-222</v>
      </c>
    </row>
    <row r="25" spans="1:4" x14ac:dyDescent="0.2">
      <c r="A25" s="10">
        <v>19</v>
      </c>
      <c r="B25" s="11">
        <v>106485</v>
      </c>
      <c r="C25" s="11">
        <v>106082</v>
      </c>
      <c r="D25" s="25">
        <f t="shared" si="0"/>
        <v>-403</v>
      </c>
    </row>
    <row r="26" spans="1:4" x14ac:dyDescent="0.2">
      <c r="A26" s="10">
        <v>20</v>
      </c>
      <c r="B26" s="11">
        <v>97063</v>
      </c>
      <c r="C26" s="11">
        <v>94980</v>
      </c>
      <c r="D26" s="25">
        <f t="shared" si="0"/>
        <v>-2083</v>
      </c>
    </row>
    <row r="27" spans="1:4" x14ac:dyDescent="0.2">
      <c r="A27" s="10">
        <v>21</v>
      </c>
      <c r="B27" s="11">
        <v>91009</v>
      </c>
      <c r="C27" s="11">
        <v>90233</v>
      </c>
      <c r="D27" s="25">
        <f t="shared" si="0"/>
        <v>-776</v>
      </c>
    </row>
    <row r="28" spans="1:4" x14ac:dyDescent="0.2">
      <c r="A28" s="10">
        <v>22</v>
      </c>
      <c r="B28" s="11">
        <v>120835</v>
      </c>
      <c r="C28" s="11">
        <v>120080</v>
      </c>
      <c r="D28" s="25">
        <f t="shared" si="0"/>
        <v>-755</v>
      </c>
    </row>
    <row r="29" spans="1:4" x14ac:dyDescent="0.2">
      <c r="A29" s="10">
        <v>23</v>
      </c>
      <c r="B29" s="11">
        <v>119482</v>
      </c>
      <c r="C29" s="11">
        <v>118456</v>
      </c>
      <c r="D29" s="25">
        <f t="shared" si="0"/>
        <v>-1026</v>
      </c>
    </row>
    <row r="30" spans="1:4" x14ac:dyDescent="0.2">
      <c r="A30" s="10">
        <v>24</v>
      </c>
      <c r="B30" s="11">
        <v>116376</v>
      </c>
      <c r="C30" s="11">
        <v>114885</v>
      </c>
      <c r="D30" s="25">
        <f t="shared" si="0"/>
        <v>-1491</v>
      </c>
    </row>
    <row r="31" spans="1:4" x14ac:dyDescent="0.2">
      <c r="A31" s="10">
        <v>25</v>
      </c>
      <c r="B31" s="11">
        <v>127730</v>
      </c>
      <c r="C31" s="11">
        <v>128419</v>
      </c>
      <c r="D31" s="25">
        <f t="shared" si="0"/>
        <v>689</v>
      </c>
    </row>
    <row r="32" spans="1:4" x14ac:dyDescent="0.2">
      <c r="A32" s="10">
        <v>26</v>
      </c>
      <c r="B32" s="11">
        <v>137820</v>
      </c>
      <c r="C32" s="11">
        <v>139153</v>
      </c>
      <c r="D32" s="25">
        <f t="shared" si="0"/>
        <v>1333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2942938</v>
      </c>
      <c r="C38" s="11">
        <f>SUM(C7:C37)</f>
        <v>2959632</v>
      </c>
      <c r="D38" s="11">
        <f>SUM(D7:D37)</f>
        <v>16694</v>
      </c>
    </row>
    <row r="39" spans="1:4" x14ac:dyDescent="0.2">
      <c r="A39" s="26"/>
      <c r="C39" s="14"/>
      <c r="D39" s="106">
        <f>+summary!H3</f>
        <v>2.66</v>
      </c>
    </row>
    <row r="40" spans="1:4" x14ac:dyDescent="0.2">
      <c r="D40" s="138">
        <f>+D39*D38</f>
        <v>44406.04</v>
      </c>
    </row>
    <row r="41" spans="1:4" x14ac:dyDescent="0.2">
      <c r="A41" s="57">
        <v>37103</v>
      </c>
      <c r="C41" s="15"/>
      <c r="D41" s="370">
        <v>-36642</v>
      </c>
    </row>
    <row r="42" spans="1:4" x14ac:dyDescent="0.2">
      <c r="A42" s="57">
        <v>37129</v>
      </c>
      <c r="D42" s="337">
        <f>+D41+D40</f>
        <v>7764.0400000000009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+A41</f>
        <v>37103</v>
      </c>
      <c r="B47" s="32"/>
      <c r="C47" s="32"/>
      <c r="D47" s="212">
        <v>-14958</v>
      </c>
    </row>
    <row r="48" spans="1:4" x14ac:dyDescent="0.2">
      <c r="A48" s="49">
        <f>+A42</f>
        <v>37129</v>
      </c>
      <c r="B48" s="32"/>
      <c r="C48" s="32"/>
      <c r="D48" s="379">
        <f>+D38</f>
        <v>16694</v>
      </c>
    </row>
    <row r="49" spans="1:4" x14ac:dyDescent="0.2">
      <c r="A49" s="32"/>
      <c r="B49" s="32"/>
      <c r="C49" s="32"/>
      <c r="D49" s="14">
        <f>+D48+D47</f>
        <v>1736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3" workbookViewId="3">
      <selection activeCell="C24" sqref="C24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-57225</v>
      </c>
      <c r="C17" s="11">
        <v>-27000</v>
      </c>
      <c r="D17" s="11"/>
      <c r="E17" s="11">
        <v>-28771</v>
      </c>
      <c r="F17" s="11">
        <f t="shared" si="0"/>
        <v>1454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-88695</v>
      </c>
      <c r="C18" s="11">
        <v>-12000</v>
      </c>
      <c r="D18" s="11"/>
      <c r="E18" s="11">
        <v>-75910</v>
      </c>
      <c r="F18" s="11">
        <f t="shared" si="0"/>
        <v>785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-79069</v>
      </c>
      <c r="C19" s="11">
        <v>-11998</v>
      </c>
      <c r="D19" s="11">
        <v>-23700</v>
      </c>
      <c r="E19" s="11">
        <v>-90257</v>
      </c>
      <c r="F19" s="11">
        <f t="shared" si="0"/>
        <v>514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-46861</v>
      </c>
      <c r="C20" s="11">
        <v>-5000</v>
      </c>
      <c r="D20" s="11">
        <v>-44315</v>
      </c>
      <c r="E20" s="11">
        <v>-84512</v>
      </c>
      <c r="F20" s="11">
        <f t="shared" si="0"/>
        <v>1664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-62441</v>
      </c>
      <c r="C21" s="11"/>
      <c r="D21" s="11"/>
      <c r="E21" s="11">
        <v>-60910</v>
      </c>
      <c r="F21" s="11">
        <f t="shared" si="0"/>
        <v>1531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-81752</v>
      </c>
      <c r="C22" s="11">
        <v>-48000</v>
      </c>
      <c r="D22" s="11">
        <v>-65196</v>
      </c>
      <c r="E22" s="11">
        <v>-97157</v>
      </c>
      <c r="F22" s="11">
        <f t="shared" si="0"/>
        <v>1791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>
        <v>-76011</v>
      </c>
      <c r="C23" s="11">
        <v>-48000</v>
      </c>
      <c r="D23" s="11">
        <v>-60094</v>
      </c>
      <c r="E23" s="11">
        <v>-88748</v>
      </c>
      <c r="F23" s="11">
        <f t="shared" si="0"/>
        <v>-643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-84945</v>
      </c>
      <c r="C24" s="11">
        <v>-48000</v>
      </c>
      <c r="D24" s="11">
        <v>-68581</v>
      </c>
      <c r="E24" s="11">
        <v>-102023</v>
      </c>
      <c r="F24" s="11">
        <f t="shared" si="0"/>
        <v>3503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>
        <v>-34415</v>
      </c>
      <c r="C25" s="11">
        <v>-30000</v>
      </c>
      <c r="D25" s="11">
        <v>-43468</v>
      </c>
      <c r="E25" s="11">
        <v>-49989</v>
      </c>
      <c r="F25" s="11">
        <f t="shared" si="0"/>
        <v>-2106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>
        <v>-75971</v>
      </c>
      <c r="C26" s="11">
        <v>-37000</v>
      </c>
      <c r="D26" s="11"/>
      <c r="E26" s="11">
        <v>-36910</v>
      </c>
      <c r="F26" s="11">
        <f t="shared" si="0"/>
        <v>2061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>
        <v>-55320</v>
      </c>
      <c r="C27" s="11">
        <v>-21996</v>
      </c>
      <c r="D27" s="11"/>
      <c r="E27" s="11">
        <v>-31910</v>
      </c>
      <c r="F27" s="11">
        <f t="shared" si="0"/>
        <v>1414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>
        <v>-83890</v>
      </c>
      <c r="C28" s="11">
        <v>-16199</v>
      </c>
      <c r="D28" s="11"/>
      <c r="E28" s="11">
        <v>-65075</v>
      </c>
      <c r="F28" s="11">
        <f t="shared" si="0"/>
        <v>2616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>
        <v>-52746</v>
      </c>
      <c r="C29" s="11">
        <v>-12063</v>
      </c>
      <c r="D29" s="11"/>
      <c r="E29" s="11">
        <v>-39275</v>
      </c>
      <c r="F29" s="11">
        <f t="shared" si="0"/>
        <v>1408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-1473845</v>
      </c>
      <c r="C36" s="44">
        <f>SUM(C5:C35)</f>
        <v>-478256</v>
      </c>
      <c r="D36" s="43">
        <f>SUM(D5:D35)</f>
        <v>-305444</v>
      </c>
      <c r="E36" s="44">
        <f>SUM(E5:E35)</f>
        <v>-1269874</v>
      </c>
      <c r="F36" s="11">
        <f>SUM(F5:F35)</f>
        <v>31159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-995589</v>
      </c>
      <c r="D37" s="24"/>
      <c r="E37" s="24">
        <f>+D36-E36</f>
        <v>964430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37128</v>
      </c>
      <c r="C42" s="14"/>
      <c r="D42" s="50"/>
      <c r="E42" s="50"/>
      <c r="F42" s="51">
        <f>+F41+F36</f>
        <v>67498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158</v>
      </c>
      <c r="B46" s="32"/>
      <c r="C46" s="32"/>
      <c r="D46" s="47"/>
    </row>
    <row r="47" spans="1:12" x14ac:dyDescent="0.2">
      <c r="A47" s="49">
        <f>+B41</f>
        <v>37103</v>
      </c>
      <c r="B47" s="32"/>
      <c r="C47" s="32"/>
      <c r="D47" s="202">
        <v>-29968.41</v>
      </c>
    </row>
    <row r="48" spans="1:12" x14ac:dyDescent="0.2">
      <c r="A48" s="49">
        <f>+B42</f>
        <v>37128</v>
      </c>
      <c r="B48" s="32"/>
      <c r="C48" s="32"/>
      <c r="D48" s="408">
        <f>+F36*'by type'!J4</f>
        <v>88491.56</v>
      </c>
    </row>
    <row r="49" spans="1:4" x14ac:dyDescent="0.2">
      <c r="A49" s="32"/>
      <c r="B49" s="32"/>
      <c r="C49" s="32"/>
      <c r="D49" s="202">
        <f>+D48+D47</f>
        <v>58523.149999999994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C30" sqref="C30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-151076</v>
      </c>
      <c r="C4" s="11">
        <v>-150326</v>
      </c>
      <c r="D4" s="25">
        <f>+C4-B4</f>
        <v>750</v>
      </c>
    </row>
    <row r="5" spans="1:4" x14ac:dyDescent="0.2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">
      <c r="A8" s="10">
        <v>5</v>
      </c>
      <c r="B8" s="129">
        <v>-236194</v>
      </c>
      <c r="C8" s="11">
        <v>-235157</v>
      </c>
      <c r="D8" s="25">
        <f t="shared" si="0"/>
        <v>1037</v>
      </c>
    </row>
    <row r="9" spans="1:4" x14ac:dyDescent="0.2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">
      <c r="A16" s="10">
        <v>13</v>
      </c>
      <c r="B16" s="11">
        <v>-180446</v>
      </c>
      <c r="C16" s="11">
        <v>-185322</v>
      </c>
      <c r="D16" s="25">
        <f t="shared" si="0"/>
        <v>-4876</v>
      </c>
    </row>
    <row r="17" spans="1:4" x14ac:dyDescent="0.2">
      <c r="A17" s="10">
        <v>14</v>
      </c>
      <c r="B17" s="11">
        <v>-179929</v>
      </c>
      <c r="C17" s="11">
        <v>-178986</v>
      </c>
      <c r="D17" s="25">
        <f t="shared" si="0"/>
        <v>943</v>
      </c>
    </row>
    <row r="18" spans="1:4" x14ac:dyDescent="0.2">
      <c r="A18" s="10">
        <v>15</v>
      </c>
      <c r="B18" s="11">
        <v>-198888</v>
      </c>
      <c r="C18" s="11">
        <v>-198260</v>
      </c>
      <c r="D18" s="25">
        <f t="shared" si="0"/>
        <v>628</v>
      </c>
    </row>
    <row r="19" spans="1:4" x14ac:dyDescent="0.2">
      <c r="A19" s="10">
        <v>16</v>
      </c>
      <c r="B19" s="11">
        <v>-201390</v>
      </c>
      <c r="C19" s="11">
        <v>-202819</v>
      </c>
      <c r="D19" s="25">
        <f t="shared" si="0"/>
        <v>-1429</v>
      </c>
    </row>
    <row r="20" spans="1:4" x14ac:dyDescent="0.2">
      <c r="A20" s="10">
        <v>17</v>
      </c>
      <c r="B20" s="11">
        <v>-221368</v>
      </c>
      <c r="C20" s="11">
        <v>-219862</v>
      </c>
      <c r="D20" s="25">
        <f t="shared" si="0"/>
        <v>1506</v>
      </c>
    </row>
    <row r="21" spans="1:4" x14ac:dyDescent="0.2">
      <c r="A21" s="10">
        <v>18</v>
      </c>
      <c r="B21" s="11">
        <v>-246242</v>
      </c>
      <c r="C21" s="11">
        <v>-245186</v>
      </c>
      <c r="D21" s="25">
        <f t="shared" si="0"/>
        <v>1056</v>
      </c>
    </row>
    <row r="22" spans="1:4" x14ac:dyDescent="0.2">
      <c r="A22" s="10">
        <v>19</v>
      </c>
      <c r="B22" s="11">
        <v>-212136</v>
      </c>
      <c r="C22" s="11">
        <v>-211394</v>
      </c>
      <c r="D22" s="25">
        <f t="shared" si="0"/>
        <v>742</v>
      </c>
    </row>
    <row r="23" spans="1:4" x14ac:dyDescent="0.2">
      <c r="A23" s="10">
        <v>20</v>
      </c>
      <c r="B23" s="11">
        <v>-189598</v>
      </c>
      <c r="C23" s="11">
        <v>-188009</v>
      </c>
      <c r="D23" s="25">
        <f t="shared" si="0"/>
        <v>1589</v>
      </c>
    </row>
    <row r="24" spans="1:4" x14ac:dyDescent="0.2">
      <c r="A24" s="10">
        <v>21</v>
      </c>
      <c r="B24" s="11">
        <v>-122945</v>
      </c>
      <c r="C24" s="11">
        <v>-120841</v>
      </c>
      <c r="D24" s="25">
        <f t="shared" si="0"/>
        <v>2104</v>
      </c>
    </row>
    <row r="25" spans="1:4" x14ac:dyDescent="0.2">
      <c r="A25" s="10">
        <v>22</v>
      </c>
      <c r="B25" s="11">
        <v>-180542</v>
      </c>
      <c r="C25" s="11">
        <v>-179917</v>
      </c>
      <c r="D25" s="25">
        <f t="shared" si="0"/>
        <v>625</v>
      </c>
    </row>
    <row r="26" spans="1:4" x14ac:dyDescent="0.2">
      <c r="A26" s="10">
        <v>23</v>
      </c>
      <c r="B26" s="11">
        <v>-162154</v>
      </c>
      <c r="C26" s="11">
        <v>-161135</v>
      </c>
      <c r="D26" s="25">
        <f t="shared" si="0"/>
        <v>1019</v>
      </c>
    </row>
    <row r="27" spans="1:4" x14ac:dyDescent="0.2">
      <c r="A27" s="10">
        <v>24</v>
      </c>
      <c r="B27" s="11">
        <v>-176509</v>
      </c>
      <c r="C27" s="11">
        <v>-174939</v>
      </c>
      <c r="D27" s="25">
        <f t="shared" si="0"/>
        <v>1570</v>
      </c>
    </row>
    <row r="28" spans="1:4" x14ac:dyDescent="0.2">
      <c r="A28" s="10">
        <v>25</v>
      </c>
      <c r="B28" s="11">
        <v>-174033</v>
      </c>
      <c r="C28" s="11">
        <v>-170727</v>
      </c>
      <c r="D28" s="25">
        <f t="shared" si="0"/>
        <v>3306</v>
      </c>
    </row>
    <row r="29" spans="1:4" x14ac:dyDescent="0.2">
      <c r="A29" s="10">
        <v>26</v>
      </c>
      <c r="B29" s="11">
        <v>-176005</v>
      </c>
      <c r="C29" s="11">
        <v>-174969</v>
      </c>
      <c r="D29" s="25">
        <f t="shared" si="0"/>
        <v>1036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-4729971</v>
      </c>
      <c r="C35" s="11">
        <f>SUM(C4:C34)</f>
        <v>-4714298</v>
      </c>
      <c r="D35" s="11">
        <f>SUM(D4:D34)</f>
        <v>15673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37103</v>
      </c>
      <c r="D38" s="247">
        <v>24900</v>
      </c>
    </row>
    <row r="39" spans="1:30" x14ac:dyDescent="0.2">
      <c r="A39" s="12"/>
      <c r="D39" s="24"/>
    </row>
    <row r="40" spans="1:30" x14ac:dyDescent="0.2">
      <c r="A40" s="249">
        <v>37129</v>
      </c>
      <c r="D40" s="24">
        <f>+D38+D35</f>
        <v>40573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158</v>
      </c>
      <c r="B44" s="32"/>
      <c r="C44" s="32"/>
      <c r="D44" s="47"/>
      <c r="K44"/>
    </row>
    <row r="45" spans="1:30" x14ac:dyDescent="0.2">
      <c r="A45" s="49">
        <f>+A38</f>
        <v>37103</v>
      </c>
      <c r="B45" s="32"/>
      <c r="C45" s="32"/>
      <c r="D45" s="440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37129</v>
      </c>
      <c r="B46" s="32"/>
      <c r="C46" s="32"/>
      <c r="D46" s="408">
        <f>+D35*'by type'!J4</f>
        <v>44511.32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-111572.06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3" workbookViewId="3">
      <selection activeCell="A41" sqref="A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">
      <c r="A15" s="10">
        <v>12</v>
      </c>
      <c r="B15" s="11">
        <v>-743592</v>
      </c>
      <c r="C15" s="11">
        <v>-743981</v>
      </c>
      <c r="D15" s="11">
        <v>-51599</v>
      </c>
      <c r="E15" s="11">
        <v>-50000</v>
      </c>
      <c r="F15" s="25">
        <f t="shared" si="0"/>
        <v>1210</v>
      </c>
      <c r="H15" s="10"/>
      <c r="I15" s="11"/>
    </row>
    <row r="16" spans="1:11" x14ac:dyDescent="0.2">
      <c r="A16" s="10">
        <v>13</v>
      </c>
      <c r="B16" s="11">
        <v>-722904</v>
      </c>
      <c r="C16" s="11">
        <v>-722201</v>
      </c>
      <c r="D16" s="11">
        <v>-20107</v>
      </c>
      <c r="E16" s="11">
        <v>-20000</v>
      </c>
      <c r="F16" s="25">
        <f t="shared" si="0"/>
        <v>810</v>
      </c>
      <c r="H16" s="10"/>
      <c r="I16" s="11"/>
      <c r="K16" s="25"/>
    </row>
    <row r="17" spans="1:11" x14ac:dyDescent="0.2">
      <c r="A17" s="10">
        <v>14</v>
      </c>
      <c r="B17" s="11">
        <v>-711618</v>
      </c>
      <c r="C17" s="11">
        <v>-701605</v>
      </c>
      <c r="D17" s="11"/>
      <c r="E17" s="11"/>
      <c r="F17" s="25">
        <f t="shared" si="0"/>
        <v>10013</v>
      </c>
      <c r="H17" s="10"/>
      <c r="I17" s="11"/>
    </row>
    <row r="18" spans="1:11" x14ac:dyDescent="0.2">
      <c r="A18" s="10">
        <v>15</v>
      </c>
      <c r="B18" s="11">
        <v>-679140</v>
      </c>
      <c r="C18" s="11">
        <v>-681609</v>
      </c>
      <c r="D18" s="11"/>
      <c r="E18" s="11"/>
      <c r="F18" s="25">
        <f t="shared" si="0"/>
        <v>-2469</v>
      </c>
      <c r="H18" s="10"/>
      <c r="I18" s="11"/>
    </row>
    <row r="19" spans="1:11" x14ac:dyDescent="0.2">
      <c r="A19" s="10">
        <v>16</v>
      </c>
      <c r="B19" s="11">
        <v>-674938</v>
      </c>
      <c r="C19" s="11">
        <v>-699370</v>
      </c>
      <c r="D19" s="11">
        <v>-25872</v>
      </c>
      <c r="E19" s="11">
        <v>-25000</v>
      </c>
      <c r="F19" s="25">
        <f t="shared" si="0"/>
        <v>-23560</v>
      </c>
      <c r="H19" s="10"/>
      <c r="I19" s="11"/>
    </row>
    <row r="20" spans="1:11" x14ac:dyDescent="0.2">
      <c r="A20" s="10">
        <v>17</v>
      </c>
      <c r="B20" s="11">
        <v>-694068</v>
      </c>
      <c r="C20" s="11">
        <v>-664964</v>
      </c>
      <c r="D20" s="11">
        <v>-25122</v>
      </c>
      <c r="E20" s="11">
        <v>-25000</v>
      </c>
      <c r="F20" s="25">
        <f t="shared" si="0"/>
        <v>29226</v>
      </c>
      <c r="H20" s="10"/>
      <c r="I20" s="11"/>
    </row>
    <row r="21" spans="1:11" x14ac:dyDescent="0.2">
      <c r="A21" s="10">
        <v>18</v>
      </c>
      <c r="B21" s="11">
        <v>-715015</v>
      </c>
      <c r="C21" s="11">
        <v>-718391</v>
      </c>
      <c r="D21" s="11">
        <v>-185</v>
      </c>
      <c r="E21" s="11"/>
      <c r="F21" s="25">
        <f t="shared" si="0"/>
        <v>-3191</v>
      </c>
      <c r="H21" s="10"/>
      <c r="I21" s="11"/>
    </row>
    <row r="22" spans="1:11" x14ac:dyDescent="0.2">
      <c r="A22" s="10">
        <v>19</v>
      </c>
      <c r="B22" s="11">
        <v>-703637</v>
      </c>
      <c r="C22" s="11">
        <v>-699226</v>
      </c>
      <c r="D22" s="11">
        <v>-24990</v>
      </c>
      <c r="E22" s="11">
        <v>-25000</v>
      </c>
      <c r="F22" s="25">
        <f t="shared" si="0"/>
        <v>4401</v>
      </c>
      <c r="H22" s="10"/>
      <c r="I22" s="11"/>
    </row>
    <row r="23" spans="1:11" x14ac:dyDescent="0.2">
      <c r="A23" s="10">
        <v>20</v>
      </c>
      <c r="B23" s="11">
        <v>-684261</v>
      </c>
      <c r="C23" s="11">
        <v>-661695</v>
      </c>
      <c r="D23" s="11">
        <v>-6703</v>
      </c>
      <c r="E23" s="11">
        <v>-5000</v>
      </c>
      <c r="F23" s="25">
        <f t="shared" si="0"/>
        <v>24269</v>
      </c>
      <c r="H23" s="10"/>
      <c r="I23" s="11"/>
    </row>
    <row r="24" spans="1:11" x14ac:dyDescent="0.2">
      <c r="A24" s="10">
        <v>21</v>
      </c>
      <c r="B24" s="11">
        <v>-705505</v>
      </c>
      <c r="C24" s="11">
        <v>-692927</v>
      </c>
      <c r="D24" s="11">
        <v>-25793</v>
      </c>
      <c r="E24" s="11">
        <v>-25000</v>
      </c>
      <c r="F24" s="25">
        <f t="shared" si="0"/>
        <v>13371</v>
      </c>
      <c r="H24" s="10"/>
      <c r="I24" s="11"/>
      <c r="K24" s="25"/>
    </row>
    <row r="25" spans="1:11" x14ac:dyDescent="0.2">
      <c r="A25" s="10">
        <v>22</v>
      </c>
      <c r="B25" s="11">
        <v>-694670</v>
      </c>
      <c r="C25" s="11">
        <v>-697277</v>
      </c>
      <c r="D25" s="11">
        <v>-24997</v>
      </c>
      <c r="E25" s="11">
        <v>-25000</v>
      </c>
      <c r="F25" s="25">
        <f t="shared" si="0"/>
        <v>-2610</v>
      </c>
      <c r="H25" s="10"/>
      <c r="I25" s="11"/>
    </row>
    <row r="26" spans="1:11" x14ac:dyDescent="0.2">
      <c r="A26" s="10">
        <v>23</v>
      </c>
      <c r="B26" s="11">
        <v>-700984</v>
      </c>
      <c r="C26" s="11">
        <v>-681477</v>
      </c>
      <c r="D26" s="11">
        <v>-25002</v>
      </c>
      <c r="E26" s="11">
        <v>-25000</v>
      </c>
      <c r="F26" s="25">
        <f t="shared" si="0"/>
        <v>19509</v>
      </c>
      <c r="H26" s="10"/>
      <c r="I26" s="11"/>
    </row>
    <row r="27" spans="1:11" x14ac:dyDescent="0.2">
      <c r="A27" s="10">
        <v>24</v>
      </c>
      <c r="B27" s="11">
        <v>-680977</v>
      </c>
      <c r="C27" s="11">
        <v>-683267</v>
      </c>
      <c r="D27" s="11">
        <v>-24997</v>
      </c>
      <c r="E27" s="11">
        <v>-25000</v>
      </c>
      <c r="F27" s="25">
        <f t="shared" si="0"/>
        <v>-2293</v>
      </c>
      <c r="H27" s="10"/>
      <c r="I27" s="11"/>
      <c r="K27" s="25"/>
    </row>
    <row r="28" spans="1:11" x14ac:dyDescent="0.2">
      <c r="A28" s="10">
        <v>25</v>
      </c>
      <c r="B28" s="11">
        <v>-693830</v>
      </c>
      <c r="C28" s="11">
        <v>-704130</v>
      </c>
      <c r="D28" s="11">
        <v>-25000</v>
      </c>
      <c r="E28" s="11">
        <v>-25000</v>
      </c>
      <c r="F28" s="25">
        <f t="shared" si="0"/>
        <v>-10300</v>
      </c>
      <c r="H28" s="10"/>
      <c r="I28" s="11"/>
      <c r="K28" s="25"/>
    </row>
    <row r="29" spans="1:11" x14ac:dyDescent="0.2">
      <c r="A29" s="10">
        <v>26</v>
      </c>
      <c r="B29" s="11">
        <v>-681818</v>
      </c>
      <c r="C29" s="11">
        <v>-696016</v>
      </c>
      <c r="D29" s="11">
        <v>-25002</v>
      </c>
      <c r="E29" s="11">
        <v>-25000</v>
      </c>
      <c r="F29" s="25">
        <f t="shared" si="0"/>
        <v>-14196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-18643357</v>
      </c>
      <c r="C35" s="11">
        <f>SUM(C4:C34)</f>
        <v>-18629503</v>
      </c>
      <c r="D35" s="11">
        <f>SUM(D4:D34)</f>
        <v>-591339</v>
      </c>
      <c r="E35" s="11">
        <f>SUM(E4:E34)</f>
        <v>-580000</v>
      </c>
      <c r="F35" s="11">
        <f>SUM(F4:F34)</f>
        <v>25193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37103</v>
      </c>
      <c r="F38" s="446">
        <v>145102</v>
      </c>
    </row>
    <row r="39" spans="1:45" x14ac:dyDescent="0.2">
      <c r="A39" s="2"/>
      <c r="F39" s="24"/>
    </row>
    <row r="40" spans="1:45" x14ac:dyDescent="0.2">
      <c r="A40" s="57">
        <v>37129</v>
      </c>
      <c r="F40" s="51">
        <f>+F38+F35</f>
        <v>170295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37103</v>
      </c>
      <c r="B45" s="32"/>
      <c r="C45" s="32"/>
      <c r="D45" s="440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37129</v>
      </c>
      <c r="B46" s="32"/>
      <c r="C46" s="32"/>
      <c r="D46" s="408">
        <f>+F35*'by type'!J4</f>
        <v>71548.12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519962.02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9" workbookViewId="3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466"/>
      <c r="L4" s="466"/>
      <c r="M4" s="466"/>
      <c r="N4" s="466"/>
      <c r="O4" s="295"/>
      <c r="P4" s="295"/>
    </row>
    <row r="5" spans="1:17" ht="12.75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8"/>
      <c r="L5" s="34"/>
      <c r="M5" s="34"/>
      <c r="N5" s="189"/>
      <c r="O5" s="467" t="s">
        <v>197</v>
      </c>
      <c r="P5" s="189"/>
      <c r="Q5" s="2"/>
    </row>
    <row r="6" spans="1:17" ht="12.75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18" t="s">
        <v>40</v>
      </c>
      <c r="L6" s="468" t="s">
        <v>20</v>
      </c>
      <c r="M6" s="468" t="s">
        <v>21</v>
      </c>
      <c r="N6" s="469" t="s">
        <v>51</v>
      </c>
      <c r="O6" s="467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67">
        <v>8.2100000000000009</v>
      </c>
      <c r="P9" s="472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67">
        <v>5.62</v>
      </c>
      <c r="P10" s="472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67">
        <v>4.9800000000000004</v>
      </c>
      <c r="P11" s="472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67">
        <v>4.87</v>
      </c>
      <c r="P12" s="472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-150424</v>
      </c>
      <c r="C13" s="11">
        <v>-90703</v>
      </c>
      <c r="D13" s="11"/>
      <c r="E13" s="129">
        <v>-59808</v>
      </c>
      <c r="F13" s="11"/>
      <c r="G13" s="11"/>
      <c r="H13" s="11">
        <f t="shared" si="0"/>
        <v>-87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67">
        <v>3.82</v>
      </c>
      <c r="P13" s="472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-159237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-433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67">
        <v>3.2</v>
      </c>
      <c r="P14" s="472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-153130</v>
      </c>
      <c r="C15" s="11">
        <v>-130080</v>
      </c>
      <c r="D15" s="11">
        <v>-56945</v>
      </c>
      <c r="E15" s="11">
        <v>-79950</v>
      </c>
      <c r="F15" s="11"/>
      <c r="G15" s="11"/>
      <c r="H15" s="11">
        <f t="shared" si="0"/>
        <v>45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67">
        <v>2.77</v>
      </c>
      <c r="P15" s="473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-136048</v>
      </c>
      <c r="C16" s="11">
        <v>-141366</v>
      </c>
      <c r="D16" s="11">
        <v>-105213</v>
      </c>
      <c r="E16" s="11">
        <v>-100666</v>
      </c>
      <c r="F16" s="11"/>
      <c r="G16" s="11"/>
      <c r="H16" s="11">
        <f t="shared" si="0"/>
        <v>-771</v>
      </c>
      <c r="I16" s="11"/>
      <c r="J16" s="102"/>
      <c r="K16" s="34"/>
      <c r="L16" s="119"/>
      <c r="M16" s="119"/>
      <c r="N16" s="119"/>
      <c r="O16" s="470"/>
      <c r="P16" s="471">
        <f>SUM(P9:P15)</f>
        <v>460835.37</v>
      </c>
      <c r="Q16" s="2"/>
    </row>
    <row r="17" spans="1:17" ht="13.5" thickTop="1" x14ac:dyDescent="0.2">
      <c r="A17" s="41">
        <v>14</v>
      </c>
      <c r="B17" s="11">
        <v>-141659</v>
      </c>
      <c r="C17" s="11">
        <v>-117756</v>
      </c>
      <c r="D17" s="11">
        <v>-48404</v>
      </c>
      <c r="E17" s="11">
        <v>-72615</v>
      </c>
      <c r="F17" s="11"/>
      <c r="G17" s="11"/>
      <c r="H17" s="11">
        <f t="shared" si="0"/>
        <v>-308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-141744</v>
      </c>
      <c r="C18" s="11">
        <v>-97671</v>
      </c>
      <c r="D18" s="11">
        <v>-39144</v>
      </c>
      <c r="E18" s="11">
        <v>-73315</v>
      </c>
      <c r="F18" s="11"/>
      <c r="G18" s="11"/>
      <c r="H18" s="11">
        <f t="shared" si="0"/>
        <v>9902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>
        <v>-131618</v>
      </c>
      <c r="C19" s="11">
        <v>-109589</v>
      </c>
      <c r="D19" s="11">
        <v>-88744</v>
      </c>
      <c r="E19" s="11">
        <v>-109950</v>
      </c>
      <c r="F19" s="11"/>
      <c r="G19" s="11"/>
      <c r="H19" s="11">
        <f t="shared" si="0"/>
        <v>823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>
        <v>-142840</v>
      </c>
      <c r="C20" s="11">
        <v>-150006</v>
      </c>
      <c r="D20" s="11">
        <v>-124297</v>
      </c>
      <c r="E20" s="11">
        <v>-120000</v>
      </c>
      <c r="F20" s="11"/>
      <c r="G20" s="11"/>
      <c r="H20" s="11">
        <f t="shared" si="0"/>
        <v>-2869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-100414</v>
      </c>
      <c r="C21" s="11">
        <v>-81014</v>
      </c>
      <c r="D21" s="11">
        <v>-83965</v>
      </c>
      <c r="E21" s="11">
        <v>-102848</v>
      </c>
      <c r="F21" s="11"/>
      <c r="G21" s="11"/>
      <c r="H21" s="11">
        <f t="shared" si="0"/>
        <v>517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-107048</v>
      </c>
      <c r="C22" s="11">
        <v>-80107</v>
      </c>
      <c r="D22" s="11">
        <v>-83003</v>
      </c>
      <c r="E22" s="11">
        <v>-111256</v>
      </c>
      <c r="F22" s="11"/>
      <c r="G22" s="11"/>
      <c r="H22" s="11">
        <f t="shared" si="0"/>
        <v>-1312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-119742</v>
      </c>
      <c r="C23" s="11">
        <v>-81015</v>
      </c>
      <c r="D23" s="11">
        <v>-57920</v>
      </c>
      <c r="E23" s="11">
        <v>-97982</v>
      </c>
      <c r="F23" s="11"/>
      <c r="G23" s="11"/>
      <c r="H23" s="11">
        <f t="shared" si="0"/>
        <v>-1335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-141966</v>
      </c>
      <c r="C24" s="11">
        <v>-127453</v>
      </c>
      <c r="D24" s="11">
        <v>-96866</v>
      </c>
      <c r="E24" s="11">
        <v>-114950</v>
      </c>
      <c r="F24" s="11"/>
      <c r="G24" s="11"/>
      <c r="H24" s="11">
        <f t="shared" si="0"/>
        <v>-3571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-137154</v>
      </c>
      <c r="C25" s="11">
        <v>-120862</v>
      </c>
      <c r="D25" s="11">
        <v>-74547</v>
      </c>
      <c r="E25" s="11">
        <v>-91154</v>
      </c>
      <c r="F25" s="11"/>
      <c r="G25" s="11"/>
      <c r="H25" s="11">
        <f t="shared" si="0"/>
        <v>-315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-134417</v>
      </c>
      <c r="C26" s="11">
        <v>-119653</v>
      </c>
      <c r="D26" s="11">
        <v>-82490</v>
      </c>
      <c r="E26" s="11">
        <v>-96940</v>
      </c>
      <c r="F26" s="11"/>
      <c r="G26" s="11"/>
      <c r="H26" s="11">
        <f t="shared" si="0"/>
        <v>314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-135500</v>
      </c>
      <c r="C27" s="11">
        <v>-150005</v>
      </c>
      <c r="D27" s="11">
        <v>-80514</v>
      </c>
      <c r="E27" s="11">
        <v>-64929</v>
      </c>
      <c r="F27" s="11"/>
      <c r="G27" s="11"/>
      <c r="H27" s="11">
        <f t="shared" si="0"/>
        <v>1080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>
        <v>-135368</v>
      </c>
      <c r="C28" s="11">
        <v>-95571</v>
      </c>
      <c r="D28" s="11">
        <v>-68776</v>
      </c>
      <c r="E28" s="11">
        <v>-107555</v>
      </c>
      <c r="F28" s="11"/>
      <c r="G28" s="11"/>
      <c r="H28" s="11">
        <f t="shared" si="0"/>
        <v>1018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-3420929</v>
      </c>
      <c r="C35" s="44">
        <f t="shared" si="3"/>
        <v>-2735493</v>
      </c>
      <c r="D35" s="11">
        <f t="shared" si="3"/>
        <v>-1482962</v>
      </c>
      <c r="E35" s="44">
        <f t="shared" si="3"/>
        <v>-2159796</v>
      </c>
      <c r="F35" s="11">
        <f t="shared" si="3"/>
        <v>0</v>
      </c>
      <c r="G35" s="11">
        <f t="shared" si="3"/>
        <v>0</v>
      </c>
      <c r="H35" s="11">
        <f t="shared" si="3"/>
        <v>8602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2.84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24429.68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59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37128</v>
      </c>
      <c r="F39" s="47"/>
      <c r="G39" s="47"/>
      <c r="H39" s="137">
        <f>+H38+H37</f>
        <v>485265.05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37128</v>
      </c>
      <c r="E47" s="379">
        <f>+H35</f>
        <v>8602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119838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32" workbookViewId="3">
      <selection activeCell="A39" sqref="A39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f>-306663-750</f>
        <v>-307413</v>
      </c>
      <c r="E5" s="11">
        <v>-308597</v>
      </c>
      <c r="F5" s="11"/>
      <c r="G5" s="11"/>
      <c r="H5" s="24">
        <f>+E5-D5+C5-B5</f>
        <v>-1184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f>-256855-750</f>
        <v>-257605</v>
      </c>
      <c r="E6" s="11">
        <v>-261199</v>
      </c>
      <c r="F6" s="11"/>
      <c r="G6" s="11"/>
      <c r="H6" s="24">
        <f t="shared" ref="H6:H35" si="0">+E6-D6+C6-B6</f>
        <v>-3594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f>-279637-750</f>
        <v>-280387</v>
      </c>
      <c r="E7" s="129">
        <v>-280376</v>
      </c>
      <c r="F7" s="11"/>
      <c r="G7" s="11"/>
      <c r="H7" s="24">
        <f t="shared" si="0"/>
        <v>11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f>-263561-750</f>
        <v>-264311</v>
      </c>
      <c r="E8" s="129">
        <v>-267286</v>
      </c>
      <c r="F8" s="11"/>
      <c r="G8" s="11"/>
      <c r="H8" s="24">
        <f t="shared" si="0"/>
        <v>-2975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f>-239483-750</f>
        <v>-240233</v>
      </c>
      <c r="E9" s="11">
        <v>-241704</v>
      </c>
      <c r="F9" s="11"/>
      <c r="G9" s="11"/>
      <c r="H9" s="24">
        <f t="shared" si="0"/>
        <v>-1471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f>-258498-750</f>
        <v>-259248</v>
      </c>
      <c r="E10" s="11">
        <v>-262660</v>
      </c>
      <c r="F10" s="11"/>
      <c r="G10" s="11"/>
      <c r="H10" s="24">
        <f t="shared" si="0"/>
        <v>-3412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f>-249479-750</f>
        <v>-250229</v>
      </c>
      <c r="E11" s="11">
        <v>-254013</v>
      </c>
      <c r="F11" s="11"/>
      <c r="G11" s="11"/>
      <c r="H11" s="24">
        <f t="shared" si="0"/>
        <v>-3784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f>-272276-750</f>
        <v>-273026</v>
      </c>
      <c r="E12" s="11">
        <v>-274969</v>
      </c>
      <c r="F12" s="11"/>
      <c r="G12" s="11"/>
      <c r="H12" s="24">
        <f t="shared" si="0"/>
        <v>-1943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f>-266075-750</f>
        <v>-266825</v>
      </c>
      <c r="E13" s="11">
        <v>-268577</v>
      </c>
      <c r="F13" s="11"/>
      <c r="G13" s="11"/>
      <c r="H13" s="24">
        <f t="shared" si="0"/>
        <v>-1752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f>-278307-750</f>
        <v>-279057</v>
      </c>
      <c r="E14" s="11">
        <v>-283415</v>
      </c>
      <c r="F14" s="11"/>
      <c r="G14" s="11"/>
      <c r="H14" s="24">
        <f t="shared" si="0"/>
        <v>-4358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f>-287669-750</f>
        <v>-288419</v>
      </c>
      <c r="E15" s="11">
        <v>-288213</v>
      </c>
      <c r="F15" s="11"/>
      <c r="G15" s="11"/>
      <c r="H15" s="24">
        <f t="shared" si="0"/>
        <v>206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f>-273937-750</f>
        <v>-274687</v>
      </c>
      <c r="E16" s="11">
        <v>-275351</v>
      </c>
      <c r="F16" s="11"/>
      <c r="G16" s="11"/>
      <c r="H16" s="24">
        <f t="shared" si="0"/>
        <v>-664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f>-286926-750</f>
        <v>-287676</v>
      </c>
      <c r="E17" s="11">
        <v>-288307</v>
      </c>
      <c r="F17" s="11"/>
      <c r="G17" s="11"/>
      <c r="H17" s="24">
        <f t="shared" si="0"/>
        <v>-631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f>-240327-500-500</f>
        <v>-241327</v>
      </c>
      <c r="E18" s="11">
        <v>-241208</v>
      </c>
      <c r="F18" s="11"/>
      <c r="G18" s="11"/>
      <c r="H18" s="24">
        <f t="shared" si="0"/>
        <v>119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f>-274050-500-500</f>
        <v>-275050</v>
      </c>
      <c r="E19" s="11">
        <v>-274559</v>
      </c>
      <c r="F19" s="11"/>
      <c r="G19" s="11"/>
      <c r="H19" s="24">
        <f t="shared" si="0"/>
        <v>491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f>-302256-500-500</f>
        <v>-303256</v>
      </c>
      <c r="E20" s="11">
        <v>-310176</v>
      </c>
      <c r="F20" s="11"/>
      <c r="G20" s="11"/>
      <c r="H20" s="24">
        <f t="shared" si="0"/>
        <v>-6920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f>-290427-500-500</f>
        <v>-291427</v>
      </c>
      <c r="E21" s="11">
        <v>-283120</v>
      </c>
      <c r="F21" s="11"/>
      <c r="G21" s="11"/>
      <c r="H21" s="24">
        <f t="shared" si="0"/>
        <v>8307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f>-297326-500-500</f>
        <v>-298326</v>
      </c>
      <c r="E22" s="11">
        <v>-310274</v>
      </c>
      <c r="F22" s="11"/>
      <c r="G22" s="11"/>
      <c r="H22" s="24">
        <f t="shared" si="0"/>
        <v>-11948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f>-275043-750-250</f>
        <v>-276043</v>
      </c>
      <c r="E23" s="11">
        <v>-306032</v>
      </c>
      <c r="F23" s="11"/>
      <c r="G23" s="11"/>
      <c r="H23" s="24">
        <f t="shared" si="0"/>
        <v>-29989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f>-301972-750-250</f>
        <v>-302972</v>
      </c>
      <c r="E24" s="11">
        <v>-325596</v>
      </c>
      <c r="F24" s="11"/>
      <c r="G24" s="11"/>
      <c r="H24" s="24">
        <f t="shared" si="0"/>
        <v>-22624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f>-313689-750</f>
        <v>-314439</v>
      </c>
      <c r="E25" s="11">
        <v>-296501</v>
      </c>
      <c r="F25" s="11"/>
      <c r="G25" s="11"/>
      <c r="H25" s="24">
        <f t="shared" si="0"/>
        <v>17938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>
        <v>113</v>
      </c>
      <c r="C26" s="11"/>
      <c r="D26" s="11">
        <f>-323768-750</f>
        <v>-324518</v>
      </c>
      <c r="E26" s="11">
        <v>-331407</v>
      </c>
      <c r="F26" s="11"/>
      <c r="G26" s="11"/>
      <c r="H26" s="24">
        <f t="shared" si="0"/>
        <v>-7002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f>-340426-750</f>
        <v>-341176</v>
      </c>
      <c r="E27" s="11">
        <v>-342830</v>
      </c>
      <c r="F27" s="11"/>
      <c r="G27" s="11"/>
      <c r="H27" s="24">
        <f t="shared" si="0"/>
        <v>-1654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f>-316024-750</f>
        <v>-316774</v>
      </c>
      <c r="E28" s="11">
        <v>-334924</v>
      </c>
      <c r="F28" s="11"/>
      <c r="G28" s="11"/>
      <c r="H28" s="24">
        <f t="shared" si="0"/>
        <v>-18150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f>-286955-750</f>
        <v>-287705</v>
      </c>
      <c r="E29" s="11">
        <v>-285138</v>
      </c>
      <c r="F29" s="11"/>
      <c r="G29" s="11"/>
      <c r="H29" s="24">
        <f t="shared" si="0"/>
        <v>2567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113</v>
      </c>
      <c r="C36" s="11">
        <f t="shared" si="15"/>
        <v>0</v>
      </c>
      <c r="D36" s="11">
        <f t="shared" si="15"/>
        <v>-7102129</v>
      </c>
      <c r="E36" s="11">
        <f t="shared" si="15"/>
        <v>-7196432</v>
      </c>
      <c r="F36" s="11">
        <f t="shared" si="15"/>
        <v>0</v>
      </c>
      <c r="G36" s="11">
        <f t="shared" si="15"/>
        <v>0</v>
      </c>
      <c r="H36" s="11">
        <f t="shared" si="15"/>
        <v>-94416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-113</v>
      </c>
      <c r="E37" s="25">
        <f>+E36-D36</f>
        <v>-94303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37103</v>
      </c>
      <c r="B38" s="2" t="s">
        <v>46</v>
      </c>
      <c r="C38" s="442">
        <v>64269</v>
      </c>
      <c r="D38" s="338"/>
      <c r="E38" s="443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37128</v>
      </c>
      <c r="B39" s="2" t="s">
        <v>46</v>
      </c>
      <c r="C39" s="131">
        <f>+C38+C37</f>
        <v>64156</v>
      </c>
      <c r="D39" s="259"/>
      <c r="E39" s="131">
        <f>+E38+E37</f>
        <v>-66707</v>
      </c>
      <c r="F39" s="259"/>
      <c r="G39" s="131"/>
      <c r="H39" s="131">
        <f>+H38+H36</f>
        <v>-2551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v>37103</v>
      </c>
      <c r="B44" s="32"/>
      <c r="C44" s="444">
        <v>-1582961</v>
      </c>
      <c r="D44" s="207"/>
      <c r="E44" s="445">
        <v>1186736.6200000001</v>
      </c>
      <c r="F44" s="47">
        <f>+E44+C44</f>
        <v>-396224.37999999989</v>
      </c>
      <c r="G44" s="252"/>
      <c r="H44" s="412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37128</v>
      </c>
      <c r="B45" s="32"/>
      <c r="C45" s="47">
        <f>+C37*summary!H4</f>
        <v>-320.91999999999996</v>
      </c>
      <c r="D45" s="207"/>
      <c r="E45" s="410">
        <f>+E37*summary!H3</f>
        <v>-250845.98</v>
      </c>
      <c r="F45" s="47">
        <f>+E45+C45</f>
        <v>-251166.90000000002</v>
      </c>
      <c r="G45" s="252"/>
      <c r="H45" s="412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-1583281.92</v>
      </c>
      <c r="D46" s="207"/>
      <c r="E46" s="410">
        <f>+E45+E44</f>
        <v>935890.64000000013</v>
      </c>
      <c r="F46" s="47">
        <f>+E46+C46</f>
        <v>-647391.2799999998</v>
      </c>
      <c r="G46" s="252"/>
      <c r="H46" s="412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10"/>
      <c r="D47" s="410"/>
      <c r="E47" s="410"/>
      <c r="F47" s="47"/>
      <c r="G47" s="252"/>
      <c r="H47" s="412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32" sqref="C32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120413</v>
      </c>
      <c r="C18" s="11">
        <v>125960</v>
      </c>
      <c r="D18" s="25">
        <f t="shared" si="0"/>
        <v>5547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113885</v>
      </c>
      <c r="C19" s="11">
        <v>111354</v>
      </c>
      <c r="D19" s="25">
        <f t="shared" si="0"/>
        <v>-2531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116049</v>
      </c>
      <c r="C20" s="11">
        <v>114316</v>
      </c>
      <c r="D20" s="25">
        <f t="shared" si="0"/>
        <v>-1733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112428</v>
      </c>
      <c r="C21" s="11">
        <v>116998</v>
      </c>
      <c r="D21" s="25">
        <f t="shared" si="0"/>
        <v>4570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107540</v>
      </c>
      <c r="C22" s="11">
        <v>109346</v>
      </c>
      <c r="D22" s="25">
        <f t="shared" si="0"/>
        <v>1806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103802</v>
      </c>
      <c r="C23" s="11">
        <v>104079</v>
      </c>
      <c r="D23" s="25">
        <f t="shared" si="0"/>
        <v>277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93807</v>
      </c>
      <c r="C24" s="11">
        <v>102057</v>
      </c>
      <c r="D24" s="25">
        <f t="shared" si="0"/>
        <v>8250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92618</v>
      </c>
      <c r="C25" s="11">
        <v>90965</v>
      </c>
      <c r="D25" s="25">
        <f t="shared" si="0"/>
        <v>-1653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103978</v>
      </c>
      <c r="C26" s="11">
        <v>103248</v>
      </c>
      <c r="D26" s="25">
        <f t="shared" si="0"/>
        <v>-730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136225</v>
      </c>
      <c r="C27" s="11">
        <v>140467</v>
      </c>
      <c r="D27" s="25">
        <f t="shared" si="0"/>
        <v>4242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>
        <v>134427</v>
      </c>
      <c r="C28" s="11">
        <v>130259</v>
      </c>
      <c r="D28" s="25">
        <f t="shared" si="0"/>
        <v>-4168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>
        <v>130095</v>
      </c>
      <c r="C29" s="11">
        <v>130206</v>
      </c>
      <c r="D29" s="25">
        <f t="shared" si="0"/>
        <v>111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>
        <v>108803</v>
      </c>
      <c r="C30" s="11">
        <v>109705</v>
      </c>
      <c r="D30" s="25">
        <f t="shared" si="0"/>
        <v>902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>
        <v>92412</v>
      </c>
      <c r="C31" s="11">
        <v>91396</v>
      </c>
      <c r="D31" s="25">
        <f t="shared" si="0"/>
        <v>-1016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2900458</v>
      </c>
      <c r="C37" s="11">
        <f>SUM(C6:C36)</f>
        <v>2943924</v>
      </c>
      <c r="D37" s="11">
        <f>SUM(D6:D36)</f>
        <v>43466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37129</v>
      </c>
      <c r="C40" s="48"/>
      <c r="D40" s="25">
        <f>+D39+D37</f>
        <v>98349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411751.53</v>
      </c>
    </row>
    <row r="46" spans="1:16" x14ac:dyDescent="0.2">
      <c r="A46" s="49">
        <f>+A40</f>
        <v>37129</v>
      </c>
      <c r="B46" s="32"/>
      <c r="C46" s="32"/>
      <c r="D46" s="408">
        <f>+D37*'by type'!J3</f>
        <v>115619.56000000001</v>
      </c>
    </row>
    <row r="47" spans="1:16" x14ac:dyDescent="0.2">
      <c r="A47" s="32"/>
      <c r="B47" s="32"/>
      <c r="C47" s="32"/>
      <c r="D47" s="202">
        <f>+D46+D45</f>
        <v>527371.09000000008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2001-08-27T17:22:37Z</cp:lastPrinted>
  <dcterms:created xsi:type="dcterms:W3CDTF">2000-03-28T16:52:23Z</dcterms:created>
  <dcterms:modified xsi:type="dcterms:W3CDTF">2023-09-16T19:58:19Z</dcterms:modified>
</cp:coreProperties>
</file>