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0E70BF-CA44-4C38-B006-F21A703492A8}" xr6:coauthVersionLast="47" xr6:coauthVersionMax="47" xr10:uidLastSave="{00000000-0000-0000-0000-000000000000}"/>
  <bookViews>
    <workbookView xWindow="-120" yWindow="-120" windowWidth="38640" windowHeight="15720" tabRatio="686" activeTab="1"/>
    <workbookView xWindow="-120" yWindow="-120" windowWidth="38640" windowHeight="15720" tabRatio="895" firstSheet="9" activeTab="19"/>
    <workbookView xWindow="-120" yWindow="-120" windowWidth="38640" windowHeight="15720" activeTab="2"/>
    <workbookView xWindow="-120" yWindow="-120" windowWidth="38640" windowHeight="15720" tabRatio="601" firstSheet="1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Amoco" sheetId="12" r:id="rId10"/>
    <sheet name="Red C" sheetId="15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WTG" sheetId="83" r:id="rId36"/>
    <sheet name="Dominion" sheetId="85" r:id="rId37"/>
    <sheet name="Devon" sheetId="86" r:id="rId38"/>
    <sheet name="crosstex" sheetId="87" r:id="rId39"/>
    <sheet name="Amarillo" sheetId="88" r:id="rId40"/>
    <sheet name="burlington" sheetId="69" r:id="rId41"/>
  </sheets>
  <externalReferences>
    <externalReference r:id="rId42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9">Amoco!$A$4:$D$40</definedName>
    <definedName name="_xlnm.Print_Area" localSheetId="19">'Amoco Abo'!$A$6:$F$43</definedName>
    <definedName name="_xlnm.Print_Area" localSheetId="0">'by type_area'!$A$2:$L$44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10">'Red C'!$A$2:$F$43</definedName>
    <definedName name="_xlnm.Print_Area" localSheetId="6">SoCal!$A$2:$F$41</definedName>
    <definedName name="_xlnm.Print_Area" localSheetId="1">summary!$A$2:$I$53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B13" i="20"/>
  <c r="B14" i="20"/>
  <c r="B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G37" i="22"/>
  <c r="H37" i="22"/>
  <c r="I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J4" i="83"/>
  <c r="J5" i="83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B35" i="83"/>
  <c r="C35" i="83"/>
  <c r="D35" i="83"/>
  <c r="E35" i="83"/>
  <c r="F35" i="83"/>
  <c r="G35" i="83"/>
  <c r="H35" i="83"/>
  <c r="I35" i="83"/>
  <c r="J35" i="83"/>
  <c r="J36" i="83"/>
  <c r="J37" i="83"/>
  <c r="J41" i="83"/>
  <c r="A46" i="83"/>
  <c r="A47" i="83"/>
  <c r="D47" i="83"/>
  <c r="D48" i="83"/>
</calcChain>
</file>

<file path=xl/sharedStrings.xml><?xml version="1.0" encoding="utf-8"?>
<sst xmlns="http://schemas.openxmlformats.org/spreadsheetml/2006/main" count="813" uniqueCount="254">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</sst>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09" formatCode="#,##0.0000_);\(#,##0.000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5" fontId="34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2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5" fontId="25" fillId="5" borderId="0" xfId="1" applyNumberFormat="1" applyFont="1" applyFill="1"/>
    <xf numFmtId="166" fontId="22" fillId="5" borderId="0" xfId="1" applyNumberFormat="1" applyFont="1" applyFill="1"/>
    <xf numFmtId="5" fontId="9" fillId="5" borderId="0" xfId="1" applyNumberFormat="1" applyFont="1" applyFill="1"/>
    <xf numFmtId="7" fontId="25" fillId="5" borderId="1" xfId="0" applyNumberFormat="1" applyFont="1" applyFill="1" applyBorder="1"/>
    <xf numFmtId="7" fontId="36" fillId="5" borderId="1" xfId="1" applyNumberFormat="1" applyFont="1" applyFill="1" applyBorder="1"/>
    <xf numFmtId="5" fontId="25" fillId="5" borderId="1" xfId="0" applyNumberFormat="1" applyFont="1" applyFill="1" applyBorder="1"/>
    <xf numFmtId="166" fontId="9" fillId="5" borderId="0" xfId="1" applyNumberFormat="1" applyFont="1" applyFill="1"/>
    <xf numFmtId="5" fontId="22" fillId="6" borderId="0" xfId="1" applyNumberFormat="1" applyFont="1" applyFill="1"/>
    <xf numFmtId="5" fontId="9" fillId="6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25" fillId="3" borderId="1" xfId="0" applyNumberFormat="1" applyFont="1" applyFill="1" applyBorder="1"/>
    <xf numFmtId="166" fontId="25" fillId="3" borderId="1" xfId="1" applyNumberFormat="1" applyFont="1" applyFill="1" applyBorder="1"/>
    <xf numFmtId="37" fontId="25" fillId="3" borderId="0" xfId="1" applyNumberFormat="1" applyFont="1" applyFill="1"/>
    <xf numFmtId="37" fontId="25" fillId="3" borderId="0" xfId="1" applyNumberFormat="1" applyFont="1" applyFill="1" applyBorder="1"/>
    <xf numFmtId="166" fontId="25" fillId="3" borderId="0" xfId="1" applyNumberFormat="1" applyFont="1" applyFill="1" applyBorder="1"/>
    <xf numFmtId="5" fontId="25" fillId="3" borderId="1" xfId="1" applyNumberFormat="1" applyFont="1" applyFill="1" applyBorder="1"/>
    <xf numFmtId="166" fontId="9" fillId="3" borderId="0" xfId="1" applyNumberFormat="1" applyFont="1" applyFill="1"/>
    <xf numFmtId="5" fontId="25" fillId="3" borderId="1" xfId="0" applyNumberFormat="1" applyFont="1" applyFill="1" applyBorder="1"/>
    <xf numFmtId="5" fontId="25" fillId="3" borderId="0" xfId="1" applyNumberFormat="1" applyFont="1" applyFill="1"/>
    <xf numFmtId="166" fontId="22" fillId="3" borderId="0" xfId="1" applyNumberFormat="1" applyFont="1" applyFill="1"/>
    <xf numFmtId="44" fontId="25" fillId="3" borderId="0" xfId="2" applyFont="1" applyFill="1"/>
    <xf numFmtId="7" fontId="36" fillId="3" borderId="1" xfId="1" applyNumberFormat="1" applyFont="1" applyFill="1" applyBorder="1"/>
    <xf numFmtId="209" fontId="9" fillId="0" borderId="0" xfId="0" applyNumberFormat="1" applyFont="1"/>
    <xf numFmtId="192" fontId="25" fillId="3" borderId="0" xfId="0" applyNumberFormat="1" applyFont="1" applyFill="1"/>
    <xf numFmtId="5" fontId="25" fillId="3" borderId="0" xfId="0" applyNumberFormat="1" applyFont="1" applyFill="1" applyBorder="1"/>
    <xf numFmtId="7" fontId="25" fillId="3" borderId="0" xfId="0" applyNumberFormat="1" applyFont="1" applyFill="1"/>
    <xf numFmtId="5" fontId="34" fillId="3" borderId="1" xfId="0" applyNumberFormat="1" applyFont="1" applyFill="1" applyBorder="1"/>
    <xf numFmtId="5" fontId="25" fillId="3" borderId="0" xfId="0" applyNumberFormat="1" applyFont="1" applyFill="1"/>
    <xf numFmtId="7" fontId="3" fillId="3" borderId="0" xfId="0" applyNumberFormat="1" applyFont="1" applyFill="1"/>
    <xf numFmtId="5" fontId="3" fillId="3" borderId="0" xfId="1" applyNumberFormat="1" applyFont="1" applyFill="1"/>
    <xf numFmtId="5" fontId="22" fillId="3" borderId="0" xfId="1" applyNumberFormat="1" applyFont="1" applyFill="1"/>
    <xf numFmtId="5" fontId="25" fillId="3" borderId="0" xfId="0" applyNumberFormat="1" applyFont="1" applyFill="1" applyAlignment="1">
      <alignment horizontal="left" indent="2"/>
    </xf>
    <xf numFmtId="0" fontId="3" fillId="0" borderId="0" xfId="0" applyFont="1" applyBorder="1" applyAlignment="1">
      <alignment horizontal="left"/>
    </xf>
    <xf numFmtId="7" fontId="25" fillId="3" borderId="1" xfId="0" applyNumberFormat="1" applyFont="1" applyFill="1" applyBorder="1"/>
    <xf numFmtId="7" fontId="27" fillId="3" borderId="0" xfId="1" applyNumberFormat="1" applyFont="1" applyFill="1"/>
    <xf numFmtId="166" fontId="27" fillId="3" borderId="0" xfId="1" applyNumberFormat="1" applyFont="1" applyFill="1"/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5" fontId="9" fillId="6" borderId="0" xfId="2" applyNumberFormat="1" applyFont="1" applyFill="1"/>
    <xf numFmtId="44" fontId="3" fillId="0" borderId="0" xfId="2" applyFont="1" applyBorder="1"/>
    <xf numFmtId="166" fontId="3" fillId="6" borderId="1" xfId="1" applyNumberFormat="1" applyFont="1" applyFill="1" applyBorder="1"/>
    <xf numFmtId="166" fontId="3" fillId="7" borderId="0" xfId="1" applyNumberFormat="1" applyFont="1" applyFill="1"/>
    <xf numFmtId="166" fontId="8" fillId="7" borderId="0" xfId="1" applyNumberFormat="1" applyFont="1" applyFill="1"/>
    <xf numFmtId="166" fontId="3" fillId="7" borderId="0" xfId="1" applyNumberFormat="1" applyFont="1" applyFill="1" applyAlignment="1"/>
    <xf numFmtId="166" fontId="3" fillId="8" borderId="0" xfId="1" applyNumberFormat="1" applyFont="1" applyFill="1" applyAlignment="1"/>
    <xf numFmtId="216" fontId="6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2.11</v>
          </cell>
          <cell r="K39">
            <v>2</v>
          </cell>
          <cell r="M39">
            <v>2.0699999999999998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workbookViewId="0"/>
    <sheetView workbookViewId="1"/>
    <sheetView topLeftCell="A46" workbookViewId="2">
      <selection activeCell="G50" sqref="G50"/>
    </sheetView>
    <sheetView topLeftCell="A68" workbookViewId="3">
      <selection activeCell="D76" sqref="D76"/>
    </sheetView>
  </sheetViews>
  <sheetFormatPr defaultRowHeight="12.75" outlineLevelRow="2" x14ac:dyDescent="0.2"/>
  <cols>
    <col min="1" max="1" width="18.85546875" style="293" customWidth="1"/>
    <col min="2" max="2" width="11.140625" style="250" bestFit="1" customWidth="1"/>
    <col min="3" max="3" width="10.5703125" style="294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9"/>
    </row>
    <row r="2" spans="1:32" ht="12.95" customHeight="1" x14ac:dyDescent="0.2">
      <c r="A2" s="34" t="s">
        <v>143</v>
      </c>
      <c r="D2" s="7"/>
      <c r="I2" s="407" t="s">
        <v>79</v>
      </c>
      <c r="J2" s="410"/>
      <c r="K2" s="32"/>
    </row>
    <row r="3" spans="1:32" ht="12.95" customHeight="1" x14ac:dyDescent="0.2">
      <c r="D3" s="7"/>
      <c r="I3" s="408" t="s">
        <v>30</v>
      </c>
      <c r="J3" s="411">
        <f>+summary!H3</f>
        <v>2</v>
      </c>
      <c r="K3" s="428">
        <f ca="1">NOW()</f>
        <v>37194.822336689816</v>
      </c>
    </row>
    <row r="4" spans="1:32" ht="12.95" customHeight="1" x14ac:dyDescent="0.2">
      <c r="A4" s="34" t="s">
        <v>149</v>
      </c>
      <c r="C4" s="34" t="s">
        <v>5</v>
      </c>
      <c r="D4" s="7"/>
      <c r="I4" s="409" t="s">
        <v>31</v>
      </c>
      <c r="J4" s="411">
        <f>+summary!H4</f>
        <v>2.0699999999999998</v>
      </c>
      <c r="K4" s="32"/>
    </row>
    <row r="5" spans="1:32" ht="12.95" customHeight="1" x14ac:dyDescent="0.2">
      <c r="D5" s="7"/>
      <c r="I5" s="408" t="s">
        <v>118</v>
      </c>
      <c r="J5" s="411">
        <f>+summary!H5</f>
        <v>2.11</v>
      </c>
      <c r="K5" s="32"/>
    </row>
    <row r="6" spans="1:32" ht="6.95" customHeight="1" x14ac:dyDescent="0.2"/>
    <row r="7" spans="1:32" ht="12.95" customHeight="1" x14ac:dyDescent="0.2">
      <c r="A7" s="426" t="s">
        <v>169</v>
      </c>
      <c r="B7" s="427"/>
      <c r="AD7" s="32"/>
      <c r="AE7" s="32"/>
      <c r="AF7" s="32"/>
    </row>
    <row r="8" spans="1:32" ht="15.95" customHeight="1" outlineLevel="2" x14ac:dyDescent="0.2">
      <c r="A8" s="32"/>
      <c r="B8" s="481" t="s">
        <v>203</v>
      </c>
      <c r="C8" s="424" t="s">
        <v>0</v>
      </c>
      <c r="D8" s="12" t="s">
        <v>202</v>
      </c>
      <c r="E8" s="12" t="s">
        <v>200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0" t="s">
        <v>90</v>
      </c>
      <c r="B9" s="416" t="s">
        <v>204</v>
      </c>
      <c r="C9" s="425" t="s">
        <v>197</v>
      </c>
      <c r="D9" s="455" t="s">
        <v>201</v>
      </c>
      <c r="E9" s="39" t="s">
        <v>199</v>
      </c>
      <c r="F9" s="39" t="s">
        <v>150</v>
      </c>
      <c r="G9" s="414" t="s">
        <v>155</v>
      </c>
      <c r="H9" s="391" t="s">
        <v>102</v>
      </c>
      <c r="I9" s="390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0" t="s">
        <v>161</v>
      </c>
    </row>
    <row r="12" spans="1:32" ht="13.5" customHeight="1" outlineLevel="1" x14ac:dyDescent="0.2">
      <c r="A12" s="206" t="s">
        <v>130</v>
      </c>
      <c r="B12" s="366">
        <f>+Calpine!D41</f>
        <v>-13298.89</v>
      </c>
      <c r="C12" s="393">
        <f>+B12/$J$4</f>
        <v>-6424.5845410628026</v>
      </c>
      <c r="D12" s="14">
        <f>+Calpine!D47</f>
        <v>83854</v>
      </c>
      <c r="E12" s="70">
        <f>+C12-D12</f>
        <v>-90278.584541062795</v>
      </c>
      <c r="F12" s="388">
        <f>+Calpine!A41</f>
        <v>37193</v>
      </c>
      <c r="G12" s="205"/>
      <c r="H12" s="206" t="s">
        <v>100</v>
      </c>
      <c r="I12" s="372"/>
      <c r="J12" s="70"/>
      <c r="K12" s="32"/>
    </row>
    <row r="13" spans="1:32" ht="13.5" customHeight="1" outlineLevel="2" x14ac:dyDescent="0.2">
      <c r="A13" s="32" t="s">
        <v>142</v>
      </c>
      <c r="B13" s="366">
        <f>+'Citizens-Griffith'!D41</f>
        <v>13156.009999999995</v>
      </c>
      <c r="C13" s="392">
        <f>+B13/$J$4</f>
        <v>6355.5603864734276</v>
      </c>
      <c r="D13" s="14">
        <f>+'Citizens-Griffith'!D48</f>
        <v>10671</v>
      </c>
      <c r="E13" s="70">
        <f>+C13-D13</f>
        <v>-4315.4396135265724</v>
      </c>
      <c r="F13" s="388">
        <f>+'Citizens-Griffith'!A41</f>
        <v>37193</v>
      </c>
      <c r="G13" s="205" t="s">
        <v>158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136</v>
      </c>
      <c r="B14" s="366">
        <f>+'NS Steel'!D41</f>
        <v>-410990.06</v>
      </c>
      <c r="C14" s="392">
        <f>+B14/$J$4</f>
        <v>-198545.92270531403</v>
      </c>
      <c r="D14" s="14">
        <f>+'NS Steel'!D50</f>
        <v>-93110</v>
      </c>
      <c r="E14" s="70">
        <f>+C14-D14</f>
        <v>-105435.92270531403</v>
      </c>
      <c r="F14" s="389">
        <f>+'NS Steel'!A41</f>
        <v>37193</v>
      </c>
      <c r="G14" s="205" t="s">
        <v>158</v>
      </c>
      <c r="H14" s="32" t="s">
        <v>101</v>
      </c>
      <c r="I14" s="32" t="s">
        <v>186</v>
      </c>
      <c r="J14" s="32"/>
      <c r="K14" s="32"/>
    </row>
    <row r="15" spans="1:32" ht="13.5" customHeight="1" outlineLevel="1" x14ac:dyDescent="0.2">
      <c r="A15" s="206" t="s">
        <v>138</v>
      </c>
      <c r="B15" s="369">
        <f>+Citizens!D18</f>
        <v>-553742.49</v>
      </c>
      <c r="C15" s="394">
        <f>+B15/$J$4</f>
        <v>-267508.44927536236</v>
      </c>
      <c r="D15" s="370">
        <f>+Citizens!D24</f>
        <v>-45458</v>
      </c>
      <c r="E15" s="72">
        <f>+C15-D15</f>
        <v>-222050.44927536236</v>
      </c>
      <c r="F15" s="388">
        <f>+Citizens!A18</f>
        <v>37193</v>
      </c>
      <c r="G15" s="205"/>
      <c r="H15" s="206" t="s">
        <v>100</v>
      </c>
      <c r="I15" s="447" t="s">
        <v>185</v>
      </c>
      <c r="J15" s="32"/>
      <c r="K15" s="32"/>
      <c r="T15" s="265"/>
    </row>
    <row r="16" spans="1:32" ht="15.95" customHeight="1" outlineLevel="2" x14ac:dyDescent="0.2">
      <c r="A16" s="153" t="s">
        <v>162</v>
      </c>
      <c r="B16" s="412">
        <f>SUBTOTAL(9,B12:B15)</f>
        <v>-964875.42999999993</v>
      </c>
      <c r="C16" s="419">
        <f>SUBTOTAL(9,C12:C15)</f>
        <v>-466123.39613526576</v>
      </c>
      <c r="D16" s="420">
        <f>SUBTOTAL(9,D12:D15)</f>
        <v>-44043</v>
      </c>
      <c r="E16" s="421">
        <f>SUBTOTAL(9,E12:E15)</f>
        <v>-422080.39613526576</v>
      </c>
      <c r="F16" s="388"/>
      <c r="G16" s="205"/>
      <c r="H16" s="206"/>
      <c r="I16" s="372"/>
      <c r="J16" s="32"/>
      <c r="K16" s="32"/>
      <c r="T16" s="265"/>
    </row>
    <row r="17" spans="1:20" ht="9.9499999999999993" customHeight="1" outlineLevel="2" x14ac:dyDescent="0.2">
      <c r="G17" s="7"/>
    </row>
    <row r="18" spans="1:20" ht="15.95" customHeight="1" outlineLevel="2" x14ac:dyDescent="0.2">
      <c r="A18" s="423" t="s">
        <v>58</v>
      </c>
      <c r="G18" s="7"/>
    </row>
    <row r="19" spans="1:20" ht="13.5" customHeight="1" outlineLevel="2" x14ac:dyDescent="0.2">
      <c r="A19" s="32" t="s">
        <v>72</v>
      </c>
      <c r="B19" s="367">
        <f>+transcol!$D$43</f>
        <v>35299.979999999996</v>
      </c>
      <c r="C19" s="392">
        <f>+B19/$J$4</f>
        <v>17053.130434782608</v>
      </c>
      <c r="D19" s="14">
        <f>+transcol!D50</f>
        <v>-38819</v>
      </c>
      <c r="E19" s="70">
        <f>+C19-D19</f>
        <v>55872.130434782608</v>
      </c>
      <c r="F19" s="389">
        <f>+transcol!A43</f>
        <v>37193</v>
      </c>
      <c r="G19" s="205" t="s">
        <v>157</v>
      </c>
      <c r="H19" s="32" t="s">
        <v>116</v>
      </c>
      <c r="I19" s="32"/>
      <c r="J19" s="32"/>
      <c r="K19" s="32"/>
      <c r="T19" s="265"/>
    </row>
    <row r="20" spans="1:20" ht="13.5" customHeight="1" outlineLevel="2" x14ac:dyDescent="0.2">
      <c r="A20" s="206" t="s">
        <v>96</v>
      </c>
      <c r="B20" s="369">
        <f>+burlington!D42</f>
        <v>-14943</v>
      </c>
      <c r="C20" s="396">
        <f>+B20/$J$3</f>
        <v>-7471.5</v>
      </c>
      <c r="D20" s="370">
        <f>+burlington!D49</f>
        <v>-6145</v>
      </c>
      <c r="E20" s="72">
        <f>+C20-D20</f>
        <v>-1326.5</v>
      </c>
      <c r="F20" s="388">
        <f>+burlington!A42</f>
        <v>37193</v>
      </c>
      <c r="G20" s="205" t="s">
        <v>158</v>
      </c>
      <c r="H20" s="32" t="s">
        <v>114</v>
      </c>
      <c r="I20" s="32" t="s">
        <v>147</v>
      </c>
      <c r="J20" s="32"/>
      <c r="K20" s="32"/>
    </row>
    <row r="21" spans="1:20" ht="15.95" customHeight="1" outlineLevel="2" x14ac:dyDescent="0.2">
      <c r="A21" s="153" t="s">
        <v>164</v>
      </c>
      <c r="B21" s="412">
        <f>SUBTOTAL(9,B19:B20)</f>
        <v>20356.979999999996</v>
      </c>
      <c r="C21" s="413">
        <f>SUBTOTAL(9,C19:C20)</f>
        <v>9581.6304347826081</v>
      </c>
      <c r="D21" s="420">
        <f>SUBTOTAL(9,D19:D20)</f>
        <v>-44964</v>
      </c>
      <c r="E21" s="421">
        <f>SUBTOTAL(9,E19:E20)</f>
        <v>54545.630434782608</v>
      </c>
      <c r="F21" s="388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90" t="s">
        <v>165</v>
      </c>
      <c r="B23" s="451"/>
      <c r="C23" s="452"/>
      <c r="D23" s="453"/>
      <c r="E23" s="453"/>
      <c r="F23" s="453"/>
      <c r="G23" s="454"/>
      <c r="H23" s="453"/>
      <c r="I23" s="453"/>
    </row>
    <row r="24" spans="1:20" ht="15.95" customHeight="1" outlineLevel="2" x14ac:dyDescent="0.2">
      <c r="A24" s="206" t="s">
        <v>88</v>
      </c>
      <c r="B24" s="366">
        <f>+NNG!$D$24</f>
        <v>527563.34</v>
      </c>
      <c r="C24" s="392">
        <f t="shared" ref="C24:C39" si="0">+B24/$J$4</f>
        <v>254861.51690821256</v>
      </c>
      <c r="D24" s="14">
        <f>+NNG!D34</f>
        <v>31615</v>
      </c>
      <c r="E24" s="70">
        <f t="shared" ref="E24:E41" si="1">+C24-D24</f>
        <v>223246.51690821256</v>
      </c>
      <c r="F24" s="388">
        <f>+NNG!A24</f>
        <v>37192</v>
      </c>
      <c r="G24" s="415" t="s">
        <v>156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6">
        <f>+Conoco!$F$41</f>
        <v>429484.22</v>
      </c>
      <c r="C25" s="392">
        <f t="shared" si="0"/>
        <v>207480.29951690821</v>
      </c>
      <c r="D25" s="14">
        <f>+Conoco!D48</f>
        <v>6979</v>
      </c>
      <c r="E25" s="70">
        <f t="shared" si="1"/>
        <v>200501.29951690821</v>
      </c>
      <c r="F25" s="388">
        <f>+Conoco!A41</f>
        <v>37193</v>
      </c>
      <c r="G25" s="205" t="s">
        <v>158</v>
      </c>
      <c r="H25" s="32" t="s">
        <v>114</v>
      </c>
      <c r="I25" s="32" t="s">
        <v>181</v>
      </c>
      <c r="J25" s="32"/>
      <c r="K25" s="32"/>
    </row>
    <row r="26" spans="1:20" ht="13.5" customHeight="1" outlineLevel="2" x14ac:dyDescent="0.2">
      <c r="A26" s="32" t="s">
        <v>3</v>
      </c>
      <c r="B26" s="366">
        <f>+'Amoco Abo'!$F$43</f>
        <v>424908.32</v>
      </c>
      <c r="C26" s="392">
        <f t="shared" si="0"/>
        <v>205269.71980676331</v>
      </c>
      <c r="D26" s="14">
        <f>+'Amoco Abo'!D49</f>
        <v>-244346</v>
      </c>
      <c r="E26" s="70">
        <f t="shared" si="1"/>
        <v>449615.71980676334</v>
      </c>
      <c r="F26" s="389">
        <f>+'Amoco Abo'!A43</f>
        <v>37192</v>
      </c>
      <c r="G26" s="205" t="s">
        <v>157</v>
      </c>
      <c r="H26" s="32" t="s">
        <v>116</v>
      </c>
      <c r="I26" s="32" t="s">
        <v>182</v>
      </c>
      <c r="J26" s="32"/>
      <c r="K26" s="32"/>
    </row>
    <row r="27" spans="1:20" ht="13.5" customHeight="1" outlineLevel="2" x14ac:dyDescent="0.2">
      <c r="A27" s="32" t="s">
        <v>108</v>
      </c>
      <c r="B27" s="366">
        <f>+KN_Westar!F41</f>
        <v>366492.83</v>
      </c>
      <c r="C27" s="392">
        <f t="shared" si="0"/>
        <v>177049.67632850245</v>
      </c>
      <c r="D27" s="14">
        <f>+KN_Westar!D48</f>
        <v>-17932</v>
      </c>
      <c r="E27" s="70">
        <f t="shared" si="1"/>
        <v>194981.67632850245</v>
      </c>
      <c r="F27" s="389">
        <f>+KN_Westar!A41</f>
        <v>37193</v>
      </c>
      <c r="G27" s="205" t="s">
        <v>158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129</v>
      </c>
      <c r="B28" s="366">
        <f>+DEFS!F53</f>
        <v>-27645.900000000373</v>
      </c>
      <c r="C28" s="393">
        <f t="shared" si="0"/>
        <v>-13355.507246376992</v>
      </c>
      <c r="D28" s="14">
        <f>+DEFS!M53</f>
        <v>312660</v>
      </c>
      <c r="E28" s="70">
        <f t="shared" si="1"/>
        <v>-326015.507246377</v>
      </c>
      <c r="F28" s="389">
        <f>+DEFS!A40</f>
        <v>37193</v>
      </c>
      <c r="G28" s="205" t="s">
        <v>157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6">
        <f>+mewborne!$J$43</f>
        <v>406678.62</v>
      </c>
      <c r="C29" s="392">
        <f t="shared" si="0"/>
        <v>196463.10144927539</v>
      </c>
      <c r="D29" s="14">
        <f>+mewborne!D49</f>
        <v>166749</v>
      </c>
      <c r="E29" s="70">
        <f t="shared" si="1"/>
        <v>29714.101449275389</v>
      </c>
      <c r="F29" s="389">
        <f>+mewborne!A43</f>
        <v>37192</v>
      </c>
      <c r="G29" s="205" t="s">
        <v>158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151</v>
      </c>
      <c r="B30" s="366">
        <f>+PGETX!$H$39</f>
        <v>440420.99000000005</v>
      </c>
      <c r="C30" s="392">
        <f t="shared" si="0"/>
        <v>212763.76328502421</v>
      </c>
      <c r="D30" s="14">
        <f>+PGETX!E48</f>
        <v>101287</v>
      </c>
      <c r="E30" s="70">
        <f t="shared" si="1"/>
        <v>111476.76328502421</v>
      </c>
      <c r="F30" s="389">
        <f>+PGETX!E39</f>
        <v>37193</v>
      </c>
      <c r="G30" s="205" t="s">
        <v>156</v>
      </c>
      <c r="H30" s="32" t="s">
        <v>103</v>
      </c>
      <c r="I30" s="32" t="s">
        <v>184</v>
      </c>
      <c r="J30" s="32"/>
      <c r="K30" s="32"/>
    </row>
    <row r="31" spans="1:20" ht="14.1" customHeight="1" x14ac:dyDescent="0.2">
      <c r="A31" s="32" t="s">
        <v>83</v>
      </c>
      <c r="B31" s="366">
        <f>+PNM!$D$23</f>
        <v>448310.39</v>
      </c>
      <c r="C31" s="392">
        <f t="shared" si="0"/>
        <v>216575.06763285026</v>
      </c>
      <c r="D31" s="14">
        <f>+PNM!D30</f>
        <v>165516</v>
      </c>
      <c r="E31" s="70">
        <f t="shared" si="1"/>
        <v>51059.06763285026</v>
      </c>
      <c r="F31" s="389">
        <f>+PNM!A23</f>
        <v>37188</v>
      </c>
      <c r="G31" s="205" t="s">
        <v>157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6">
        <f>+EOG!J41</f>
        <v>-976.59999999999854</v>
      </c>
      <c r="C32" s="392">
        <f t="shared" si="0"/>
        <v>-471.78743961352592</v>
      </c>
      <c r="D32" s="14">
        <f>+EOG!D48</f>
        <v>-126760</v>
      </c>
      <c r="E32" s="70">
        <f t="shared" si="1"/>
        <v>126288.21256038647</v>
      </c>
      <c r="F32" s="388">
        <f>+EOG!A41</f>
        <v>37193</v>
      </c>
      <c r="G32" s="205" t="s">
        <v>158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134</v>
      </c>
      <c r="B33" s="366">
        <f>+SidR!D41</f>
        <v>-2954.01</v>
      </c>
      <c r="C33" s="392">
        <f>+B33/$J$5</f>
        <v>-1400.004739336493</v>
      </c>
      <c r="D33" s="14">
        <f>+SidR!D48</f>
        <v>-1626</v>
      </c>
      <c r="E33" s="70">
        <f t="shared" si="1"/>
        <v>225.995260663507</v>
      </c>
      <c r="F33" s="389">
        <f>+SidR!A41</f>
        <v>37193</v>
      </c>
      <c r="G33" s="205" t="s">
        <v>156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222</v>
      </c>
      <c r="B34" s="366">
        <f>+Dominion!D41</f>
        <v>170754.61</v>
      </c>
      <c r="C34" s="392">
        <f>+B34/$J$5</f>
        <v>80926.355450236966</v>
      </c>
      <c r="D34" s="14">
        <f>+Dominion!D48</f>
        <v>74753</v>
      </c>
      <c r="E34" s="70">
        <f t="shared" si="1"/>
        <v>6173.3554502369661</v>
      </c>
      <c r="F34" s="389">
        <f>+Dominion!A41</f>
        <v>37193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219</v>
      </c>
      <c r="B35" s="366">
        <f>+WTG!J41</f>
        <v>-60725.229999999996</v>
      </c>
      <c r="C35" s="392">
        <f t="shared" si="0"/>
        <v>-29335.859903381643</v>
      </c>
      <c r="D35" s="14">
        <f>+WTG!D48</f>
        <v>-15567</v>
      </c>
      <c r="E35" s="70">
        <f t="shared" si="1"/>
        <v>-13768.859903381643</v>
      </c>
      <c r="F35" s="389">
        <f>+WTG!A41</f>
        <v>37193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223</v>
      </c>
      <c r="B36" s="366">
        <f>+Devon!D41</f>
        <v>146047.28</v>
      </c>
      <c r="C36" s="392">
        <f>+B36/$J$5</f>
        <v>69216.720379146922</v>
      </c>
      <c r="D36" s="14">
        <f>+Devon!D48</f>
        <v>26935</v>
      </c>
      <c r="E36" s="70">
        <f t="shared" si="1"/>
        <v>42281.720379146922</v>
      </c>
      <c r="F36" s="389">
        <f>+Devon!A41</f>
        <v>37193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232</v>
      </c>
      <c r="B37" s="366">
        <f>+crosstex!F41</f>
        <v>-150281.65</v>
      </c>
      <c r="C37" s="392">
        <f>+B37/$J$4</f>
        <v>-72599.830917874395</v>
      </c>
      <c r="D37" s="14">
        <f>+crosstex!D48</f>
        <v>-49477</v>
      </c>
      <c r="E37" s="70">
        <f t="shared" si="1"/>
        <v>-23122.830917874395</v>
      </c>
      <c r="F37" s="389">
        <f>+crosstex!A41</f>
        <v>37193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233</v>
      </c>
      <c r="B38" s="366">
        <f>+Amarillo!P41</f>
        <v>118370.3</v>
      </c>
      <c r="C38" s="392">
        <f>+B38/$J$4</f>
        <v>57183.719806763293</v>
      </c>
      <c r="D38" s="14">
        <f>+Amarillo!D48</f>
        <v>49946</v>
      </c>
      <c r="E38" s="70">
        <f t="shared" si="1"/>
        <v>7237.7198067632926</v>
      </c>
      <c r="F38" s="389">
        <f>+Amarillo!A41</f>
        <v>37193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6">
        <f>+Continental!F43</f>
        <v>21316.080000000002</v>
      </c>
      <c r="C39" s="393">
        <f t="shared" si="0"/>
        <v>10297.623188405798</v>
      </c>
      <c r="D39" s="14">
        <f>+Continental!D50</f>
        <v>-5251</v>
      </c>
      <c r="E39" s="70">
        <f t="shared" si="1"/>
        <v>15548.623188405798</v>
      </c>
      <c r="F39" s="389">
        <f>+Continental!A43</f>
        <v>37193</v>
      </c>
      <c r="G39" s="205" t="s">
        <v>158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132</v>
      </c>
      <c r="B40" s="366">
        <f>+EPFS!D41</f>
        <v>64173.609999999986</v>
      </c>
      <c r="C40" s="393">
        <f>+B40/$J$5</f>
        <v>30414.033175355446</v>
      </c>
      <c r="D40" s="14">
        <f>+EPFS!D47</f>
        <v>45856</v>
      </c>
      <c r="E40" s="70">
        <f t="shared" si="1"/>
        <v>-15441.966824644554</v>
      </c>
      <c r="F40" s="388">
        <f>+EPFS!A41</f>
        <v>37193</v>
      </c>
      <c r="G40" s="205" t="s">
        <v>157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9">
        <f>+Agave!$D$24</f>
        <v>-195838.56000000003</v>
      </c>
      <c r="C41" s="394">
        <f>+B41/$J$4</f>
        <v>-94608.000000000015</v>
      </c>
      <c r="D41" s="370">
        <f>+Agave!D31</f>
        <v>-82882</v>
      </c>
      <c r="E41" s="72">
        <f t="shared" si="1"/>
        <v>-11726.000000000015</v>
      </c>
      <c r="F41" s="388">
        <f>+Agave!A24</f>
        <v>37192</v>
      </c>
      <c r="G41" s="205" t="s">
        <v>187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167</v>
      </c>
      <c r="B42" s="412">
        <f>SUBTOTAL(9,B24:B41)</f>
        <v>3126098.6399999997</v>
      </c>
      <c r="C42" s="419">
        <f>SUBTOTAL(9,C24:C41)</f>
        <v>1506730.6066808621</v>
      </c>
      <c r="D42" s="420">
        <f>SUBTOTAL(9,D24:D41)</f>
        <v>438455</v>
      </c>
      <c r="E42" s="421">
        <f>SUBTOTAL(9,E24:E41)</f>
        <v>1068275.6066808621</v>
      </c>
      <c r="F42" s="388"/>
      <c r="G42" s="373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168</v>
      </c>
      <c r="B44" s="412">
        <f>SUBTOTAL(9,B12:B41)</f>
        <v>2181580.189999999</v>
      </c>
      <c r="C44" s="419">
        <f>SUBTOTAL(9,C12:C41)</f>
        <v>1050188.8409803789</v>
      </c>
      <c r="D44" s="420">
        <f>SUBTOTAL(9,D12:D41)</f>
        <v>349448</v>
      </c>
      <c r="E44" s="421">
        <f>SUBTOTAL(9,E12:E41)</f>
        <v>700740.84098037856</v>
      </c>
      <c r="F44" s="388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6"/>
      <c r="C45" s="392"/>
      <c r="D45" s="392"/>
      <c r="E45" s="392"/>
      <c r="F45" s="373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143</v>
      </c>
      <c r="D49" s="7"/>
      <c r="I49" s="407" t="s">
        <v>79</v>
      </c>
      <c r="J49" s="410"/>
      <c r="K49" s="32"/>
    </row>
    <row r="50" spans="1:19" ht="13.5" customHeight="1" outlineLevel="2" x14ac:dyDescent="0.2">
      <c r="D50" s="7"/>
      <c r="I50" s="408" t="s">
        <v>30</v>
      </c>
      <c r="J50" s="411">
        <f>+J3</f>
        <v>2</v>
      </c>
      <c r="K50" s="428">
        <f ca="1">NOW()</f>
        <v>37194.822336689816</v>
      </c>
    </row>
    <row r="51" spans="1:19" ht="13.5" customHeight="1" outlineLevel="2" x14ac:dyDescent="0.2">
      <c r="A51" s="34" t="s">
        <v>149</v>
      </c>
      <c r="C51" s="34" t="s">
        <v>5</v>
      </c>
      <c r="D51" s="7"/>
      <c r="I51" s="409" t="s">
        <v>31</v>
      </c>
      <c r="J51" s="411">
        <f>+J4</f>
        <v>2.0699999999999998</v>
      </c>
      <c r="K51" s="32"/>
    </row>
    <row r="52" spans="1:19" ht="13.5" customHeight="1" outlineLevel="1" x14ac:dyDescent="0.2">
      <c r="D52" s="7"/>
      <c r="I52" s="408" t="s">
        <v>118</v>
      </c>
      <c r="J52" s="411">
        <f>+J5</f>
        <v>2.11</v>
      </c>
      <c r="K52" s="32"/>
    </row>
    <row r="53" spans="1:19" ht="13.5" customHeight="1" outlineLevel="2" x14ac:dyDescent="0.2"/>
    <row r="54" spans="1:19" ht="13.5" customHeight="1" outlineLevel="2" x14ac:dyDescent="0.2">
      <c r="A54" s="426" t="s">
        <v>170</v>
      </c>
      <c r="B54" s="427"/>
      <c r="E54" s="12" t="s">
        <v>207</v>
      </c>
    </row>
    <row r="55" spans="1:19" ht="13.5" customHeight="1" outlineLevel="2" x14ac:dyDescent="0.2">
      <c r="A55" s="32"/>
      <c r="B55" s="429" t="s">
        <v>198</v>
      </c>
      <c r="C55" s="429" t="s">
        <v>205</v>
      </c>
      <c r="D55" s="429" t="s">
        <v>202</v>
      </c>
      <c r="E55" s="12" t="s">
        <v>208</v>
      </c>
      <c r="F55" s="2" t="s">
        <v>152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90" t="s">
        <v>90</v>
      </c>
      <c r="B56" s="425" t="s">
        <v>0</v>
      </c>
      <c r="C56" s="402" t="s">
        <v>172</v>
      </c>
      <c r="D56" s="39" t="s">
        <v>206</v>
      </c>
      <c r="E56" s="39" t="s">
        <v>209</v>
      </c>
      <c r="F56" s="39" t="s">
        <v>150</v>
      </c>
      <c r="G56" s="414" t="s">
        <v>155</v>
      </c>
      <c r="H56" s="391" t="s">
        <v>102</v>
      </c>
      <c r="I56" s="390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4"/>
      <c r="C57" s="250"/>
    </row>
    <row r="58" spans="1:19" ht="13.5" customHeight="1" outlineLevel="1" x14ac:dyDescent="0.2">
      <c r="A58" s="390" t="s">
        <v>161</v>
      </c>
      <c r="B58" s="294"/>
      <c r="C58" s="250"/>
    </row>
    <row r="59" spans="1:19" ht="13.5" customHeight="1" outlineLevel="2" x14ac:dyDescent="0.2">
      <c r="A59" s="32" t="s">
        <v>95</v>
      </c>
      <c r="B59" s="392">
        <f>+Mojave!D40</f>
        <v>166696</v>
      </c>
      <c r="C59" s="366">
        <f>+B59*$J$4</f>
        <v>345060.72</v>
      </c>
      <c r="D59" s="47">
        <f>+Mojave!D47</f>
        <v>156101.01</v>
      </c>
      <c r="E59" s="47">
        <f>+C59-D59</f>
        <v>188959.70999999996</v>
      </c>
      <c r="F59" s="389">
        <f>+Mojave!A40</f>
        <v>37193</v>
      </c>
      <c r="H59" s="32" t="s">
        <v>101</v>
      </c>
      <c r="I59" s="32" t="s">
        <v>175</v>
      </c>
      <c r="J59" s="32"/>
      <c r="K59" s="32"/>
    </row>
    <row r="60" spans="1:19" ht="15" customHeight="1" outlineLevel="2" x14ac:dyDescent="0.2">
      <c r="A60" s="32" t="s">
        <v>33</v>
      </c>
      <c r="B60" s="393">
        <f>+SoCal!F40</f>
        <v>298318</v>
      </c>
      <c r="C60" s="366">
        <f>+B60*$J$4</f>
        <v>617518.26</v>
      </c>
      <c r="D60" s="47">
        <f>+SoCal!D47</f>
        <v>738535.83</v>
      </c>
      <c r="E60" s="47">
        <f>+C60-D60</f>
        <v>-121017.56999999995</v>
      </c>
      <c r="F60" s="389">
        <f>+SoCal!A40</f>
        <v>37193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188</v>
      </c>
      <c r="B61" s="392">
        <f>+'El Paso'!C39</f>
        <v>64269</v>
      </c>
      <c r="C61" s="366">
        <f>+B61*$J$4</f>
        <v>133036.82999999999</v>
      </c>
      <c r="D61" s="47">
        <f>+'El Paso'!C46</f>
        <v>-1583008</v>
      </c>
      <c r="E61" s="47">
        <f>+C61-D61</f>
        <v>1716044.83</v>
      </c>
      <c r="F61" s="389">
        <f>+'El Paso'!A39</f>
        <v>37193</v>
      </c>
      <c r="G61" s="448"/>
      <c r="H61" s="32" t="s">
        <v>101</v>
      </c>
      <c r="I61" s="32" t="s">
        <v>179</v>
      </c>
      <c r="J61" s="32"/>
      <c r="K61" s="32"/>
    </row>
    <row r="62" spans="1:19" ht="15" customHeight="1" outlineLevel="1" x14ac:dyDescent="0.2">
      <c r="A62" s="32" t="s">
        <v>115</v>
      </c>
      <c r="B62" s="394">
        <f>+'PG&amp;E'!D40</f>
        <v>86058</v>
      </c>
      <c r="C62" s="369">
        <f>+B62*$J$4</f>
        <v>178140.06</v>
      </c>
      <c r="D62" s="369">
        <f>+'PG&amp;E'!D47</f>
        <v>-21978.63</v>
      </c>
      <c r="E62" s="369">
        <f>+C62-D62</f>
        <v>200118.69</v>
      </c>
      <c r="F62" s="389">
        <f>+'PG&amp;E'!A40</f>
        <v>37193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162</v>
      </c>
      <c r="B63" s="419">
        <f>SUBTOTAL(9,B59:B62)</f>
        <v>615341</v>
      </c>
      <c r="C63" s="412">
        <f>SUBTOTAL(9,C59:C62)</f>
        <v>1273755.8700000001</v>
      </c>
      <c r="D63" s="412">
        <f>SUBTOTAL(9,D59:D62)</f>
        <v>-710349.79</v>
      </c>
      <c r="E63" s="412">
        <f>SUBTOTAL(9,E59:E62)</f>
        <v>1984105.6600000001</v>
      </c>
      <c r="F63" s="389"/>
      <c r="G63" s="205"/>
      <c r="H63" s="32"/>
      <c r="I63" s="32"/>
      <c r="J63" s="32"/>
      <c r="K63" s="32"/>
    </row>
    <row r="64" spans="1:19" ht="12.95" customHeight="1" x14ac:dyDescent="0.2">
      <c r="B64" s="294"/>
      <c r="C64" s="250"/>
      <c r="G64" s="205"/>
    </row>
    <row r="65" spans="1:11" ht="15" customHeight="1" x14ac:dyDescent="0.2">
      <c r="A65" s="390" t="s">
        <v>58</v>
      </c>
      <c r="B65" s="294"/>
      <c r="C65" s="250"/>
      <c r="G65" s="205"/>
    </row>
    <row r="66" spans="1:11" x14ac:dyDescent="0.2">
      <c r="A66" s="206" t="s">
        <v>29</v>
      </c>
      <c r="B66" s="392">
        <f>+williams!J40</f>
        <v>162658</v>
      </c>
      <c r="C66" s="366">
        <f>+B66*$J$3</f>
        <v>325316</v>
      </c>
      <c r="D66" s="47">
        <f>+williams!D48</f>
        <v>1071267</v>
      </c>
      <c r="E66" s="47">
        <f>+C66-D66</f>
        <v>-745951</v>
      </c>
      <c r="F66" s="388">
        <f>+williams!A40</f>
        <v>37193</v>
      </c>
      <c r="G66" s="205" t="s">
        <v>157</v>
      </c>
      <c r="H66" s="206" t="s">
        <v>148</v>
      </c>
      <c r="I66" s="32" t="s">
        <v>178</v>
      </c>
      <c r="J66" s="32"/>
      <c r="K66" s="32"/>
    </row>
    <row r="67" spans="1:11" x14ac:dyDescent="0.2">
      <c r="A67" s="32" t="s">
        <v>24</v>
      </c>
      <c r="B67" s="392">
        <f>+'Red C'!F43</f>
        <v>94100</v>
      </c>
      <c r="C67" s="367">
        <f>+B67*J3</f>
        <v>188200</v>
      </c>
      <c r="D67" s="202">
        <f>+'Red C'!D52</f>
        <v>578687.24</v>
      </c>
      <c r="E67" s="47">
        <f>+C67-D67</f>
        <v>-390487.24</v>
      </c>
      <c r="F67" s="388">
        <f>+'Red C'!B43</f>
        <v>37193</v>
      </c>
      <c r="G67" s="205" t="s">
        <v>157</v>
      </c>
      <c r="H67" s="32" t="s">
        <v>116</v>
      </c>
      <c r="I67" s="32" t="s">
        <v>176</v>
      </c>
      <c r="J67" s="32"/>
      <c r="K67" s="32"/>
    </row>
    <row r="68" spans="1:11" x14ac:dyDescent="0.2">
      <c r="A68" s="32" t="s">
        <v>6</v>
      </c>
      <c r="B68" s="392">
        <f>+Amoco!D40</f>
        <v>-5807</v>
      </c>
      <c r="C68" s="366">
        <f>+B68*$J$3</f>
        <v>-11614</v>
      </c>
      <c r="D68" s="47">
        <f>+Amoco!D47</f>
        <v>331338</v>
      </c>
      <c r="E68" s="47">
        <f>+C68-D68</f>
        <v>-342952</v>
      </c>
      <c r="F68" s="389">
        <f>+Amoco!A40</f>
        <v>37193</v>
      </c>
      <c r="G68" s="205" t="s">
        <v>157</v>
      </c>
      <c r="H68" s="32" t="s">
        <v>116</v>
      </c>
      <c r="I68" s="32" t="s">
        <v>177</v>
      </c>
      <c r="J68" s="32"/>
      <c r="K68" s="32"/>
    </row>
    <row r="69" spans="1:11" x14ac:dyDescent="0.2">
      <c r="A69" s="32" t="s">
        <v>189</v>
      </c>
      <c r="B69" s="392">
        <f>+'El Paso'!E39</f>
        <v>-94569</v>
      </c>
      <c r="C69" s="366">
        <f>+B69*$J$3</f>
        <v>-189138</v>
      </c>
      <c r="D69" s="47">
        <f>+'El Paso'!F46</f>
        <v>-657301</v>
      </c>
      <c r="E69" s="47">
        <f>+C69-D69</f>
        <v>468163</v>
      </c>
      <c r="F69" s="389">
        <f>+'El Paso'!A39</f>
        <v>37193</v>
      </c>
      <c r="G69" s="448"/>
      <c r="H69" s="32" t="s">
        <v>101</v>
      </c>
      <c r="I69" s="32" t="s">
        <v>179</v>
      </c>
      <c r="J69" s="32"/>
      <c r="K69" s="32"/>
    </row>
    <row r="70" spans="1:11" x14ac:dyDescent="0.2">
      <c r="A70" s="32" t="s">
        <v>1</v>
      </c>
      <c r="B70" s="394">
        <f>+NW!$F$41</f>
        <v>46543</v>
      </c>
      <c r="C70" s="369">
        <f>+B70*$J$3</f>
        <v>93086</v>
      </c>
      <c r="D70" s="369">
        <f>+NW!E49</f>
        <v>-356242</v>
      </c>
      <c r="E70" s="369">
        <f>+C70-D70</f>
        <v>449328</v>
      </c>
      <c r="F70" s="388">
        <f>+NW!B41</f>
        <v>37188</v>
      </c>
      <c r="G70" s="205" t="s">
        <v>157</v>
      </c>
      <c r="H70" s="32" t="s">
        <v>116</v>
      </c>
      <c r="I70" s="32"/>
      <c r="J70" s="32"/>
      <c r="K70" s="32"/>
    </row>
    <row r="71" spans="1:11" x14ac:dyDescent="0.2">
      <c r="A71" s="32" t="s">
        <v>163</v>
      </c>
      <c r="B71" s="419">
        <f>SUBTOTAL(9,B66:B70)</f>
        <v>202925</v>
      </c>
      <c r="C71" s="412">
        <f>SUBTOTAL(9,C66:C70)</f>
        <v>405850</v>
      </c>
      <c r="D71" s="412">
        <f>SUBTOTAL(9,D66:D70)</f>
        <v>967749.24</v>
      </c>
      <c r="E71" s="412">
        <f>SUBTOTAL(9,E66:E70)</f>
        <v>-561899.24</v>
      </c>
      <c r="F71" s="388"/>
      <c r="G71" s="205"/>
      <c r="H71" s="32"/>
      <c r="I71" s="32"/>
      <c r="J71" s="32"/>
      <c r="K71" s="32"/>
    </row>
    <row r="72" spans="1:11" x14ac:dyDescent="0.2">
      <c r="B72" s="294"/>
      <c r="C72" s="250"/>
      <c r="G72" s="205"/>
    </row>
    <row r="73" spans="1:11" x14ac:dyDescent="0.2">
      <c r="A73" s="390" t="s">
        <v>165</v>
      </c>
      <c r="B73" s="294"/>
      <c r="C73" s="250"/>
      <c r="G73" s="205"/>
    </row>
    <row r="74" spans="1:11" x14ac:dyDescent="0.2">
      <c r="A74" s="32" t="s">
        <v>89</v>
      </c>
      <c r="B74" s="392">
        <f>+NGPL!F38</f>
        <v>142693</v>
      </c>
      <c r="C74" s="366">
        <f>+B74*$J$4</f>
        <v>295374.50999999995</v>
      </c>
      <c r="D74" s="47">
        <f>+NGPL!D45</f>
        <v>378778.72</v>
      </c>
      <c r="E74" s="47">
        <f>+C74-D74</f>
        <v>-83404.210000000021</v>
      </c>
      <c r="F74" s="389">
        <f>+NGPL!A38</f>
        <v>37193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145</v>
      </c>
      <c r="B75" s="392">
        <f>+PEPL!D41</f>
        <v>-27477</v>
      </c>
      <c r="C75" s="367">
        <f>+B75*$J$4</f>
        <v>-56877.389999999992</v>
      </c>
      <c r="D75" s="47">
        <f>+PEPL!D47</f>
        <v>-128521.13</v>
      </c>
      <c r="E75" s="47">
        <f>+C75-D75</f>
        <v>71643.74000000002</v>
      </c>
      <c r="F75" s="389">
        <f>+PEPL!A41</f>
        <v>37193</v>
      </c>
      <c r="H75" s="32" t="s">
        <v>101</v>
      </c>
      <c r="I75" s="32" t="s">
        <v>144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16716</v>
      </c>
      <c r="C76" s="367">
        <f>+B76*$J$4</f>
        <v>34602.119999999995</v>
      </c>
      <c r="D76" s="202">
        <f>+CIG!D49</f>
        <v>384618.41</v>
      </c>
      <c r="E76" s="70">
        <f>+C76-D76</f>
        <v>-350016.29</v>
      </c>
      <c r="F76" s="389">
        <f>+CIG!A42</f>
        <v>37193</v>
      </c>
      <c r="G76" s="205" t="s">
        <v>158</v>
      </c>
      <c r="H76" s="32" t="s">
        <v>114</v>
      </c>
      <c r="I76" s="32" t="s">
        <v>190</v>
      </c>
      <c r="J76" s="32"/>
      <c r="K76" s="32"/>
    </row>
    <row r="77" spans="1:11" x14ac:dyDescent="0.2">
      <c r="A77" s="32" t="s">
        <v>7</v>
      </c>
      <c r="B77" s="393">
        <f>+Oasis!D40</f>
        <v>47677</v>
      </c>
      <c r="C77" s="366">
        <f>+B77*$J$4</f>
        <v>98691.39</v>
      </c>
      <c r="D77" s="47">
        <f>+Oasis!D47</f>
        <v>-261585.56</v>
      </c>
      <c r="E77" s="47">
        <f>+C77-D77</f>
        <v>360276.95</v>
      </c>
      <c r="F77" s="389">
        <f>+Oasis!B40</f>
        <v>37193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96">
        <f>+Lonestar!F42</f>
        <v>176</v>
      </c>
      <c r="C78" s="369">
        <f>+B78*$J$4</f>
        <v>364.32</v>
      </c>
      <c r="D78" s="369">
        <f>+Lonestar!D49</f>
        <v>-78503.28</v>
      </c>
      <c r="E78" s="369">
        <f>+C78-D78</f>
        <v>78867.600000000006</v>
      </c>
      <c r="F78" s="388">
        <f>+Lonestar!B42</f>
        <v>37193</v>
      </c>
      <c r="H78" s="32" t="s">
        <v>103</v>
      </c>
      <c r="I78" s="32"/>
      <c r="J78" s="32"/>
      <c r="K78" s="32"/>
    </row>
    <row r="79" spans="1:11" x14ac:dyDescent="0.2">
      <c r="A79" s="2" t="s">
        <v>166</v>
      </c>
      <c r="B79" s="413">
        <f>SUBTOTAL(9,B74:B78)</f>
        <v>179785</v>
      </c>
      <c r="C79" s="412">
        <f>SUBTOTAL(9,C74:C78)</f>
        <v>372154.95</v>
      </c>
      <c r="D79" s="412">
        <f>SUBTOTAL(9,D74:D78)</f>
        <v>294787.16000000003</v>
      </c>
      <c r="E79" s="412">
        <f>SUBTOTAL(9,E74:E78)</f>
        <v>77367.790000000008</v>
      </c>
      <c r="F79" s="388"/>
      <c r="H79" s="32"/>
      <c r="I79" s="32"/>
      <c r="J79" s="32"/>
      <c r="K79" s="32"/>
    </row>
    <row r="80" spans="1:11" x14ac:dyDescent="0.2">
      <c r="B80" s="294"/>
      <c r="C80" s="250"/>
    </row>
    <row r="81" spans="1:12" x14ac:dyDescent="0.2">
      <c r="A81" s="2" t="s">
        <v>171</v>
      </c>
      <c r="B81" s="413">
        <f>SUBTOTAL(9,B59:B78)</f>
        <v>998051</v>
      </c>
      <c r="C81" s="412">
        <f>SUBTOTAL(9,C59:C78)</f>
        <v>2051760.8200000003</v>
      </c>
      <c r="D81" s="412">
        <f>SUBTOTAL(9,D59:D78)</f>
        <v>552186.60999999987</v>
      </c>
      <c r="E81" s="412">
        <f>SUBTOTAL(9,E59:E78)</f>
        <v>1499574.2100000002</v>
      </c>
      <c r="F81" s="388"/>
      <c r="H81" s="32"/>
      <c r="I81" s="32"/>
      <c r="J81" s="32"/>
      <c r="K81" s="32"/>
    </row>
    <row r="82" spans="1:12" x14ac:dyDescent="0.2">
      <c r="A82" s="32"/>
      <c r="B82" s="366"/>
      <c r="C82" s="393"/>
      <c r="D82" s="366"/>
      <c r="E82" s="366"/>
      <c r="F82" s="388"/>
      <c r="H82" s="32"/>
      <c r="I82" s="32"/>
      <c r="J82" s="32"/>
      <c r="K82" s="32"/>
    </row>
    <row r="83" spans="1:12" x14ac:dyDescent="0.2">
      <c r="A83" s="32"/>
      <c r="B83" s="369"/>
      <c r="C83" s="392"/>
      <c r="D83" s="302"/>
      <c r="E83" s="302"/>
      <c r="F83" s="388"/>
      <c r="G83" s="32"/>
      <c r="I83" s="32"/>
      <c r="J83" s="32"/>
      <c r="K83" s="32"/>
      <c r="L83" s="32"/>
    </row>
    <row r="84" spans="1:12" ht="13.5" thickBot="1" x14ac:dyDescent="0.25">
      <c r="A84" s="2" t="s">
        <v>173</v>
      </c>
      <c r="B84" s="422">
        <f>+C81+B44</f>
        <v>4233341.01</v>
      </c>
      <c r="C84" s="208"/>
      <c r="D84" s="366"/>
      <c r="E84" s="366"/>
      <c r="F84" s="373"/>
      <c r="H84" s="32"/>
      <c r="I84" s="32"/>
      <c r="J84" s="32"/>
      <c r="K84" s="32"/>
    </row>
    <row r="85" spans="1:12" ht="13.5" thickTop="1" x14ac:dyDescent="0.2">
      <c r="A85" s="2" t="s">
        <v>174</v>
      </c>
      <c r="B85" s="14">
        <f>+B81+C44</f>
        <v>2048239.8409803789</v>
      </c>
      <c r="C85" s="395"/>
      <c r="D85" s="450"/>
      <c r="E85" s="302"/>
      <c r="F85" s="373"/>
      <c r="G85" s="32"/>
      <c r="H85" s="32"/>
      <c r="I85" s="32"/>
      <c r="J85" s="32"/>
    </row>
    <row r="86" spans="1:12" x14ac:dyDescent="0.2">
      <c r="A86" s="32"/>
      <c r="B86" s="47"/>
      <c r="C86" s="397"/>
      <c r="D86" s="302"/>
      <c r="E86" s="302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3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86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5" sqref="C3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193</v>
      </c>
      <c r="C4" s="293"/>
      <c r="D4" s="293"/>
      <c r="E4" s="3"/>
      <c r="F4" s="1"/>
      <c r="I4" s="3"/>
      <c r="J4" s="1"/>
      <c r="M4" s="3"/>
      <c r="N4" s="1"/>
    </row>
    <row r="5" spans="1:16" x14ac:dyDescent="0.2">
      <c r="A5" s="360" t="s">
        <v>11</v>
      </c>
      <c r="B5" s="469" t="s">
        <v>20</v>
      </c>
      <c r="C5" s="469" t="s">
        <v>21</v>
      </c>
      <c r="D5" s="469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70">
        <v>1</v>
      </c>
      <c r="B6" s="439">
        <v>138803</v>
      </c>
      <c r="C6" s="439">
        <v>136722</v>
      </c>
      <c r="D6" s="319">
        <f>+C6-B6</f>
        <v>-2081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70">
        <v>2</v>
      </c>
      <c r="B7" s="477">
        <v>134400</v>
      </c>
      <c r="C7" s="439">
        <v>136722</v>
      </c>
      <c r="D7" s="319">
        <f>+C7-B7</f>
        <v>2322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70">
        <v>3</v>
      </c>
      <c r="B8" s="477">
        <v>160965</v>
      </c>
      <c r="C8" s="439">
        <v>159041</v>
      </c>
      <c r="D8" s="319">
        <f t="shared" ref="D8:D36" si="0">+C8-B8</f>
        <v>-1924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70">
        <v>4</v>
      </c>
      <c r="B9" s="477">
        <v>159527</v>
      </c>
      <c r="C9" s="439">
        <v>157036</v>
      </c>
      <c r="D9" s="319">
        <f t="shared" si="0"/>
        <v>-2491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70">
        <v>5</v>
      </c>
      <c r="B10" s="477">
        <v>159470</v>
      </c>
      <c r="C10" s="439">
        <v>157036</v>
      </c>
      <c r="D10" s="319">
        <f t="shared" si="0"/>
        <v>-2434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70">
        <v>6</v>
      </c>
      <c r="B11" s="477">
        <v>140398</v>
      </c>
      <c r="C11" s="439">
        <v>138664</v>
      </c>
      <c r="D11" s="319">
        <f t="shared" si="0"/>
        <v>-1734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70">
        <v>7</v>
      </c>
      <c r="B12" s="477">
        <v>138409</v>
      </c>
      <c r="C12" s="439">
        <v>137035</v>
      </c>
      <c r="D12" s="319">
        <f t="shared" si="0"/>
        <v>-1374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70">
        <v>8</v>
      </c>
      <c r="B13" s="439">
        <v>138975</v>
      </c>
      <c r="C13" s="439">
        <v>137035</v>
      </c>
      <c r="D13" s="319">
        <f t="shared" si="0"/>
        <v>-1940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70">
        <v>9</v>
      </c>
      <c r="B14" s="439">
        <v>139250</v>
      </c>
      <c r="C14" s="439">
        <v>137036</v>
      </c>
      <c r="D14" s="319">
        <f t="shared" si="0"/>
        <v>-2214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70">
        <v>10</v>
      </c>
      <c r="B15" s="439">
        <v>145858</v>
      </c>
      <c r="C15" s="439">
        <v>143315</v>
      </c>
      <c r="D15" s="319">
        <f t="shared" si="0"/>
        <v>-2543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70">
        <v>11</v>
      </c>
      <c r="B16" s="439">
        <v>131899</v>
      </c>
      <c r="C16" s="439">
        <v>128424</v>
      </c>
      <c r="D16" s="319">
        <f t="shared" si="0"/>
        <v>-3475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70">
        <v>12</v>
      </c>
      <c r="B17" s="439">
        <v>123334</v>
      </c>
      <c r="C17" s="439">
        <v>121113</v>
      </c>
      <c r="D17" s="319">
        <f t="shared" si="0"/>
        <v>-2221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70">
        <v>13</v>
      </c>
      <c r="B18" s="439">
        <v>137989</v>
      </c>
      <c r="C18" s="439">
        <v>136074</v>
      </c>
      <c r="D18" s="319">
        <f t="shared" si="0"/>
        <v>-1915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70">
        <v>14</v>
      </c>
      <c r="B19" s="439">
        <v>117498</v>
      </c>
      <c r="C19" s="439">
        <v>115661</v>
      </c>
      <c r="D19" s="319">
        <f t="shared" si="0"/>
        <v>-1837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70">
        <v>15</v>
      </c>
      <c r="B20" s="439">
        <v>119985</v>
      </c>
      <c r="C20" s="439">
        <v>118408</v>
      </c>
      <c r="D20" s="319">
        <f t="shared" si="0"/>
        <v>-1577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70">
        <v>16</v>
      </c>
      <c r="B21" s="439">
        <v>102066</v>
      </c>
      <c r="C21" s="439">
        <v>100841</v>
      </c>
      <c r="D21" s="319">
        <f t="shared" si="0"/>
        <v>-1225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70">
        <v>17</v>
      </c>
      <c r="B22" s="477">
        <v>128257</v>
      </c>
      <c r="C22" s="439">
        <v>126123</v>
      </c>
      <c r="D22" s="319">
        <f t="shared" si="0"/>
        <v>-2134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70">
        <v>18</v>
      </c>
      <c r="B23" s="477">
        <v>113432</v>
      </c>
      <c r="C23" s="439">
        <v>110784</v>
      </c>
      <c r="D23" s="319">
        <f t="shared" si="0"/>
        <v>-2648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70">
        <v>19</v>
      </c>
      <c r="B24" s="477">
        <v>99384</v>
      </c>
      <c r="C24" s="439">
        <v>97036</v>
      </c>
      <c r="D24" s="319">
        <f t="shared" si="0"/>
        <v>-2348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70">
        <v>20</v>
      </c>
      <c r="B25" s="439">
        <v>99871</v>
      </c>
      <c r="C25" s="439">
        <v>97036</v>
      </c>
      <c r="D25" s="319">
        <f t="shared" si="0"/>
        <v>-2835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70">
        <v>21</v>
      </c>
      <c r="B26" s="439">
        <v>98105</v>
      </c>
      <c r="C26" s="439">
        <v>97036</v>
      </c>
      <c r="D26" s="319">
        <f t="shared" si="0"/>
        <v>-1069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70">
        <v>22</v>
      </c>
      <c r="B27" s="439">
        <v>99003</v>
      </c>
      <c r="C27" s="439">
        <v>97036</v>
      </c>
      <c r="D27" s="319">
        <f t="shared" si="0"/>
        <v>-1967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70">
        <v>23</v>
      </c>
      <c r="B28" s="439">
        <v>101491</v>
      </c>
      <c r="C28" s="439">
        <v>99923</v>
      </c>
      <c r="D28" s="319">
        <f t="shared" si="0"/>
        <v>-1568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70">
        <v>24</v>
      </c>
      <c r="B29" s="439">
        <v>104678</v>
      </c>
      <c r="C29" s="439">
        <v>102929</v>
      </c>
      <c r="D29" s="319">
        <f t="shared" si="0"/>
        <v>-1749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70">
        <v>25</v>
      </c>
      <c r="B30" s="439">
        <v>101505</v>
      </c>
      <c r="C30" s="439">
        <v>99946</v>
      </c>
      <c r="D30" s="319">
        <f t="shared" si="0"/>
        <v>-1559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70">
        <v>26</v>
      </c>
      <c r="B31" s="439">
        <v>99890</v>
      </c>
      <c r="C31" s="439">
        <v>98342</v>
      </c>
      <c r="D31" s="319">
        <f t="shared" si="0"/>
        <v>-1548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70">
        <v>27</v>
      </c>
      <c r="B32" s="439">
        <v>101202</v>
      </c>
      <c r="C32" s="439">
        <v>97037</v>
      </c>
      <c r="D32" s="319">
        <f t="shared" si="0"/>
        <v>-4165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70">
        <v>28</v>
      </c>
      <c r="B33" s="439">
        <v>98088</v>
      </c>
      <c r="C33" s="439">
        <v>97037</v>
      </c>
      <c r="D33" s="319">
        <f t="shared" si="0"/>
        <v>-1051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70">
        <v>29</v>
      </c>
      <c r="B34" s="439">
        <v>113492</v>
      </c>
      <c r="C34" s="439">
        <v>110967</v>
      </c>
      <c r="D34" s="319">
        <f t="shared" si="0"/>
        <v>-2525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70">
        <v>30</v>
      </c>
      <c r="B35" s="439"/>
      <c r="C35" s="439"/>
      <c r="D35" s="319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70">
        <v>31</v>
      </c>
      <c r="B36" s="439"/>
      <c r="C36" s="439"/>
      <c r="D36" s="319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70"/>
      <c r="B37" s="439">
        <f>SUM(B6:B36)</f>
        <v>3547224</v>
      </c>
      <c r="C37" s="439">
        <f>SUM(C6:C36)</f>
        <v>3491395</v>
      </c>
      <c r="D37" s="439">
        <f>SUM(D6:D36)</f>
        <v>-55829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">
      <c r="A38" s="471"/>
      <c r="B38" s="293"/>
      <c r="C38" s="472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">
      <c r="A39" s="56">
        <v>37164</v>
      </c>
      <c r="B39" s="293"/>
      <c r="C39" s="475"/>
      <c r="D39" s="538">
        <v>50022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">
      <c r="A40" s="56">
        <v>37193</v>
      </c>
      <c r="B40" s="293"/>
      <c r="C40" s="476"/>
      <c r="D40" s="319">
        <f>+D39+D37</f>
        <v>-5807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154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37164</v>
      </c>
      <c r="B45" s="32"/>
      <c r="C45" s="32"/>
      <c r="D45" s="462">
        <v>442996</v>
      </c>
    </row>
    <row r="46" spans="1:16" x14ac:dyDescent="0.2">
      <c r="A46" s="49">
        <f>+A40</f>
        <v>37193</v>
      </c>
      <c r="B46" s="32"/>
      <c r="C46" s="32"/>
      <c r="D46" s="399">
        <f>+D37*'by type_area'!J3</f>
        <v>-111658</v>
      </c>
    </row>
    <row r="47" spans="1:16" x14ac:dyDescent="0.2">
      <c r="A47" s="32"/>
      <c r="B47" s="32"/>
      <c r="C47" s="32"/>
      <c r="D47" s="202">
        <f>+D46+D45</f>
        <v>331338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1" workbookViewId="3">
      <selection activeCell="E32" sqref="E32:E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145353</v>
      </c>
      <c r="C8" s="11">
        <v>146854</v>
      </c>
      <c r="D8" s="11">
        <v>9099</v>
      </c>
      <c r="E8" s="11">
        <v>8482</v>
      </c>
      <c r="F8" s="11">
        <f>+C8-B8+E8-D8</f>
        <v>884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148871</v>
      </c>
      <c r="C9" s="11">
        <v>147629</v>
      </c>
      <c r="D9" s="11">
        <v>11309</v>
      </c>
      <c r="E9" s="11">
        <v>11028</v>
      </c>
      <c r="F9" s="11">
        <f t="shared" ref="F9:F39" si="5">+C9-B9+E9-D9</f>
        <v>-1523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132260</v>
      </c>
      <c r="C10" s="11">
        <v>131198</v>
      </c>
      <c r="D10" s="11">
        <v>12061</v>
      </c>
      <c r="E10" s="11">
        <v>11023</v>
      </c>
      <c r="F10" s="11">
        <f t="shared" si="5"/>
        <v>-2100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158287</v>
      </c>
      <c r="C11" s="11">
        <v>161331</v>
      </c>
      <c r="D11" s="11">
        <v>11215</v>
      </c>
      <c r="E11" s="11">
        <v>10026</v>
      </c>
      <c r="F11" s="11">
        <f t="shared" si="5"/>
        <v>1855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150005</v>
      </c>
      <c r="C12" s="11">
        <v>155485</v>
      </c>
      <c r="D12" s="11">
        <v>11187</v>
      </c>
      <c r="E12" s="11">
        <v>10026</v>
      </c>
      <c r="F12" s="11">
        <f t="shared" si="5"/>
        <v>4319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147020</v>
      </c>
      <c r="C13" s="11">
        <v>147623</v>
      </c>
      <c r="D13" s="11">
        <v>10981</v>
      </c>
      <c r="E13" s="11">
        <v>10527</v>
      </c>
      <c r="F13" s="11">
        <f t="shared" si="5"/>
        <v>149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147379</v>
      </c>
      <c r="C14" s="11">
        <v>147623</v>
      </c>
      <c r="D14" s="11">
        <v>11283</v>
      </c>
      <c r="E14" s="11">
        <v>10527</v>
      </c>
      <c r="F14" s="11">
        <f t="shared" si="5"/>
        <v>-512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149640</v>
      </c>
      <c r="C15" s="11">
        <v>149884</v>
      </c>
      <c r="D15" s="11">
        <v>10623</v>
      </c>
      <c r="E15" s="11">
        <v>10527</v>
      </c>
      <c r="F15" s="11">
        <f t="shared" si="5"/>
        <v>148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152511</v>
      </c>
      <c r="C16" s="11">
        <v>156042</v>
      </c>
      <c r="D16" s="11">
        <v>11164</v>
      </c>
      <c r="E16" s="11">
        <v>10026</v>
      </c>
      <c r="F16" s="11">
        <f t="shared" si="5"/>
        <v>2393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130577</v>
      </c>
      <c r="C17" s="11">
        <v>130605</v>
      </c>
      <c r="D17" s="11">
        <v>11189</v>
      </c>
      <c r="E17" s="11">
        <v>10026</v>
      </c>
      <c r="F17" s="11">
        <f t="shared" si="5"/>
        <v>-1135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141145</v>
      </c>
      <c r="C18" s="11">
        <v>141758</v>
      </c>
      <c r="D18" s="11">
        <v>11884</v>
      </c>
      <c r="E18" s="11">
        <v>10026</v>
      </c>
      <c r="F18" s="11">
        <f t="shared" si="5"/>
        <v>-1245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139292</v>
      </c>
      <c r="C19" s="11">
        <v>140259</v>
      </c>
      <c r="D19" s="11">
        <v>12091</v>
      </c>
      <c r="E19" s="11">
        <v>10026</v>
      </c>
      <c r="F19" s="11">
        <f t="shared" si="5"/>
        <v>-1098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130933</v>
      </c>
      <c r="C20" s="11">
        <v>130840</v>
      </c>
      <c r="D20" s="11">
        <v>11428</v>
      </c>
      <c r="E20" s="11">
        <v>10026</v>
      </c>
      <c r="F20" s="11">
        <f t="shared" si="5"/>
        <v>-1495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136677</v>
      </c>
      <c r="C21" s="11">
        <v>137539</v>
      </c>
      <c r="D21" s="11">
        <v>11438</v>
      </c>
      <c r="E21" s="11">
        <v>10026</v>
      </c>
      <c r="F21" s="11">
        <f t="shared" si="5"/>
        <v>-550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138580</v>
      </c>
      <c r="C22" s="11">
        <v>138921</v>
      </c>
      <c r="D22" s="11">
        <v>11283</v>
      </c>
      <c r="E22" s="11">
        <v>10026</v>
      </c>
      <c r="F22" s="11">
        <f t="shared" si="5"/>
        <v>-916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135545</v>
      </c>
      <c r="C23" s="11">
        <v>135169</v>
      </c>
      <c r="D23" s="11">
        <v>11680</v>
      </c>
      <c r="E23" s="11">
        <v>10026</v>
      </c>
      <c r="F23" s="11">
        <f t="shared" si="5"/>
        <v>-2030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128062</v>
      </c>
      <c r="C24" s="11">
        <v>126893</v>
      </c>
      <c r="D24" s="11">
        <v>12281</v>
      </c>
      <c r="E24" s="11">
        <v>10026</v>
      </c>
      <c r="F24" s="11">
        <f t="shared" si="5"/>
        <v>-3424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>
        <v>135250</v>
      </c>
      <c r="C25" s="11">
        <v>130079</v>
      </c>
      <c r="D25" s="11">
        <v>12128</v>
      </c>
      <c r="E25" s="11">
        <v>10026</v>
      </c>
      <c r="F25" s="11">
        <f t="shared" si="5"/>
        <v>-7273</v>
      </c>
      <c r="G25" s="318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156924</v>
      </c>
      <c r="C26" s="11">
        <v>130079</v>
      </c>
      <c r="D26" s="11">
        <v>11121</v>
      </c>
      <c r="E26" s="11">
        <v>10026</v>
      </c>
      <c r="F26" s="11">
        <f t="shared" si="5"/>
        <v>-27940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148720</v>
      </c>
      <c r="C27" s="11">
        <v>147816</v>
      </c>
      <c r="D27" s="11">
        <v>11112</v>
      </c>
      <c r="E27" s="11">
        <v>10026</v>
      </c>
      <c r="F27" s="11">
        <f t="shared" si="5"/>
        <v>-1990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5">
        <v>148792</v>
      </c>
      <c r="C28" s="150">
        <v>147337</v>
      </c>
      <c r="D28" s="150">
        <v>11118</v>
      </c>
      <c r="E28" s="150">
        <v>10026</v>
      </c>
      <c r="F28" s="11">
        <f t="shared" si="5"/>
        <v>-2547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5">
        <v>145208</v>
      </c>
      <c r="C29" s="150">
        <v>143977</v>
      </c>
      <c r="D29" s="150">
        <v>11116</v>
      </c>
      <c r="E29" s="150">
        <v>11529</v>
      </c>
      <c r="F29" s="11">
        <f t="shared" si="5"/>
        <v>-818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145575</v>
      </c>
      <c r="C30" s="150">
        <v>143237</v>
      </c>
      <c r="D30" s="150">
        <v>11115</v>
      </c>
      <c r="E30" s="150">
        <v>11529</v>
      </c>
      <c r="F30" s="11">
        <f t="shared" si="5"/>
        <v>-1924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143343</v>
      </c>
      <c r="C31" s="150">
        <v>142611</v>
      </c>
      <c r="D31" s="150">
        <v>12658</v>
      </c>
      <c r="E31" s="150">
        <v>12532</v>
      </c>
      <c r="F31" s="11">
        <f t="shared" si="5"/>
        <v>-858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148181</v>
      </c>
      <c r="C32" s="150">
        <v>147623</v>
      </c>
      <c r="D32" s="150">
        <v>12616</v>
      </c>
      <c r="E32" s="150">
        <v>12532</v>
      </c>
      <c r="F32" s="11">
        <f t="shared" si="5"/>
        <v>-642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143504</v>
      </c>
      <c r="C33" s="150">
        <v>142611</v>
      </c>
      <c r="D33" s="150">
        <v>12194</v>
      </c>
      <c r="E33" s="150">
        <v>12532</v>
      </c>
      <c r="F33" s="11">
        <f t="shared" si="5"/>
        <v>-555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149328</v>
      </c>
      <c r="C34" s="150">
        <v>143040</v>
      </c>
      <c r="D34" s="150">
        <v>12965</v>
      </c>
      <c r="E34" s="150">
        <v>12532</v>
      </c>
      <c r="F34" s="11">
        <f t="shared" si="5"/>
        <v>-6721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5">
        <v>144866</v>
      </c>
      <c r="C35" s="150">
        <v>142828</v>
      </c>
      <c r="D35" s="150">
        <v>12373</v>
      </c>
      <c r="E35" s="150">
        <v>12532</v>
      </c>
      <c r="F35" s="11">
        <f t="shared" si="5"/>
        <v>-1879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145704</v>
      </c>
      <c r="C36" s="150">
        <v>146188</v>
      </c>
      <c r="D36" s="150">
        <v>12214</v>
      </c>
      <c r="E36" s="150">
        <v>12532</v>
      </c>
      <c r="F36" s="11">
        <f t="shared" si="5"/>
        <v>802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4167532</v>
      </c>
      <c r="C39" s="150">
        <f>SUM(C8:C38)</f>
        <v>4133079</v>
      </c>
      <c r="D39" s="150">
        <f>SUM(D8:D38)</f>
        <v>334926</v>
      </c>
      <c r="E39" s="150">
        <f>SUM(E8:E38)</f>
        <v>310754</v>
      </c>
      <c r="F39" s="11">
        <f t="shared" si="5"/>
        <v>-58625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37164</v>
      </c>
      <c r="C42" s="153"/>
      <c r="D42" s="153"/>
      <c r="E42" s="153"/>
      <c r="F42" s="517">
        <v>152725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37193</v>
      </c>
      <c r="C43" s="142"/>
      <c r="D43" s="142"/>
      <c r="E43" s="142"/>
      <c r="F43" s="150">
        <f>+F42+F39</f>
        <v>94100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4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159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37164</v>
      </c>
      <c r="B50" s="32"/>
      <c r="C50" s="32"/>
      <c r="D50" s="533">
        <v>695937.24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37193</v>
      </c>
      <c r="B51" s="32"/>
      <c r="C51" s="32"/>
      <c r="D51" s="399">
        <f>+F39*'by type_area'!J3</f>
        <v>-117250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578687.24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0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0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0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0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9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2" workbookViewId="3">
      <selection activeCell="C33" sqref="C3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-89582</v>
      </c>
      <c r="C5" s="24">
        <v>-90050</v>
      </c>
      <c r="D5" s="24">
        <f>+C5-B5</f>
        <v>-468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-89081</v>
      </c>
      <c r="C6" s="51">
        <v>-90000</v>
      </c>
      <c r="D6" s="24">
        <f t="shared" ref="D6:D36" si="0">+C6-B6</f>
        <v>-919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-84203</v>
      </c>
      <c r="C7" s="51">
        <v>-85000</v>
      </c>
      <c r="D7" s="24">
        <f t="shared" si="0"/>
        <v>-797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-85082</v>
      </c>
      <c r="C8" s="51">
        <v>-86388</v>
      </c>
      <c r="D8" s="24">
        <f t="shared" si="0"/>
        <v>-1306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-80771</v>
      </c>
      <c r="C9" s="24">
        <v>-80000</v>
      </c>
      <c r="D9" s="24">
        <f t="shared" si="0"/>
        <v>771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-82815</v>
      </c>
      <c r="C10" s="24">
        <v>-87500</v>
      </c>
      <c r="D10" s="24">
        <f t="shared" si="0"/>
        <v>-4685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-88685</v>
      </c>
      <c r="C11" s="24">
        <v>-87500</v>
      </c>
      <c r="D11" s="24">
        <f t="shared" si="0"/>
        <v>1185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-89097</v>
      </c>
      <c r="C12" s="51">
        <v>-87500</v>
      </c>
      <c r="D12" s="24">
        <f t="shared" si="0"/>
        <v>1597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-112921</v>
      </c>
      <c r="C13" s="24">
        <v>-111893</v>
      </c>
      <c r="D13" s="24">
        <f t="shared" si="0"/>
        <v>1028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-108354</v>
      </c>
      <c r="C14" s="24">
        <v>-108062</v>
      </c>
      <c r="D14" s="24">
        <f t="shared" si="0"/>
        <v>292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-93600</v>
      </c>
      <c r="C15" s="24">
        <v>-93858</v>
      </c>
      <c r="D15" s="24">
        <f t="shared" si="0"/>
        <v>-258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-122074</v>
      </c>
      <c r="C16" s="24">
        <v>-121623</v>
      </c>
      <c r="D16" s="24">
        <f t="shared" si="0"/>
        <v>451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-111218</v>
      </c>
      <c r="C17" s="24">
        <v>-112200</v>
      </c>
      <c r="D17" s="24">
        <f t="shared" si="0"/>
        <v>-982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-111370</v>
      </c>
      <c r="C18" s="24">
        <v>-112200</v>
      </c>
      <c r="D18" s="24">
        <f t="shared" si="0"/>
        <v>-830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-111886</v>
      </c>
      <c r="C19" s="24">
        <v>-112200</v>
      </c>
      <c r="D19" s="24">
        <f t="shared" si="0"/>
        <v>-314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-78363</v>
      </c>
      <c r="C20" s="24">
        <v>-80000</v>
      </c>
      <c r="D20" s="24">
        <f t="shared" si="0"/>
        <v>-1637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-78316</v>
      </c>
      <c r="C21" s="24">
        <v>-80000</v>
      </c>
      <c r="D21" s="24">
        <f t="shared" si="0"/>
        <v>-1684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-83709</v>
      </c>
      <c r="C22" s="24">
        <v>-85100</v>
      </c>
      <c r="D22" s="24">
        <f t="shared" si="0"/>
        <v>-1391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-78443</v>
      </c>
      <c r="C23" s="24">
        <v>-80000</v>
      </c>
      <c r="D23" s="24">
        <f t="shared" si="0"/>
        <v>-1557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46">
        <v>-93944</v>
      </c>
      <c r="C24" s="24">
        <v>-93944</v>
      </c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-91677</v>
      </c>
      <c r="C25" s="24">
        <v>-93944</v>
      </c>
      <c r="D25" s="24">
        <f t="shared" si="0"/>
        <v>-2267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-92007</v>
      </c>
      <c r="C26" s="24">
        <v>-93944</v>
      </c>
      <c r="D26" s="24">
        <f t="shared" si="0"/>
        <v>-1937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-99541</v>
      </c>
      <c r="C27" s="24">
        <v>-100099</v>
      </c>
      <c r="D27" s="24">
        <f t="shared" si="0"/>
        <v>-558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-83977</v>
      </c>
      <c r="C28" s="24">
        <v>-90101</v>
      </c>
      <c r="D28" s="24">
        <f t="shared" si="0"/>
        <v>-6124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-72197</v>
      </c>
      <c r="C29" s="24">
        <v>-80000</v>
      </c>
      <c r="D29" s="24">
        <f t="shared" si="0"/>
        <v>-7803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-82853</v>
      </c>
      <c r="C30" s="24">
        <v>-90100</v>
      </c>
      <c r="D30" s="24">
        <f t="shared" si="0"/>
        <v>-7247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-101253</v>
      </c>
      <c r="C31" s="24">
        <v>-100063</v>
      </c>
      <c r="D31" s="24">
        <f t="shared" si="0"/>
        <v>1190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>
        <v>-97146</v>
      </c>
      <c r="C32" s="24">
        <v>-100063</v>
      </c>
      <c r="D32" s="24">
        <f t="shared" si="0"/>
        <v>-2917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-128222</v>
      </c>
      <c r="C33" s="24">
        <v>-100063</v>
      </c>
      <c r="D33" s="24">
        <f t="shared" si="0"/>
        <v>28159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2"/>
      <c r="W34" s="302"/>
      <c r="X34" s="302"/>
      <c r="Y34" s="302"/>
      <c r="Z34" s="149"/>
      <c r="AA34" s="150"/>
      <c r="AB34" s="150"/>
      <c r="AC34" s="150"/>
      <c r="AD34" s="302"/>
      <c r="AE34" s="302"/>
      <c r="AF34" s="302"/>
      <c r="AG34" s="302"/>
      <c r="AH34" s="302"/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  <c r="BL34" s="302"/>
      <c r="BM34" s="30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2"/>
      <c r="W35" s="302"/>
      <c r="X35" s="302"/>
      <c r="Y35" s="302"/>
      <c r="Z35" s="149"/>
      <c r="AA35" s="150"/>
      <c r="AB35" s="150"/>
      <c r="AC35" s="150"/>
      <c r="AD35" s="302"/>
      <c r="AE35" s="302"/>
      <c r="AF35" s="302"/>
      <c r="AG35" s="302"/>
      <c r="AH35" s="302"/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  <c r="BI35" s="302"/>
      <c r="BJ35" s="302"/>
      <c r="BK35" s="302"/>
      <c r="BL35" s="302"/>
      <c r="BM35" s="302"/>
    </row>
    <row r="36" spans="1:65" ht="14.1" customHeight="1" x14ac:dyDescent="0.2">
      <c r="A36" s="12"/>
      <c r="B36" s="24">
        <f>SUM(B5:B35)</f>
        <v>-2722387</v>
      </c>
      <c r="C36" s="24">
        <f>SUM(C5:C35)</f>
        <v>-2733395</v>
      </c>
      <c r="D36" s="24">
        <f t="shared" si="0"/>
        <v>-11008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2"/>
      <c r="W36" s="302"/>
      <c r="X36" s="302"/>
      <c r="Y36" s="302"/>
      <c r="Z36" s="149"/>
      <c r="AA36" s="150"/>
      <c r="AB36" s="150"/>
      <c r="AC36" s="150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2"/>
      <c r="W37" s="302"/>
      <c r="X37" s="302"/>
      <c r="Y37" s="302"/>
      <c r="Z37" s="206"/>
      <c r="AA37" s="208"/>
      <c r="AB37" s="208"/>
      <c r="AC37" s="208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</row>
    <row r="38" spans="1:65" x14ac:dyDescent="0.2">
      <c r="B38" s="253">
        <v>37164</v>
      </c>
      <c r="C38" s="24"/>
      <c r="D38" s="514">
        <v>58685</v>
      </c>
      <c r="E38" s="2"/>
      <c r="G38" s="24"/>
      <c r="H38" s="24"/>
      <c r="I38" s="150"/>
      <c r="J38" s="302"/>
      <c r="K38" s="150"/>
      <c r="L38" s="150"/>
      <c r="M38" s="150"/>
      <c r="N38" s="302"/>
      <c r="O38" s="150"/>
      <c r="P38" s="150"/>
      <c r="Q38" s="150"/>
      <c r="R38" s="302"/>
      <c r="S38" s="150"/>
      <c r="T38" s="150"/>
      <c r="U38" s="150"/>
      <c r="V38" s="302"/>
      <c r="W38" s="302"/>
      <c r="X38" s="302"/>
      <c r="Y38" s="302"/>
      <c r="Z38" s="302"/>
      <c r="AA38" s="150"/>
      <c r="AB38" s="150"/>
      <c r="AC38" s="150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</row>
    <row r="39" spans="1:65" x14ac:dyDescent="0.2">
      <c r="B39" s="253"/>
      <c r="C39" s="24"/>
      <c r="D39" s="24"/>
      <c r="E39" s="2"/>
      <c r="G39" s="24"/>
      <c r="H39" s="24"/>
      <c r="I39" s="150"/>
      <c r="J39" s="302"/>
      <c r="K39" s="150"/>
      <c r="L39" s="150"/>
      <c r="M39" s="150"/>
      <c r="N39" s="302"/>
      <c r="O39" s="150"/>
      <c r="P39" s="150"/>
      <c r="Q39" s="150"/>
      <c r="R39" s="302"/>
      <c r="S39" s="150"/>
      <c r="T39" s="150"/>
      <c r="U39" s="150"/>
      <c r="V39" s="302"/>
      <c r="W39" s="302"/>
      <c r="X39" s="302"/>
      <c r="Y39" s="302"/>
      <c r="Z39" s="302"/>
      <c r="AA39" s="150"/>
      <c r="AB39" s="150"/>
      <c r="AC39" s="150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</row>
    <row r="40" spans="1:65" ht="13.5" thickBot="1" x14ac:dyDescent="0.25">
      <c r="B40" s="253">
        <v>37193</v>
      </c>
      <c r="C40" s="24"/>
      <c r="D40" s="195">
        <f>+D36+D38</f>
        <v>47677</v>
      </c>
      <c r="E40" s="196"/>
      <c r="G40" s="24"/>
      <c r="H40" s="24"/>
      <c r="I40" s="150"/>
      <c r="J40" s="302"/>
      <c r="K40" s="150"/>
      <c r="L40" s="150"/>
      <c r="M40" s="150"/>
      <c r="N40" s="302"/>
      <c r="O40" s="150"/>
      <c r="P40" s="150"/>
      <c r="Q40" s="169"/>
      <c r="R40" s="302"/>
      <c r="S40" s="150"/>
      <c r="T40" s="150"/>
      <c r="U40" s="169"/>
      <c r="V40" s="302"/>
      <c r="W40" s="302"/>
      <c r="X40" s="302"/>
      <c r="Y40" s="302"/>
      <c r="Z40" s="302"/>
      <c r="AA40" s="150"/>
      <c r="AB40" s="150"/>
      <c r="AC40" s="169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</row>
    <row r="41" spans="1:65" ht="13.5" thickTop="1" x14ac:dyDescent="0.2">
      <c r="B41" s="254"/>
      <c r="C41"/>
      <c r="D41"/>
      <c r="E41" s="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</row>
    <row r="42" spans="1:65" x14ac:dyDescent="0.2">
      <c r="B42" s="2"/>
      <c r="C42"/>
      <c r="D4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</row>
    <row r="43" spans="1:65" x14ac:dyDescent="0.2">
      <c r="B43"/>
      <c r="C43"/>
      <c r="D43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1:65" x14ac:dyDescent="0.2">
      <c r="A44" s="32" t="s">
        <v>154</v>
      </c>
      <c r="B44" s="32"/>
      <c r="C44" s="32"/>
      <c r="D44" s="47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1:65" x14ac:dyDescent="0.2">
      <c r="A45" s="49">
        <f>+B38</f>
        <v>37164</v>
      </c>
      <c r="B45" s="32"/>
      <c r="C45" s="32"/>
      <c r="D45" s="457">
        <v>-238799</v>
      </c>
    </row>
    <row r="46" spans="1:65" x14ac:dyDescent="0.2">
      <c r="A46" s="49">
        <f>+B40</f>
        <v>37193</v>
      </c>
      <c r="B46" s="32"/>
      <c r="C46" s="32"/>
      <c r="D46" s="399">
        <f>+D36*'by type_area'!J4</f>
        <v>-22786.559999999998</v>
      </c>
    </row>
    <row r="47" spans="1:65" x14ac:dyDescent="0.2">
      <c r="A47" s="32"/>
      <c r="B47" s="32"/>
      <c r="C47" s="32"/>
      <c r="D47" s="202">
        <f>+D46+D45</f>
        <v>-261585.56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4" workbookViewId="3">
      <selection activeCell="C11" sqref="C1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958939</v>
      </c>
      <c r="C5" s="90">
        <v>987984</v>
      </c>
      <c r="D5" s="90">
        <f>+C5-B5</f>
        <v>29045</v>
      </c>
      <c r="E5" s="283"/>
      <c r="F5" s="281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604058</v>
      </c>
      <c r="C7" s="90">
        <v>700828</v>
      </c>
      <c r="D7" s="90">
        <f t="shared" si="0"/>
        <v>96770</v>
      </c>
      <c r="E7" s="283"/>
      <c r="F7" s="281"/>
      <c r="L7" t="s">
        <v>26</v>
      </c>
      <c r="M7">
        <v>7.6</v>
      </c>
    </row>
    <row r="8" spans="1:13" x14ac:dyDescent="0.2">
      <c r="A8" s="87">
        <v>500239</v>
      </c>
      <c r="B8" s="317">
        <v>752212</v>
      </c>
      <c r="C8" s="90">
        <v>791002</v>
      </c>
      <c r="D8" s="90">
        <f t="shared" si="0"/>
        <v>38790</v>
      </c>
      <c r="E8" s="283"/>
      <c r="F8" s="281"/>
    </row>
    <row r="9" spans="1:13" x14ac:dyDescent="0.2">
      <c r="A9" s="87">
        <v>500293</v>
      </c>
      <c r="B9" s="90">
        <v>363403</v>
      </c>
      <c r="C9" s="90">
        <v>546641</v>
      </c>
      <c r="D9" s="90">
        <f t="shared" si="0"/>
        <v>183238</v>
      </c>
      <c r="E9" s="283"/>
      <c r="F9" s="281"/>
    </row>
    <row r="10" spans="1:13" x14ac:dyDescent="0.2">
      <c r="A10" s="87">
        <v>500302</v>
      </c>
      <c r="B10" s="317"/>
      <c r="C10" s="317">
        <v>9576</v>
      </c>
      <c r="D10" s="90">
        <f t="shared" si="0"/>
        <v>9576</v>
      </c>
      <c r="E10" s="283"/>
      <c r="F10" s="281"/>
    </row>
    <row r="11" spans="1:13" x14ac:dyDescent="0.2">
      <c r="A11" s="87">
        <v>500303</v>
      </c>
      <c r="B11" s="317">
        <v>91133</v>
      </c>
      <c r="C11" s="90">
        <v>318769</v>
      </c>
      <c r="D11" s="90">
        <f t="shared" si="0"/>
        <v>227636</v>
      </c>
      <c r="E11" s="283"/>
      <c r="F11" s="281"/>
    </row>
    <row r="12" spans="1:13" x14ac:dyDescent="0.2">
      <c r="A12" s="91">
        <v>500305</v>
      </c>
      <c r="B12" s="317">
        <v>994937</v>
      </c>
      <c r="C12" s="90">
        <v>1028915</v>
      </c>
      <c r="D12" s="90">
        <f t="shared" si="0"/>
        <v>33978</v>
      </c>
      <c r="E12" s="284"/>
      <c r="F12" s="281"/>
    </row>
    <row r="13" spans="1:13" x14ac:dyDescent="0.2">
      <c r="A13" s="87">
        <v>500307</v>
      </c>
      <c r="B13" s="317">
        <v>53291</v>
      </c>
      <c r="C13" s="90">
        <v>55789</v>
      </c>
      <c r="D13" s="90">
        <f t="shared" si="0"/>
        <v>2498</v>
      </c>
      <c r="E13" s="283"/>
      <c r="F13" s="281"/>
    </row>
    <row r="14" spans="1:13" x14ac:dyDescent="0.2">
      <c r="A14" s="87">
        <v>500313</v>
      </c>
      <c r="B14" s="90"/>
      <c r="C14" s="317">
        <v>1761</v>
      </c>
      <c r="D14" s="90">
        <f t="shared" si="0"/>
        <v>1761</v>
      </c>
      <c r="E14" s="283"/>
      <c r="F14" s="281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">
      <c r="A16" s="87">
        <v>500655</v>
      </c>
      <c r="B16" s="323">
        <v>561433</v>
      </c>
      <c r="C16" s="90"/>
      <c r="D16" s="90">
        <f t="shared" si="0"/>
        <v>-561433</v>
      </c>
      <c r="E16" s="283"/>
      <c r="F16" s="281"/>
    </row>
    <row r="17" spans="1:6" x14ac:dyDescent="0.2">
      <c r="A17" s="87">
        <v>500657</v>
      </c>
      <c r="B17" s="333">
        <v>147490</v>
      </c>
      <c r="C17" s="88">
        <v>101000</v>
      </c>
      <c r="D17" s="94">
        <f t="shared" si="0"/>
        <v>-46490</v>
      </c>
      <c r="E17" s="283"/>
      <c r="F17" s="281"/>
    </row>
    <row r="18" spans="1:6" x14ac:dyDescent="0.2">
      <c r="A18" s="87"/>
      <c r="B18" s="88"/>
      <c r="C18" s="88"/>
      <c r="D18" s="88">
        <f>SUM(D5:D17)</f>
        <v>15369</v>
      </c>
      <c r="E18" s="283"/>
      <c r="F18" s="281"/>
    </row>
    <row r="19" spans="1:6" x14ac:dyDescent="0.2">
      <c r="A19" s="87" t="s">
        <v>82</v>
      </c>
      <c r="B19" s="88"/>
      <c r="C19" s="88"/>
      <c r="D19" s="95">
        <f>+summary!H4</f>
        <v>2.0699999999999998</v>
      </c>
      <c r="E19" s="285"/>
      <c r="F19" s="281"/>
    </row>
    <row r="20" spans="1:6" x14ac:dyDescent="0.2">
      <c r="A20" s="87"/>
      <c r="B20" s="88"/>
      <c r="C20" s="88"/>
      <c r="D20" s="96">
        <f>+D19*D18</f>
        <v>31813.829999999998</v>
      </c>
      <c r="E20" s="209"/>
      <c r="F20" s="282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37164</v>
      </c>
      <c r="B22" s="88"/>
      <c r="C22" s="88"/>
      <c r="D22" s="464">
        <v>-227652.39</v>
      </c>
      <c r="E22" s="209"/>
      <c r="F22" s="66"/>
    </row>
    <row r="23" spans="1:6" x14ac:dyDescent="0.2">
      <c r="A23" s="87"/>
      <c r="B23" s="88"/>
      <c r="C23" s="88"/>
      <c r="D23" s="320"/>
      <c r="E23" s="209"/>
      <c r="F23" s="66"/>
    </row>
    <row r="24" spans="1:6" ht="13.5" thickBot="1" x14ac:dyDescent="0.25">
      <c r="A24" s="99">
        <v>37192</v>
      </c>
      <c r="B24" s="88"/>
      <c r="C24" s="88"/>
      <c r="D24" s="332">
        <f>+D22+D20</f>
        <v>-195838.56000000003</v>
      </c>
      <c r="E24" s="209"/>
      <c r="F24" s="66"/>
    </row>
    <row r="25" spans="1:6" ht="13.5" thickTop="1" x14ac:dyDescent="0.2">
      <c r="E25" s="286"/>
    </row>
    <row r="28" spans="1:6" x14ac:dyDescent="0.2">
      <c r="A28" s="32" t="s">
        <v>153</v>
      </c>
      <c r="B28" s="32"/>
      <c r="C28" s="32"/>
      <c r="D28" s="32"/>
    </row>
    <row r="29" spans="1:6" x14ac:dyDescent="0.2">
      <c r="A29" s="49">
        <f>+A22</f>
        <v>37164</v>
      </c>
      <c r="B29" s="32"/>
      <c r="C29" s="32"/>
      <c r="D29" s="461">
        <v>-98251</v>
      </c>
    </row>
    <row r="30" spans="1:6" x14ac:dyDescent="0.2">
      <c r="A30" s="49">
        <f>+A24</f>
        <v>37192</v>
      </c>
      <c r="B30" s="32"/>
      <c r="C30" s="32"/>
      <c r="D30" s="370">
        <f>+D18</f>
        <v>15369</v>
      </c>
    </row>
    <row r="31" spans="1:6" x14ac:dyDescent="0.2">
      <c r="A31" s="32"/>
      <c r="B31" s="32"/>
      <c r="C31" s="32"/>
      <c r="D31" s="14">
        <f>+D30+D29</f>
        <v>-82882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24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B37" sqref="B3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4"/>
      <c r="J2" s="2"/>
      <c r="K2" s="2"/>
      <c r="L2" s="104"/>
      <c r="M2" s="143" t="s">
        <v>183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4" t="s">
        <v>40</v>
      </c>
      <c r="I3" s="4" t="s">
        <v>20</v>
      </c>
      <c r="J3" s="4" t="s">
        <v>21</v>
      </c>
      <c r="K3" s="43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27575</v>
      </c>
      <c r="C4" s="11">
        <v>31875</v>
      </c>
      <c r="D4" s="11">
        <v>33957</v>
      </c>
      <c r="E4" s="11">
        <v>35000</v>
      </c>
      <c r="F4" s="25">
        <f>+E4+C4-D4-B4</f>
        <v>5343</v>
      </c>
      <c r="G4" s="25"/>
      <c r="H4" s="434"/>
      <c r="I4" s="14"/>
      <c r="J4" s="14"/>
      <c r="K4" s="14">
        <f t="shared" ref="K4:K9" si="0">+J4-I4</f>
        <v>0</v>
      </c>
      <c r="L4" s="381"/>
      <c r="M4" s="75">
        <f t="shared" ref="M4:M9" si="1">+L4*K4</f>
        <v>0</v>
      </c>
    </row>
    <row r="5" spans="1:14" x14ac:dyDescent="0.2">
      <c r="A5" s="41">
        <v>2</v>
      </c>
      <c r="B5" s="11">
        <v>29197</v>
      </c>
      <c r="C5" s="11">
        <v>31875</v>
      </c>
      <c r="D5" s="11">
        <v>35953</v>
      </c>
      <c r="E5" s="11">
        <v>35000</v>
      </c>
      <c r="F5" s="25">
        <f t="shared" ref="F5:F34" si="2">+E5+C5-D5-B5</f>
        <v>1725</v>
      </c>
      <c r="G5" s="25"/>
      <c r="H5" s="43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1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31146</v>
      </c>
      <c r="C6" s="11">
        <v>31869</v>
      </c>
      <c r="D6" s="11">
        <v>34687</v>
      </c>
      <c r="E6" s="11">
        <v>34995</v>
      </c>
      <c r="F6" s="25">
        <f t="shared" si="2"/>
        <v>1031</v>
      </c>
      <c r="G6" s="25"/>
      <c r="H6" s="43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1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28676</v>
      </c>
      <c r="C7" s="11">
        <v>28875</v>
      </c>
      <c r="D7" s="11">
        <v>34678</v>
      </c>
      <c r="E7" s="11">
        <v>33000</v>
      </c>
      <c r="F7" s="25">
        <f t="shared" si="2"/>
        <v>-1479</v>
      </c>
      <c r="G7" s="25"/>
      <c r="H7" s="43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1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27422</v>
      </c>
      <c r="C8" s="11">
        <v>28535</v>
      </c>
      <c r="D8" s="11">
        <v>31717</v>
      </c>
      <c r="E8" s="11">
        <v>33000</v>
      </c>
      <c r="F8" s="25">
        <f t="shared" si="2"/>
        <v>2396</v>
      </c>
      <c r="G8" s="25"/>
      <c r="H8" s="43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1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28547</v>
      </c>
      <c r="C9" s="11">
        <v>27675</v>
      </c>
      <c r="D9" s="11">
        <v>31564</v>
      </c>
      <c r="E9" s="11">
        <v>31997</v>
      </c>
      <c r="F9" s="25">
        <f t="shared" si="2"/>
        <v>-439</v>
      </c>
      <c r="G9" s="25"/>
      <c r="H9" s="43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1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28967</v>
      </c>
      <c r="C10" s="11">
        <v>28535</v>
      </c>
      <c r="D10" s="129">
        <v>35155</v>
      </c>
      <c r="E10" s="11">
        <v>33000</v>
      </c>
      <c r="F10" s="25">
        <f t="shared" si="2"/>
        <v>-2587</v>
      </c>
      <c r="G10" s="25"/>
      <c r="H10" s="434"/>
      <c r="I10" s="14"/>
      <c r="J10" s="14"/>
      <c r="K10" s="14"/>
      <c r="L10" s="381"/>
      <c r="M10" s="15"/>
      <c r="N10" s="15">
        <f>SUM(N5:N9)</f>
        <v>489002.35</v>
      </c>
    </row>
    <row r="11" spans="1:14" x14ac:dyDescent="0.2">
      <c r="A11" s="41">
        <v>8</v>
      </c>
      <c r="B11" s="11">
        <v>26835</v>
      </c>
      <c r="C11" s="11">
        <v>28535</v>
      </c>
      <c r="D11" s="11">
        <v>32981</v>
      </c>
      <c r="E11" s="11">
        <v>33000</v>
      </c>
      <c r="F11" s="25">
        <f>+E11+C11-D11-B11</f>
        <v>1719</v>
      </c>
      <c r="G11" s="25"/>
      <c r="H11" s="434"/>
      <c r="I11" s="14"/>
      <c r="J11" s="14"/>
      <c r="K11" s="15"/>
      <c r="L11" s="381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27503</v>
      </c>
      <c r="C12" s="11">
        <v>28535</v>
      </c>
      <c r="D12" s="11">
        <v>31719</v>
      </c>
      <c r="E12" s="11">
        <v>33000</v>
      </c>
      <c r="F12" s="25">
        <f>+E12+C12-D12-B12</f>
        <v>2313</v>
      </c>
      <c r="G12" s="25"/>
      <c r="H12" s="434"/>
      <c r="I12" s="24"/>
      <c r="J12" s="24"/>
      <c r="K12" s="110"/>
      <c r="L12" s="436"/>
      <c r="M12" s="110"/>
    </row>
    <row r="13" spans="1:14" x14ac:dyDescent="0.2">
      <c r="A13" s="41">
        <v>10</v>
      </c>
      <c r="B13" s="129">
        <v>29468</v>
      </c>
      <c r="C13" s="11">
        <v>28535</v>
      </c>
      <c r="D13" s="129">
        <v>30984</v>
      </c>
      <c r="E13" s="11">
        <v>33000</v>
      </c>
      <c r="F13" s="25">
        <f t="shared" si="2"/>
        <v>1083</v>
      </c>
      <c r="G13" s="25"/>
      <c r="I13" s="24"/>
      <c r="J13" s="24"/>
      <c r="K13" s="24">
        <f>SUM(K4:K12)</f>
        <v>135930</v>
      </c>
      <c r="L13" s="436"/>
      <c r="M13" s="110">
        <f>SUM(M4:M12)</f>
        <v>489002.35000000003</v>
      </c>
    </row>
    <row r="14" spans="1:14" x14ac:dyDescent="0.2">
      <c r="A14" s="41">
        <v>11</v>
      </c>
      <c r="B14" s="11">
        <v>28368</v>
      </c>
      <c r="C14" s="11">
        <v>29285</v>
      </c>
      <c r="D14" s="11">
        <v>31036</v>
      </c>
      <c r="E14" s="11">
        <v>33000</v>
      </c>
      <c r="F14" s="25">
        <f t="shared" si="2"/>
        <v>2881</v>
      </c>
      <c r="G14" s="25"/>
    </row>
    <row r="15" spans="1:14" x14ac:dyDescent="0.2">
      <c r="A15" s="41">
        <v>12</v>
      </c>
      <c r="B15" s="11">
        <v>28657</v>
      </c>
      <c r="C15" s="11">
        <v>30785</v>
      </c>
      <c r="D15" s="11">
        <v>29793</v>
      </c>
      <c r="E15" s="11">
        <v>31500</v>
      </c>
      <c r="F15" s="25">
        <f t="shared" si="2"/>
        <v>3835</v>
      </c>
      <c r="G15" s="25"/>
    </row>
    <row r="16" spans="1:14" x14ac:dyDescent="0.2">
      <c r="A16" s="41">
        <v>13</v>
      </c>
      <c r="B16" s="11">
        <v>28110</v>
      </c>
      <c r="C16" s="11">
        <v>28785</v>
      </c>
      <c r="D16" s="11">
        <v>30346</v>
      </c>
      <c r="E16" s="11">
        <v>31500</v>
      </c>
      <c r="F16" s="25">
        <f t="shared" si="2"/>
        <v>1829</v>
      </c>
      <c r="G16" s="25"/>
    </row>
    <row r="17" spans="1:7" x14ac:dyDescent="0.2">
      <c r="A17" s="41">
        <v>14</v>
      </c>
      <c r="B17" s="11">
        <v>28136</v>
      </c>
      <c r="C17" s="11">
        <v>28785</v>
      </c>
      <c r="D17" s="11">
        <v>31474</v>
      </c>
      <c r="E17" s="11">
        <v>31500</v>
      </c>
      <c r="F17" s="25">
        <f t="shared" si="2"/>
        <v>675</v>
      </c>
      <c r="G17" s="25"/>
    </row>
    <row r="18" spans="1:7" x14ac:dyDescent="0.2">
      <c r="A18" s="41">
        <v>15</v>
      </c>
      <c r="B18" s="11">
        <v>27611</v>
      </c>
      <c r="C18" s="11">
        <v>28785</v>
      </c>
      <c r="D18" s="11">
        <v>31528</v>
      </c>
      <c r="E18" s="11">
        <v>31500</v>
      </c>
      <c r="F18" s="25">
        <f t="shared" si="2"/>
        <v>1146</v>
      </c>
      <c r="G18" s="25"/>
    </row>
    <row r="19" spans="1:7" x14ac:dyDescent="0.2">
      <c r="A19" s="41">
        <v>16</v>
      </c>
      <c r="B19" s="11">
        <v>28959</v>
      </c>
      <c r="C19" s="11">
        <v>28785</v>
      </c>
      <c r="D19" s="11">
        <v>30745</v>
      </c>
      <c r="E19" s="11">
        <v>31500</v>
      </c>
      <c r="F19" s="25">
        <f t="shared" si="2"/>
        <v>581</v>
      </c>
      <c r="G19" s="25"/>
    </row>
    <row r="20" spans="1:7" x14ac:dyDescent="0.2">
      <c r="A20" s="41">
        <v>17</v>
      </c>
      <c r="B20" s="11">
        <v>28740</v>
      </c>
      <c r="C20" s="11">
        <v>22785</v>
      </c>
      <c r="D20" s="11">
        <v>29891</v>
      </c>
      <c r="E20" s="11">
        <v>31500</v>
      </c>
      <c r="F20" s="25">
        <f t="shared" si="2"/>
        <v>-4346</v>
      </c>
      <c r="G20" s="25"/>
    </row>
    <row r="21" spans="1:7" x14ac:dyDescent="0.2">
      <c r="A21" s="41">
        <v>18</v>
      </c>
      <c r="B21" s="11">
        <v>24622</v>
      </c>
      <c r="C21" s="11">
        <v>25785</v>
      </c>
      <c r="D21" s="129">
        <v>31576</v>
      </c>
      <c r="E21" s="11">
        <v>31500</v>
      </c>
      <c r="F21" s="25">
        <f t="shared" si="2"/>
        <v>1087</v>
      </c>
      <c r="G21" s="25"/>
    </row>
    <row r="22" spans="1:7" x14ac:dyDescent="0.2">
      <c r="A22" s="41">
        <v>19</v>
      </c>
      <c r="B22" s="11">
        <v>26558</v>
      </c>
      <c r="C22" s="11">
        <v>25785</v>
      </c>
      <c r="D22" s="11">
        <v>28285</v>
      </c>
      <c r="E22" s="11">
        <v>31500</v>
      </c>
      <c r="F22" s="25">
        <f t="shared" si="2"/>
        <v>2442</v>
      </c>
      <c r="G22" s="25"/>
    </row>
    <row r="23" spans="1:7" x14ac:dyDescent="0.2">
      <c r="A23" s="41">
        <v>20</v>
      </c>
      <c r="B23" s="11">
        <v>26465</v>
      </c>
      <c r="C23" s="11">
        <v>28785</v>
      </c>
      <c r="D23" s="11">
        <v>27607</v>
      </c>
      <c r="E23" s="11">
        <v>31500</v>
      </c>
      <c r="F23" s="25">
        <f t="shared" si="2"/>
        <v>6213</v>
      </c>
      <c r="G23" s="25"/>
    </row>
    <row r="24" spans="1:7" x14ac:dyDescent="0.2">
      <c r="A24" s="41">
        <v>21</v>
      </c>
      <c r="B24" s="11">
        <v>26462</v>
      </c>
      <c r="C24" s="11">
        <v>28785</v>
      </c>
      <c r="D24" s="11">
        <v>28909</v>
      </c>
      <c r="E24" s="11">
        <v>31500</v>
      </c>
      <c r="F24" s="25">
        <f t="shared" si="2"/>
        <v>4914</v>
      </c>
      <c r="G24" s="25"/>
    </row>
    <row r="25" spans="1:7" x14ac:dyDescent="0.2">
      <c r="A25" s="41">
        <v>22</v>
      </c>
      <c r="B25" s="11">
        <v>26606</v>
      </c>
      <c r="C25" s="11">
        <v>28785</v>
      </c>
      <c r="D25" s="11">
        <v>31897</v>
      </c>
      <c r="E25" s="11">
        <v>31500</v>
      </c>
      <c r="F25" s="25">
        <f t="shared" si="2"/>
        <v>1782</v>
      </c>
      <c r="G25" s="25"/>
    </row>
    <row r="26" spans="1:7" x14ac:dyDescent="0.2">
      <c r="A26" s="41">
        <v>23</v>
      </c>
      <c r="B26" s="11">
        <v>26628</v>
      </c>
      <c r="C26" s="11">
        <v>28785</v>
      </c>
      <c r="D26" s="129">
        <v>31470</v>
      </c>
      <c r="E26" s="11">
        <v>31500</v>
      </c>
      <c r="F26" s="25">
        <f t="shared" si="2"/>
        <v>2187</v>
      </c>
    </row>
    <row r="27" spans="1:7" x14ac:dyDescent="0.2">
      <c r="A27" s="41">
        <v>24</v>
      </c>
      <c r="B27" s="11">
        <v>26495</v>
      </c>
      <c r="C27" s="11">
        <v>28785</v>
      </c>
      <c r="D27" s="11">
        <v>30663</v>
      </c>
      <c r="E27" s="11">
        <v>31500</v>
      </c>
      <c r="F27" s="25">
        <f t="shared" si="2"/>
        <v>3127</v>
      </c>
    </row>
    <row r="28" spans="1:7" x14ac:dyDescent="0.2">
      <c r="A28" s="41">
        <v>25</v>
      </c>
      <c r="B28" s="11">
        <v>27076</v>
      </c>
      <c r="C28" s="11">
        <v>28785</v>
      </c>
      <c r="D28" s="11">
        <v>32595</v>
      </c>
      <c r="E28" s="11">
        <v>31500</v>
      </c>
      <c r="F28" s="25">
        <f t="shared" si="2"/>
        <v>614</v>
      </c>
    </row>
    <row r="29" spans="1:7" x14ac:dyDescent="0.2">
      <c r="A29" s="41">
        <v>26</v>
      </c>
      <c r="B29" s="11">
        <v>29685</v>
      </c>
      <c r="C29" s="11">
        <v>30798</v>
      </c>
      <c r="D29" s="11">
        <v>31853</v>
      </c>
      <c r="E29" s="11">
        <v>29487</v>
      </c>
      <c r="F29" s="25">
        <f t="shared" si="2"/>
        <v>-1253</v>
      </c>
    </row>
    <row r="30" spans="1:7" x14ac:dyDescent="0.2">
      <c r="A30" s="41">
        <v>27</v>
      </c>
      <c r="B30" s="11">
        <v>34850</v>
      </c>
      <c r="C30" s="11">
        <v>34434</v>
      </c>
      <c r="D30" s="11">
        <v>33396</v>
      </c>
      <c r="E30" s="11">
        <v>29487</v>
      </c>
      <c r="F30" s="25">
        <f t="shared" si="2"/>
        <v>-4325</v>
      </c>
    </row>
    <row r="31" spans="1:7" x14ac:dyDescent="0.2">
      <c r="A31" s="41">
        <v>28</v>
      </c>
      <c r="B31" s="11">
        <v>35298</v>
      </c>
      <c r="C31" s="11">
        <v>34434</v>
      </c>
      <c r="D31" s="11">
        <v>31920</v>
      </c>
      <c r="E31" s="11">
        <v>29487</v>
      </c>
      <c r="F31" s="25">
        <f t="shared" si="2"/>
        <v>-3297</v>
      </c>
    </row>
    <row r="32" spans="1:7" x14ac:dyDescent="0.2">
      <c r="A32" s="41">
        <v>29</v>
      </c>
      <c r="B32" s="11">
        <v>44579</v>
      </c>
      <c r="C32" s="11">
        <v>41527</v>
      </c>
      <c r="D32" s="11">
        <v>31037</v>
      </c>
      <c r="E32" s="11">
        <v>29487</v>
      </c>
      <c r="F32" s="25">
        <f t="shared" si="2"/>
        <v>-4602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839241</v>
      </c>
      <c r="C35" s="11">
        <f>SUM(C4:C34)</f>
        <v>858312</v>
      </c>
      <c r="D35" s="11">
        <f>SUM(D4:D34)</f>
        <v>919416</v>
      </c>
      <c r="E35" s="11">
        <f>SUM(E4:E34)</f>
        <v>926940</v>
      </c>
      <c r="F35" s="11">
        <f>+E35-D35+C35-B35</f>
        <v>26595</v>
      </c>
    </row>
    <row r="36" spans="1:7" x14ac:dyDescent="0.2">
      <c r="A36" s="45"/>
      <c r="C36" s="14">
        <f>+C35-B35</f>
        <v>19071</v>
      </c>
      <c r="D36" s="14"/>
      <c r="E36" s="14">
        <f>+E35-D35</f>
        <v>7524</v>
      </c>
      <c r="F36" s="47"/>
    </row>
    <row r="37" spans="1:7" x14ac:dyDescent="0.2">
      <c r="C37" s="15">
        <f>+summary!H4</f>
        <v>2.0699999999999998</v>
      </c>
      <c r="D37" s="15"/>
      <c r="E37" s="15">
        <f>+C37</f>
        <v>2.0699999999999998</v>
      </c>
      <c r="F37" s="24"/>
    </row>
    <row r="38" spans="1:7" x14ac:dyDescent="0.2">
      <c r="C38" s="48">
        <f>+C37*C36</f>
        <v>39476.969999999994</v>
      </c>
      <c r="D38" s="47"/>
      <c r="E38" s="48">
        <f>+E37*E36</f>
        <v>15574.679999999998</v>
      </c>
      <c r="F38" s="46">
        <f>+E38+C38</f>
        <v>55051.649999999994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37164</v>
      </c>
      <c r="C40" s="523">
        <v>270930.61</v>
      </c>
      <c r="D40" s="111"/>
      <c r="E40" s="523">
        <v>103501.96</v>
      </c>
      <c r="F40" s="348">
        <f>+E40+C40</f>
        <v>374432.57</v>
      </c>
      <c r="G40" s="25"/>
    </row>
    <row r="41" spans="1:7" x14ac:dyDescent="0.2">
      <c r="A41" s="57">
        <v>37193</v>
      </c>
      <c r="C41" s="106">
        <f>+C40+C38</f>
        <v>310407.57999999996</v>
      </c>
      <c r="D41" s="106"/>
      <c r="E41" s="106">
        <f>+E40+E38</f>
        <v>119076.64</v>
      </c>
      <c r="F41" s="106">
        <f>+E41+C41</f>
        <v>429484.22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153</v>
      </c>
      <c r="E45" s="11"/>
      <c r="F45" s="11"/>
      <c r="G45" s="25"/>
    </row>
    <row r="46" spans="1:7" x14ac:dyDescent="0.2">
      <c r="A46" s="49">
        <f>+A40</f>
        <v>37164</v>
      </c>
      <c r="D46" s="242">
        <f>-57444+37828</f>
        <v>-19616</v>
      </c>
      <c r="E46" s="11"/>
      <c r="F46" s="11"/>
      <c r="G46" s="25"/>
    </row>
    <row r="47" spans="1:7" x14ac:dyDescent="0.2">
      <c r="A47" s="49">
        <f>+A41</f>
        <v>37193</v>
      </c>
      <c r="D47" s="370">
        <f>+F35</f>
        <v>26595</v>
      </c>
      <c r="E47" s="11"/>
      <c r="F47" s="11"/>
      <c r="G47" s="25"/>
    </row>
    <row r="48" spans="1:7" x14ac:dyDescent="0.2">
      <c r="D48" s="14">
        <f>+D47+D46</f>
        <v>6979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1" workbookViewId="3">
      <selection activeCell="C27" sqref="C2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160749</v>
      </c>
      <c r="C5" s="11">
        <v>160590</v>
      </c>
      <c r="D5" s="11"/>
      <c r="E5" s="11"/>
      <c r="F5" s="11">
        <f>+C5+E5-B5-D5</f>
        <v>-159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147094</v>
      </c>
      <c r="C6" s="11">
        <v>166627</v>
      </c>
      <c r="D6" s="11"/>
      <c r="E6" s="11">
        <v>-13300</v>
      </c>
      <c r="F6" s="11">
        <f t="shared" ref="F6:F35" si="2">+C6+E6-B6-D6</f>
        <v>6233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141605</v>
      </c>
      <c r="C7" s="11">
        <v>158060</v>
      </c>
      <c r="D7" s="11"/>
      <c r="E7" s="11">
        <v>-9154</v>
      </c>
      <c r="F7" s="11">
        <f t="shared" si="2"/>
        <v>7301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108446</v>
      </c>
      <c r="C8" s="11">
        <v>151998</v>
      </c>
      <c r="D8" s="11"/>
      <c r="E8" s="11">
        <v>-43753</v>
      </c>
      <c r="F8" s="11">
        <f t="shared" si="2"/>
        <v>-201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152809</v>
      </c>
      <c r="C9" s="11">
        <v>152223</v>
      </c>
      <c r="D9" s="11"/>
      <c r="E9" s="11"/>
      <c r="F9" s="11">
        <f t="shared" si="2"/>
        <v>-586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142248</v>
      </c>
      <c r="C10" s="11">
        <v>147763</v>
      </c>
      <c r="D10" s="11"/>
      <c r="E10" s="11">
        <v>-6187</v>
      </c>
      <c r="F10" s="11">
        <f t="shared" si="2"/>
        <v>-672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135677</v>
      </c>
      <c r="C11" s="11">
        <v>147763</v>
      </c>
      <c r="D11" s="11"/>
      <c r="E11" s="11">
        <v>-12839</v>
      </c>
      <c r="F11" s="11">
        <f t="shared" si="2"/>
        <v>-753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133080</v>
      </c>
      <c r="C12" s="11">
        <v>146829</v>
      </c>
      <c r="D12" s="11"/>
      <c r="E12" s="11">
        <v>-14511</v>
      </c>
      <c r="F12" s="11">
        <f t="shared" si="2"/>
        <v>-762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133272</v>
      </c>
      <c r="C13" s="11">
        <v>135780</v>
      </c>
      <c r="D13" s="11"/>
      <c r="E13" s="11">
        <v>-3838</v>
      </c>
      <c r="F13" s="11">
        <f t="shared" si="2"/>
        <v>-1330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161468</v>
      </c>
      <c r="C14" s="11">
        <v>160136</v>
      </c>
      <c r="D14" s="11"/>
      <c r="E14" s="11"/>
      <c r="F14" s="11">
        <f t="shared" si="2"/>
        <v>-1332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165590</v>
      </c>
      <c r="C15" s="11">
        <v>165047</v>
      </c>
      <c r="D15" s="11"/>
      <c r="E15" s="11"/>
      <c r="F15" s="11">
        <f t="shared" si="2"/>
        <v>-543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164899</v>
      </c>
      <c r="C16" s="11">
        <v>166227</v>
      </c>
      <c r="D16" s="11"/>
      <c r="E16" s="11">
        <v>-2610</v>
      </c>
      <c r="F16" s="11">
        <f t="shared" si="2"/>
        <v>-1282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171806</v>
      </c>
      <c r="C17" s="11">
        <v>171218</v>
      </c>
      <c r="D17" s="11"/>
      <c r="E17" s="11"/>
      <c r="F17" s="11">
        <f t="shared" si="2"/>
        <v>-588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173293</v>
      </c>
      <c r="C18" s="11">
        <v>172533</v>
      </c>
      <c r="D18" s="11"/>
      <c r="E18" s="11"/>
      <c r="F18" s="11">
        <f t="shared" si="2"/>
        <v>-760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174825</v>
      </c>
      <c r="C19" s="11">
        <v>174053</v>
      </c>
      <c r="D19" s="11"/>
      <c r="E19" s="11"/>
      <c r="F19" s="11">
        <f t="shared" si="2"/>
        <v>-772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230295</v>
      </c>
      <c r="C20" s="11">
        <v>229993</v>
      </c>
      <c r="D20" s="11"/>
      <c r="E20" s="11">
        <v>-395</v>
      </c>
      <c r="F20" s="11">
        <f t="shared" si="2"/>
        <v>-697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231817</v>
      </c>
      <c r="C21" s="11">
        <v>230919</v>
      </c>
      <c r="D21" s="11"/>
      <c r="E21" s="11"/>
      <c r="F21" s="11">
        <f t="shared" si="2"/>
        <v>-898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236035</v>
      </c>
      <c r="C22" s="11">
        <v>234990</v>
      </c>
      <c r="D22" s="11"/>
      <c r="E22" s="11"/>
      <c r="F22" s="11">
        <f t="shared" si="2"/>
        <v>-1045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211482</v>
      </c>
      <c r="C23" s="11">
        <v>213734</v>
      </c>
      <c r="D23" s="11"/>
      <c r="E23" s="11">
        <v>-3325</v>
      </c>
      <c r="F23" s="11">
        <f t="shared" si="2"/>
        <v>-1073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191513</v>
      </c>
      <c r="C24" s="11">
        <v>190541</v>
      </c>
      <c r="D24" s="11"/>
      <c r="E24" s="11"/>
      <c r="F24" s="11">
        <f t="shared" si="2"/>
        <v>-972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210426</v>
      </c>
      <c r="C25" s="11">
        <v>209288</v>
      </c>
      <c r="D25" s="11"/>
      <c r="E25" s="11"/>
      <c r="F25" s="11">
        <f t="shared" si="2"/>
        <v>-1138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185537</v>
      </c>
      <c r="C26" s="11">
        <v>184944</v>
      </c>
      <c r="D26" s="11"/>
      <c r="E26" s="11"/>
      <c r="F26" s="11">
        <f t="shared" si="2"/>
        <v>-593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219108</v>
      </c>
      <c r="C27" s="11">
        <v>217916</v>
      </c>
      <c r="D27" s="11"/>
      <c r="E27" s="11"/>
      <c r="F27" s="11">
        <f t="shared" si="2"/>
        <v>-1192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196138</v>
      </c>
      <c r="C28" s="11">
        <v>195339</v>
      </c>
      <c r="D28" s="11"/>
      <c r="E28" s="11"/>
      <c r="F28" s="11">
        <f t="shared" si="2"/>
        <v>-799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4179212</v>
      </c>
      <c r="C36" s="11">
        <f>SUM(C5:C35)</f>
        <v>4284511</v>
      </c>
      <c r="D36" s="11">
        <f>SUM(D5:D35)</f>
        <v>0</v>
      </c>
      <c r="E36" s="11">
        <f>SUM(E5:E35)</f>
        <v>-109912</v>
      </c>
      <c r="F36" s="11">
        <f>SUM(F5:F35)</f>
        <v>-4613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37164</v>
      </c>
      <c r="F39" s="513">
        <v>51156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37188</v>
      </c>
      <c r="F41" s="349">
        <f>+F39+F36</f>
        <v>46543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154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37164</v>
      </c>
      <c r="C47" s="32"/>
      <c r="D47" s="32"/>
      <c r="E47" s="467">
        <v>-347016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37188</v>
      </c>
      <c r="C48" s="32"/>
      <c r="D48" s="32"/>
      <c r="E48" s="399">
        <f>+F36*'by type_area'!J3</f>
        <v>-9226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-356242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51" sqref="C5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66647</v>
      </c>
      <c r="C8" s="11">
        <v>66187</v>
      </c>
      <c r="D8" s="11">
        <f>+C8-B8</f>
        <v>-460</v>
      </c>
      <c r="E8" s="10"/>
      <c r="F8" s="11"/>
      <c r="G8" s="11"/>
      <c r="H8" s="11"/>
    </row>
    <row r="9" spans="1:8" x14ac:dyDescent="0.2">
      <c r="A9" s="10">
        <v>2</v>
      </c>
      <c r="B9" s="11">
        <v>71935</v>
      </c>
      <c r="C9" s="11">
        <v>71189</v>
      </c>
      <c r="D9" s="11">
        <f t="shared" ref="D9:D38" si="0">+C9-B9</f>
        <v>-746</v>
      </c>
      <c r="E9" s="10"/>
      <c r="F9" s="11"/>
      <c r="G9" s="11"/>
      <c r="H9" s="11"/>
    </row>
    <row r="10" spans="1:8" x14ac:dyDescent="0.2">
      <c r="A10" s="10">
        <v>3</v>
      </c>
      <c r="B10" s="11">
        <v>69760</v>
      </c>
      <c r="C10" s="11">
        <v>70180</v>
      </c>
      <c r="D10" s="11">
        <f t="shared" si="0"/>
        <v>420</v>
      </c>
      <c r="E10" s="10"/>
      <c r="F10" s="11"/>
      <c r="G10" s="11"/>
      <c r="H10" s="11"/>
    </row>
    <row r="11" spans="1:8" x14ac:dyDescent="0.2">
      <c r="A11" s="10">
        <v>4</v>
      </c>
      <c r="B11" s="11">
        <v>77857</v>
      </c>
      <c r="C11" s="11">
        <v>78842</v>
      </c>
      <c r="D11" s="11">
        <f t="shared" si="0"/>
        <v>985</v>
      </c>
      <c r="E11" s="10"/>
      <c r="F11" s="11"/>
      <c r="G11" s="11"/>
      <c r="H11" s="11"/>
    </row>
    <row r="12" spans="1:8" x14ac:dyDescent="0.2">
      <c r="A12" s="10">
        <v>5</v>
      </c>
      <c r="B12" s="11">
        <v>66833</v>
      </c>
      <c r="C12" s="11">
        <v>65685</v>
      </c>
      <c r="D12" s="11">
        <f t="shared" si="0"/>
        <v>-1148</v>
      </c>
      <c r="E12" s="10"/>
      <c r="F12" s="11"/>
      <c r="G12" s="11"/>
      <c r="H12" s="11"/>
    </row>
    <row r="13" spans="1:8" x14ac:dyDescent="0.2">
      <c r="A13" s="10">
        <v>6</v>
      </c>
      <c r="B13" s="11">
        <v>75811</v>
      </c>
      <c r="C13" s="11">
        <v>75245</v>
      </c>
      <c r="D13" s="11">
        <f t="shared" si="0"/>
        <v>-566</v>
      </c>
      <c r="E13" s="10"/>
      <c r="F13" s="11"/>
      <c r="G13" s="11"/>
      <c r="H13" s="11"/>
    </row>
    <row r="14" spans="1:8" x14ac:dyDescent="0.2">
      <c r="A14" s="10">
        <v>7</v>
      </c>
      <c r="B14" s="11">
        <v>75009</v>
      </c>
      <c r="C14" s="11">
        <v>74971</v>
      </c>
      <c r="D14" s="11">
        <f t="shared" si="0"/>
        <v>-38</v>
      </c>
      <c r="E14" s="10"/>
      <c r="F14" s="11"/>
      <c r="G14" s="11"/>
      <c r="H14" s="11"/>
    </row>
    <row r="15" spans="1:8" x14ac:dyDescent="0.2">
      <c r="A15" s="10">
        <v>8</v>
      </c>
      <c r="B15" s="11">
        <v>74625</v>
      </c>
      <c r="C15" s="11">
        <v>74971</v>
      </c>
      <c r="D15" s="11">
        <f t="shared" si="0"/>
        <v>346</v>
      </c>
      <c r="E15" s="10"/>
      <c r="F15" s="11"/>
      <c r="G15" s="11"/>
      <c r="H15" s="11"/>
    </row>
    <row r="16" spans="1:8" x14ac:dyDescent="0.2">
      <c r="A16" s="10">
        <v>9</v>
      </c>
      <c r="B16" s="11">
        <v>51086</v>
      </c>
      <c r="C16" s="11">
        <v>50115</v>
      </c>
      <c r="D16" s="11">
        <f t="shared" si="0"/>
        <v>-971</v>
      </c>
      <c r="E16" s="10"/>
      <c r="F16" s="11"/>
      <c r="G16" s="11"/>
      <c r="H16" s="11"/>
    </row>
    <row r="17" spans="1:8" x14ac:dyDescent="0.2">
      <c r="A17" s="10">
        <v>10</v>
      </c>
      <c r="B17" s="11">
        <v>68131</v>
      </c>
      <c r="C17" s="11">
        <v>66189</v>
      </c>
      <c r="D17" s="11">
        <f t="shared" si="0"/>
        <v>-1942</v>
      </c>
      <c r="E17" s="10"/>
      <c r="F17" s="11"/>
      <c r="G17" s="11"/>
      <c r="H17" s="11"/>
    </row>
    <row r="18" spans="1:8" x14ac:dyDescent="0.2">
      <c r="A18" s="10">
        <v>11</v>
      </c>
      <c r="B18" s="11">
        <v>68328</v>
      </c>
      <c r="C18" s="11">
        <v>76393</v>
      </c>
      <c r="D18" s="11">
        <f t="shared" si="0"/>
        <v>8065</v>
      </c>
      <c r="E18" s="10"/>
      <c r="F18" s="11"/>
      <c r="G18" s="11"/>
      <c r="H18" s="11"/>
    </row>
    <row r="19" spans="1:8" x14ac:dyDescent="0.2">
      <c r="A19" s="10">
        <v>12</v>
      </c>
      <c r="B19" s="11">
        <v>88822</v>
      </c>
      <c r="C19" s="11">
        <v>87385</v>
      </c>
      <c r="D19" s="11">
        <f t="shared" si="0"/>
        <v>-1437</v>
      </c>
      <c r="E19" s="10"/>
      <c r="F19" s="11"/>
      <c r="G19" s="11"/>
      <c r="H19" s="11"/>
    </row>
    <row r="20" spans="1:8" x14ac:dyDescent="0.2">
      <c r="A20" s="10">
        <v>13</v>
      </c>
      <c r="B20" s="11">
        <v>84067</v>
      </c>
      <c r="C20" s="11">
        <v>83857</v>
      </c>
      <c r="D20" s="11">
        <f t="shared" si="0"/>
        <v>-210</v>
      </c>
      <c r="E20" s="10"/>
      <c r="F20" s="11"/>
      <c r="G20" s="11"/>
      <c r="H20" s="11"/>
    </row>
    <row r="21" spans="1:8" x14ac:dyDescent="0.2">
      <c r="A21" s="10">
        <v>14</v>
      </c>
      <c r="B21" s="11">
        <v>84689</v>
      </c>
      <c r="C21" s="11">
        <v>83858</v>
      </c>
      <c r="D21" s="11">
        <f t="shared" si="0"/>
        <v>-831</v>
      </c>
      <c r="E21" s="10"/>
      <c r="F21" s="11"/>
      <c r="G21" s="11"/>
      <c r="H21" s="11"/>
    </row>
    <row r="22" spans="1:8" x14ac:dyDescent="0.2">
      <c r="A22" s="10">
        <v>15</v>
      </c>
      <c r="B22" s="11">
        <v>84567</v>
      </c>
      <c r="C22" s="11">
        <v>83858</v>
      </c>
      <c r="D22" s="11">
        <f t="shared" si="0"/>
        <v>-709</v>
      </c>
      <c r="E22" s="10"/>
      <c r="F22" s="11"/>
      <c r="G22" s="11"/>
      <c r="H22" s="11"/>
    </row>
    <row r="23" spans="1:8" x14ac:dyDescent="0.2">
      <c r="A23" s="10">
        <v>16</v>
      </c>
      <c r="B23" s="11">
        <v>109840</v>
      </c>
      <c r="C23" s="11">
        <v>109059</v>
      </c>
      <c r="D23" s="11">
        <f t="shared" si="0"/>
        <v>-781</v>
      </c>
      <c r="E23" s="10"/>
      <c r="F23" s="11"/>
      <c r="G23" s="11"/>
      <c r="H23" s="11"/>
    </row>
    <row r="24" spans="1:8" x14ac:dyDescent="0.2">
      <c r="A24" s="10">
        <v>17</v>
      </c>
      <c r="B24" s="11">
        <v>79932</v>
      </c>
      <c r="C24" s="11">
        <v>79244</v>
      </c>
      <c r="D24" s="11">
        <f t="shared" si="0"/>
        <v>-688</v>
      </c>
      <c r="E24" s="10"/>
      <c r="F24" s="11"/>
      <c r="G24" s="11"/>
      <c r="H24" s="11"/>
    </row>
    <row r="25" spans="1:8" x14ac:dyDescent="0.2">
      <c r="A25" s="10">
        <v>18</v>
      </c>
      <c r="B25" s="11">
        <v>82693</v>
      </c>
      <c r="C25" s="11">
        <v>82171</v>
      </c>
      <c r="D25" s="11">
        <f t="shared" si="0"/>
        <v>-522</v>
      </c>
      <c r="E25" s="10"/>
      <c r="F25" s="11"/>
      <c r="G25" s="11"/>
      <c r="H25" s="11"/>
    </row>
    <row r="26" spans="1:8" x14ac:dyDescent="0.2">
      <c r="A26" s="10">
        <v>19</v>
      </c>
      <c r="B26" s="11">
        <v>85068</v>
      </c>
      <c r="C26" s="11">
        <v>85437</v>
      </c>
      <c r="D26" s="11">
        <f t="shared" si="0"/>
        <v>369</v>
      </c>
      <c r="E26" s="10"/>
      <c r="F26" s="11"/>
      <c r="G26" s="11"/>
      <c r="H26" s="11"/>
    </row>
    <row r="27" spans="1:8" x14ac:dyDescent="0.2">
      <c r="A27" s="10">
        <v>20</v>
      </c>
      <c r="B27" s="11">
        <v>76069</v>
      </c>
      <c r="C27" s="11">
        <v>76189</v>
      </c>
      <c r="D27" s="11">
        <f t="shared" si="0"/>
        <v>120</v>
      </c>
      <c r="E27" s="10"/>
      <c r="F27" s="11"/>
      <c r="G27" s="11"/>
      <c r="H27" s="11"/>
    </row>
    <row r="28" spans="1:8" x14ac:dyDescent="0.2">
      <c r="A28" s="10">
        <v>21</v>
      </c>
      <c r="B28" s="11">
        <v>79031</v>
      </c>
      <c r="C28" s="11">
        <v>78971</v>
      </c>
      <c r="D28" s="11">
        <f t="shared" si="0"/>
        <v>-60</v>
      </c>
      <c r="E28" s="10"/>
      <c r="F28" s="11"/>
      <c r="G28" s="11"/>
      <c r="H28" s="11"/>
    </row>
    <row r="29" spans="1:8" x14ac:dyDescent="0.2">
      <c r="A29" s="10">
        <v>22</v>
      </c>
      <c r="B29" s="11">
        <v>74169</v>
      </c>
      <c r="C29" s="11">
        <v>75685</v>
      </c>
      <c r="D29" s="11">
        <f t="shared" si="0"/>
        <v>1516</v>
      </c>
      <c r="E29" s="10"/>
      <c r="F29" s="11"/>
      <c r="G29" s="11"/>
      <c r="H29" s="11"/>
    </row>
    <row r="30" spans="1:8" x14ac:dyDescent="0.2">
      <c r="A30" s="10">
        <v>23</v>
      </c>
      <c r="B30" s="11">
        <v>66010</v>
      </c>
      <c r="C30" s="11">
        <v>65685</v>
      </c>
      <c r="D30" s="11">
        <f t="shared" si="0"/>
        <v>-325</v>
      </c>
      <c r="E30" s="10"/>
      <c r="F30" s="11"/>
      <c r="G30" s="11"/>
      <c r="H30" s="11"/>
    </row>
    <row r="31" spans="1:8" x14ac:dyDescent="0.2">
      <c r="A31" s="10">
        <v>24</v>
      </c>
      <c r="B31" s="11">
        <v>51002</v>
      </c>
      <c r="C31" s="11">
        <v>50802</v>
      </c>
      <c r="D31" s="11">
        <f t="shared" si="0"/>
        <v>-200</v>
      </c>
      <c r="E31" s="10"/>
      <c r="F31" s="11"/>
      <c r="G31" s="11"/>
      <c r="H31" s="11"/>
    </row>
    <row r="32" spans="1:8" x14ac:dyDescent="0.2">
      <c r="A32" s="10">
        <v>25</v>
      </c>
      <c r="B32" s="11">
        <v>55825</v>
      </c>
      <c r="C32" s="11">
        <v>55685</v>
      </c>
      <c r="D32" s="11">
        <f t="shared" si="0"/>
        <v>-140</v>
      </c>
      <c r="E32" s="10"/>
      <c r="F32" s="11"/>
      <c r="G32" s="11"/>
      <c r="H32" s="11"/>
    </row>
    <row r="33" spans="1:8" x14ac:dyDescent="0.2">
      <c r="A33" s="10">
        <v>26</v>
      </c>
      <c r="B33" s="11">
        <v>65789</v>
      </c>
      <c r="C33" s="11">
        <v>65437</v>
      </c>
      <c r="D33" s="11">
        <f t="shared" si="0"/>
        <v>-352</v>
      </c>
      <c r="E33" s="10"/>
      <c r="F33" s="11"/>
      <c r="G33" s="11"/>
      <c r="H33" s="11"/>
    </row>
    <row r="34" spans="1:8" x14ac:dyDescent="0.2">
      <c r="A34" s="10">
        <v>27</v>
      </c>
      <c r="B34" s="11">
        <v>62596</v>
      </c>
      <c r="C34" s="11">
        <v>57241</v>
      </c>
      <c r="D34" s="11">
        <f t="shared" si="0"/>
        <v>-5355</v>
      </c>
      <c r="E34" s="10"/>
      <c r="F34" s="11"/>
      <c r="G34" s="11"/>
      <c r="H34" s="11"/>
    </row>
    <row r="35" spans="1:8" x14ac:dyDescent="0.2">
      <c r="A35" s="10">
        <v>28</v>
      </c>
      <c r="B35" s="11">
        <v>58000</v>
      </c>
      <c r="C35" s="11">
        <v>57241</v>
      </c>
      <c r="D35" s="11">
        <f t="shared" si="0"/>
        <v>-759</v>
      </c>
      <c r="E35" s="10"/>
      <c r="F35" s="11"/>
      <c r="G35" s="11"/>
      <c r="H35" s="11"/>
    </row>
    <row r="36" spans="1:8" x14ac:dyDescent="0.2">
      <c r="A36" s="10">
        <v>29</v>
      </c>
      <c r="B36" s="11">
        <v>57287</v>
      </c>
      <c r="C36" s="11">
        <v>57241</v>
      </c>
      <c r="D36" s="11">
        <f t="shared" si="0"/>
        <v>-46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2111478</v>
      </c>
      <c r="C39" s="11">
        <f>SUM(C8:C38)</f>
        <v>2105013</v>
      </c>
      <c r="D39" s="11">
        <f>SUM(D8:D38)</f>
        <v>-6465</v>
      </c>
      <c r="E39" s="10"/>
      <c r="F39" s="11"/>
      <c r="G39" s="11"/>
      <c r="H39" s="11"/>
    </row>
    <row r="40" spans="1:8" x14ac:dyDescent="0.2">
      <c r="A40" s="26"/>
      <c r="D40" s="75">
        <f>+summary!H4</f>
        <v>2.0699999999999998</v>
      </c>
      <c r="E40" s="26"/>
      <c r="H40" s="75"/>
    </row>
    <row r="41" spans="1:8" x14ac:dyDescent="0.2">
      <c r="D41" s="197">
        <f>+D40*D39</f>
        <v>-13382.55</v>
      </c>
      <c r="F41" s="250"/>
      <c r="H41" s="197"/>
    </row>
    <row r="42" spans="1:8" x14ac:dyDescent="0.2">
      <c r="A42" s="57">
        <v>37164</v>
      </c>
      <c r="D42" s="534">
        <v>48682.53</v>
      </c>
      <c r="E42" s="57"/>
      <c r="H42" s="197"/>
    </row>
    <row r="43" spans="1:8" x14ac:dyDescent="0.2">
      <c r="A43" s="57">
        <v>37193</v>
      </c>
      <c r="D43" s="198">
        <f>+D42+D41</f>
        <v>35299.979999999996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153</v>
      </c>
      <c r="B47" s="32"/>
      <c r="C47" s="32"/>
      <c r="D47" s="32"/>
    </row>
    <row r="48" spans="1:8" x14ac:dyDescent="0.2">
      <c r="A48" s="49">
        <f>+A42</f>
        <v>37164</v>
      </c>
      <c r="B48" s="32"/>
      <c r="C48" s="32"/>
      <c r="D48" s="522">
        <v>-32354</v>
      </c>
    </row>
    <row r="49" spans="1:4" x14ac:dyDescent="0.2">
      <c r="A49" s="49">
        <f>+A43</f>
        <v>37193</v>
      </c>
      <c r="B49" s="32"/>
      <c r="C49" s="32"/>
      <c r="D49" s="370">
        <f>+D39</f>
        <v>-6465</v>
      </c>
    </row>
    <row r="50" spans="1:4" x14ac:dyDescent="0.2">
      <c r="A50" s="32"/>
      <c r="B50" s="32"/>
      <c r="C50" s="32"/>
      <c r="D50" s="14">
        <f>+D49+D48</f>
        <v>-38819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1" sqref="B1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4">
        <v>37164</v>
      </c>
      <c r="C5" s="528">
        <v>1350302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37193</v>
      </c>
      <c r="J7" s="32"/>
    </row>
    <row r="8" spans="1:10" x14ac:dyDescent="0.2">
      <c r="A8" s="251">
        <v>50895</v>
      </c>
      <c r="B8" s="356">
        <f>6567-6537-156</f>
        <v>-126</v>
      </c>
      <c r="J8" s="32"/>
    </row>
    <row r="9" spans="1:10" x14ac:dyDescent="0.2">
      <c r="A9" s="251">
        <v>60874</v>
      </c>
      <c r="B9" s="356">
        <f>3195+47</f>
        <v>3242</v>
      </c>
      <c r="J9" s="32"/>
    </row>
    <row r="10" spans="1:10" x14ac:dyDescent="0.2">
      <c r="A10" s="251">
        <v>78169</v>
      </c>
      <c r="B10" s="356">
        <f>767919-711929-23298</f>
        <v>32692</v>
      </c>
      <c r="J10" s="32"/>
    </row>
    <row r="11" spans="1:10" x14ac:dyDescent="0.2">
      <c r="A11" s="32">
        <v>500235</v>
      </c>
      <c r="B11" s="14"/>
      <c r="J11" s="32"/>
    </row>
    <row r="12" spans="1:10" x14ac:dyDescent="0.2">
      <c r="A12" s="251">
        <v>500248</v>
      </c>
      <c r="B12" s="358"/>
      <c r="J12" s="32"/>
    </row>
    <row r="13" spans="1:10" x14ac:dyDescent="0.2">
      <c r="A13" s="251">
        <v>500251</v>
      </c>
      <c r="B13" s="330">
        <f>14275-14960-647</f>
        <v>-1332</v>
      </c>
      <c r="J13" s="32"/>
    </row>
    <row r="14" spans="1:10" x14ac:dyDescent="0.2">
      <c r="A14" s="251">
        <v>500254</v>
      </c>
      <c r="B14" s="330">
        <f>3711-4253</f>
        <v>-542</v>
      </c>
      <c r="J14" s="32"/>
    </row>
    <row r="15" spans="1:10" x14ac:dyDescent="0.2">
      <c r="A15" s="32">
        <v>500255</v>
      </c>
      <c r="B15" s="330">
        <f>15702-8117-614-614-614-614</f>
        <v>5129</v>
      </c>
      <c r="J15" s="32"/>
    </row>
    <row r="16" spans="1:10" x14ac:dyDescent="0.2">
      <c r="A16" s="32">
        <v>500262</v>
      </c>
      <c r="B16" s="330">
        <f>5710-8116-346</f>
        <v>-2752</v>
      </c>
      <c r="J16" s="32"/>
    </row>
    <row r="17" spans="1:10" x14ac:dyDescent="0.2">
      <c r="A17" s="288">
        <v>500267</v>
      </c>
      <c r="B17" s="357">
        <f>1560861-1540010-60155</f>
        <v>-39304</v>
      </c>
      <c r="J17" s="32"/>
    </row>
    <row r="18" spans="1:10" x14ac:dyDescent="0.2">
      <c r="B18" s="14">
        <f>SUM(B8:B17)</f>
        <v>-2993</v>
      </c>
      <c r="J18" s="32"/>
    </row>
    <row r="19" spans="1:10" x14ac:dyDescent="0.2">
      <c r="B19" s="15">
        <f>+B32</f>
        <v>2.0699999999999998</v>
      </c>
      <c r="C19" s="201">
        <f>+B19*B18</f>
        <v>-6195.5099999999993</v>
      </c>
      <c r="G19" s="32"/>
      <c r="H19" s="404"/>
      <c r="I19" s="14"/>
      <c r="J19" s="32"/>
    </row>
    <row r="20" spans="1:10" x14ac:dyDescent="0.2">
      <c r="C20" s="336">
        <f>+C19+C5</f>
        <v>1344106.49</v>
      </c>
      <c r="E20" s="15"/>
      <c r="G20" s="32"/>
      <c r="H20" s="404"/>
      <c r="I20" s="14"/>
      <c r="J20" s="32"/>
    </row>
    <row r="21" spans="1:10" x14ac:dyDescent="0.2">
      <c r="E21" s="15"/>
      <c r="G21" s="32"/>
      <c r="H21" s="404"/>
      <c r="I21" s="14"/>
      <c r="J21" s="32"/>
    </row>
    <row r="22" spans="1:10" x14ac:dyDescent="0.2">
      <c r="A22" s="32" t="s">
        <v>87</v>
      </c>
      <c r="G22" s="32"/>
      <c r="H22" s="404"/>
      <c r="I22" s="14"/>
      <c r="J22" s="32"/>
    </row>
    <row r="23" spans="1:10" x14ac:dyDescent="0.2">
      <c r="A23" s="2" t="s">
        <v>74</v>
      </c>
      <c r="G23" s="32"/>
      <c r="H23" s="404"/>
      <c r="I23" s="14"/>
      <c r="J23" s="32"/>
    </row>
    <row r="24" spans="1:10" x14ac:dyDescent="0.2">
      <c r="G24" s="32"/>
      <c r="H24" s="404"/>
      <c r="I24" s="14"/>
      <c r="J24" s="32"/>
    </row>
    <row r="25" spans="1:10" x14ac:dyDescent="0.2">
      <c r="G25" s="32"/>
      <c r="H25" s="404"/>
      <c r="I25" s="14"/>
      <c r="J25" s="32"/>
    </row>
    <row r="26" spans="1:10" x14ac:dyDescent="0.2">
      <c r="A26" s="200">
        <v>37164</v>
      </c>
      <c r="C26" s="528">
        <v>275313.71999999997</v>
      </c>
      <c r="G26" s="32"/>
      <c r="H26" s="15"/>
      <c r="I26" s="14"/>
      <c r="J26" s="32"/>
    </row>
    <row r="27" spans="1:10" x14ac:dyDescent="0.2">
      <c r="F27" s="265"/>
      <c r="G27" s="32"/>
      <c r="H27" s="15"/>
      <c r="I27" s="32"/>
      <c r="J27" s="32"/>
    </row>
    <row r="28" spans="1:10" x14ac:dyDescent="0.2">
      <c r="A28" s="57">
        <v>37193</v>
      </c>
      <c r="G28" s="32"/>
      <c r="H28" s="15"/>
      <c r="I28" s="32"/>
      <c r="J28" s="32"/>
    </row>
    <row r="29" spans="1:10" x14ac:dyDescent="0.2">
      <c r="A29" s="32">
        <v>9164</v>
      </c>
      <c r="B29" s="212"/>
      <c r="G29" s="32"/>
      <c r="H29" s="15"/>
      <c r="I29" s="32"/>
      <c r="J29" s="32"/>
    </row>
    <row r="30" spans="1:10" x14ac:dyDescent="0.2">
      <c r="A30" s="32">
        <v>9167</v>
      </c>
      <c r="B30" s="212"/>
    </row>
    <row r="31" spans="1:10" x14ac:dyDescent="0.2">
      <c r="B31" s="14">
        <f>+B30+B29</f>
        <v>0</v>
      </c>
    </row>
    <row r="32" spans="1:10" x14ac:dyDescent="0.2">
      <c r="B32" s="15">
        <f>+summary!H4</f>
        <v>2.0699999999999998</v>
      </c>
      <c r="C32" s="201">
        <f>+B32*B31</f>
        <v>0</v>
      </c>
    </row>
    <row r="33" spans="1:9" x14ac:dyDescent="0.2">
      <c r="C33" s="336">
        <f>+C32+C26</f>
        <v>275313.71999999997</v>
      </c>
      <c r="E33" s="15"/>
    </row>
    <row r="35" spans="1:9" x14ac:dyDescent="0.2">
      <c r="E35" s="270"/>
    </row>
    <row r="36" spans="1:9" x14ac:dyDescent="0.2">
      <c r="E36" s="15"/>
    </row>
    <row r="37" spans="1:9" x14ac:dyDescent="0.2">
      <c r="A37" s="32" t="s">
        <v>87</v>
      </c>
      <c r="E37" s="32" t="s">
        <v>153</v>
      </c>
      <c r="F37" s="372">
        <v>24268</v>
      </c>
      <c r="G37" s="372">
        <v>24693</v>
      </c>
      <c r="H37" s="372">
        <v>24361</v>
      </c>
    </row>
    <row r="38" spans="1:9" x14ac:dyDescent="0.2">
      <c r="A38" s="32" t="s">
        <v>75</v>
      </c>
      <c r="E38" s="49">
        <f>+A5</f>
        <v>37164</v>
      </c>
      <c r="F38" s="522">
        <v>292308</v>
      </c>
      <c r="G38" s="466">
        <v>117857</v>
      </c>
      <c r="H38" s="522">
        <v>157582</v>
      </c>
      <c r="I38" s="14"/>
    </row>
    <row r="39" spans="1:9" x14ac:dyDescent="0.2">
      <c r="E39" s="49">
        <f>+A7</f>
        <v>37193</v>
      </c>
      <c r="F39" s="370">
        <f>+B18</f>
        <v>-2993</v>
      </c>
      <c r="G39" s="370">
        <f>+B31</f>
        <v>0</v>
      </c>
      <c r="H39" s="370">
        <f>+B46</f>
        <v>7242</v>
      </c>
      <c r="I39" s="14"/>
    </row>
    <row r="40" spans="1:9" x14ac:dyDescent="0.2">
      <c r="A40" s="49">
        <v>37164</v>
      </c>
      <c r="C40" s="528">
        <v>778268.94</v>
      </c>
      <c r="F40" s="14">
        <f>+F39+F38</f>
        <v>289315</v>
      </c>
      <c r="G40" s="14">
        <f>+G39+G38</f>
        <v>117857</v>
      </c>
      <c r="H40" s="14">
        <f>+H39+H38</f>
        <v>164824</v>
      </c>
      <c r="I40" s="14">
        <f>+H40+G40+F40</f>
        <v>571996</v>
      </c>
    </row>
    <row r="41" spans="1:9" x14ac:dyDescent="0.2">
      <c r="G41" s="32"/>
      <c r="H41" s="15"/>
      <c r="I41" s="32"/>
    </row>
    <row r="42" spans="1:9" x14ac:dyDescent="0.2">
      <c r="A42" s="247">
        <v>37193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4737</v>
      </c>
      <c r="G44" s="32"/>
      <c r="H44" s="405"/>
      <c r="I44" s="14"/>
    </row>
    <row r="45" spans="1:9" x14ac:dyDescent="0.2">
      <c r="A45" s="32">
        <v>500392</v>
      </c>
      <c r="B45" s="255">
        <v>2505</v>
      </c>
      <c r="G45" s="32"/>
      <c r="H45" s="405"/>
      <c r="I45" s="14"/>
    </row>
    <row r="46" spans="1:9" x14ac:dyDescent="0.2">
      <c r="B46" s="14">
        <f>SUM(B43:B45)</f>
        <v>7242</v>
      </c>
      <c r="G46" s="32"/>
      <c r="H46" s="405"/>
      <c r="I46" s="14"/>
    </row>
    <row r="47" spans="1:9" x14ac:dyDescent="0.2">
      <c r="B47" s="201">
        <f>+B32</f>
        <v>2.0699999999999998</v>
      </c>
      <c r="C47" s="201">
        <f>+B47*B46</f>
        <v>14990.939999999999</v>
      </c>
      <c r="H47" s="405"/>
      <c r="I47" s="14"/>
    </row>
    <row r="48" spans="1:9" x14ac:dyDescent="0.2">
      <c r="C48" s="336">
        <f>+C47+C40</f>
        <v>793259.87999999989</v>
      </c>
      <c r="E48" s="206"/>
      <c r="H48" s="405"/>
      <c r="I48" s="14"/>
    </row>
    <row r="49" spans="1:9" x14ac:dyDescent="0.2">
      <c r="E49" s="215"/>
      <c r="H49" s="405"/>
      <c r="I49" s="14"/>
    </row>
    <row r="50" spans="1:9" x14ac:dyDescent="0.2">
      <c r="E50" s="206"/>
      <c r="H50" s="405"/>
      <c r="I50" s="14"/>
    </row>
    <row r="51" spans="1:9" x14ac:dyDescent="0.2">
      <c r="C51" s="322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140</v>
      </c>
      <c r="C53" s="526">
        <v>73449.16</v>
      </c>
      <c r="D53" s="32" t="s">
        <v>121</v>
      </c>
      <c r="E53" s="50"/>
      <c r="H53" s="405">
        <v>21665</v>
      </c>
      <c r="I53" s="14">
        <v>36403</v>
      </c>
    </row>
    <row r="54" spans="1:9" x14ac:dyDescent="0.2">
      <c r="A54" s="32">
        <v>22664</v>
      </c>
      <c r="B54" s="15" t="s">
        <v>140</v>
      </c>
      <c r="C54" s="527">
        <v>23612.35</v>
      </c>
      <c r="D54" s="32" t="s">
        <v>122</v>
      </c>
      <c r="H54" s="405">
        <v>22664</v>
      </c>
      <c r="I54" s="208">
        <v>18932</v>
      </c>
    </row>
    <row r="55" spans="1:9" x14ac:dyDescent="0.2">
      <c r="H55" s="406"/>
      <c r="I55" s="16"/>
    </row>
    <row r="56" spans="1:9" x14ac:dyDescent="0.2">
      <c r="C56" s="449"/>
    </row>
    <row r="57" spans="1:9" x14ac:dyDescent="0.2">
      <c r="C57" s="329">
        <f>+C54+C53+C48+C33+C20</f>
        <v>2509741.5999999996</v>
      </c>
      <c r="I57" s="14">
        <f>SUM(I40:I54)</f>
        <v>627331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6" workbookViewId="3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6">
        <v>23995</v>
      </c>
      <c r="C1" s="233"/>
      <c r="D1" s="325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180</v>
      </c>
      <c r="G3" s="6"/>
      <c r="H3" s="115"/>
    </row>
    <row r="4" spans="1:10" x14ac:dyDescent="0.2">
      <c r="A4" s="10">
        <v>1</v>
      </c>
      <c r="B4" s="11"/>
      <c r="C4" s="11"/>
      <c r="D4" s="11">
        <v>24089</v>
      </c>
      <c r="E4" s="11">
        <v>23986</v>
      </c>
      <c r="F4" s="11">
        <f>+E4+C4-D4-B4</f>
        <v>-103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25747</v>
      </c>
      <c r="E5" s="11">
        <v>24000</v>
      </c>
      <c r="F5" s="11">
        <f t="shared" ref="F5:F34" si="0">+E5+C5-D5-B5</f>
        <v>-1747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25670</v>
      </c>
      <c r="E6" s="11">
        <v>24000</v>
      </c>
      <c r="F6" s="11">
        <f t="shared" si="0"/>
        <v>-1670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25643</v>
      </c>
      <c r="E7" s="11">
        <v>24000</v>
      </c>
      <c r="F7" s="11">
        <f t="shared" si="0"/>
        <v>-1643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25830</v>
      </c>
      <c r="E8" s="11">
        <v>24000</v>
      </c>
      <c r="F8" s="11">
        <f t="shared" si="0"/>
        <v>-1830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24358</v>
      </c>
      <c r="E9" s="11">
        <v>24000</v>
      </c>
      <c r="F9" s="11">
        <f t="shared" si="0"/>
        <v>-358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24349</v>
      </c>
      <c r="E10" s="11">
        <v>24000</v>
      </c>
      <c r="F10" s="11">
        <f t="shared" si="0"/>
        <v>-349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24382</v>
      </c>
      <c r="E11" s="11">
        <v>24000</v>
      </c>
      <c r="F11" s="11">
        <f t="shared" si="0"/>
        <v>-382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24357</v>
      </c>
      <c r="E12" s="11">
        <v>24000</v>
      </c>
      <c r="F12" s="11">
        <f t="shared" si="0"/>
        <v>-357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24463</v>
      </c>
      <c r="E13" s="11">
        <v>24000</v>
      </c>
      <c r="F13" s="11">
        <f t="shared" si="0"/>
        <v>-463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24393</v>
      </c>
      <c r="E14" s="11">
        <v>23999</v>
      </c>
      <c r="F14" s="11">
        <f t="shared" si="0"/>
        <v>-394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24440</v>
      </c>
      <c r="E15" s="11">
        <v>23999</v>
      </c>
      <c r="F15" s="11">
        <f t="shared" si="0"/>
        <v>-441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24412</v>
      </c>
      <c r="E16" s="11">
        <v>23916</v>
      </c>
      <c r="F16" s="11">
        <f t="shared" si="0"/>
        <v>-496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24429</v>
      </c>
      <c r="E17" s="11">
        <v>23805</v>
      </c>
      <c r="F17" s="11">
        <f t="shared" si="0"/>
        <v>-624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24438</v>
      </c>
      <c r="E18" s="11">
        <v>24000</v>
      </c>
      <c r="F18" s="11">
        <f t="shared" si="0"/>
        <v>-438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24438</v>
      </c>
      <c r="E19" s="11">
        <v>24000</v>
      </c>
      <c r="F19" s="11">
        <f t="shared" si="0"/>
        <v>-438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24345</v>
      </c>
      <c r="E20" s="11">
        <v>24000</v>
      </c>
      <c r="F20" s="11">
        <f t="shared" si="0"/>
        <v>-345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25180</v>
      </c>
      <c r="E21" s="11">
        <v>24000</v>
      </c>
      <c r="F21" s="11">
        <f t="shared" si="0"/>
        <v>-1180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24879</v>
      </c>
      <c r="E22" s="11">
        <v>24000</v>
      </c>
      <c r="F22" s="11">
        <f t="shared" si="0"/>
        <v>-879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24340</v>
      </c>
      <c r="E23" s="11">
        <v>24000</v>
      </c>
      <c r="F23" s="11">
        <f t="shared" si="0"/>
        <v>-340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24946</v>
      </c>
      <c r="E24" s="11">
        <v>24000</v>
      </c>
      <c r="F24" s="11">
        <f t="shared" si="0"/>
        <v>-946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25014</v>
      </c>
      <c r="E25" s="11">
        <v>24000</v>
      </c>
      <c r="F25" s="11">
        <f t="shared" si="0"/>
        <v>-1014</v>
      </c>
      <c r="I25" s="11"/>
      <c r="J25" s="24"/>
    </row>
    <row r="26" spans="1:10" x14ac:dyDescent="0.2">
      <c r="A26" s="10">
        <v>23</v>
      </c>
      <c r="B26" s="11"/>
      <c r="C26" s="11"/>
      <c r="D26" s="11">
        <v>25672</v>
      </c>
      <c r="E26" s="11">
        <v>24000</v>
      </c>
      <c r="F26" s="11">
        <f t="shared" si="0"/>
        <v>-1672</v>
      </c>
      <c r="I26" s="11"/>
      <c r="J26" s="24"/>
    </row>
    <row r="27" spans="1:10" x14ac:dyDescent="0.2">
      <c r="A27" s="10">
        <v>24</v>
      </c>
      <c r="B27" s="11"/>
      <c r="C27" s="11"/>
      <c r="D27" s="11">
        <v>25496</v>
      </c>
      <c r="E27" s="11">
        <v>24000</v>
      </c>
      <c r="F27" s="11">
        <f t="shared" si="0"/>
        <v>-1496</v>
      </c>
      <c r="I27" s="11"/>
      <c r="J27" s="24"/>
    </row>
    <row r="28" spans="1:10" x14ac:dyDescent="0.2">
      <c r="A28" s="10">
        <v>25</v>
      </c>
      <c r="B28" s="11"/>
      <c r="C28" s="11"/>
      <c r="D28" s="11">
        <v>24768</v>
      </c>
      <c r="E28" s="11">
        <v>24000</v>
      </c>
      <c r="F28" s="11">
        <f t="shared" si="0"/>
        <v>-768</v>
      </c>
      <c r="I28" s="11"/>
      <c r="J28" s="24"/>
    </row>
    <row r="29" spans="1:10" x14ac:dyDescent="0.2">
      <c r="A29" s="10">
        <v>26</v>
      </c>
      <c r="B29" s="11"/>
      <c r="C29" s="11"/>
      <c r="D29" s="11">
        <v>26517</v>
      </c>
      <c r="E29" s="11">
        <v>24000</v>
      </c>
      <c r="F29" s="11">
        <f t="shared" si="0"/>
        <v>-2517</v>
      </c>
      <c r="I29" s="11"/>
      <c r="J29" s="24"/>
    </row>
    <row r="30" spans="1:10" x14ac:dyDescent="0.2">
      <c r="A30" s="10">
        <v>27</v>
      </c>
      <c r="B30" s="11"/>
      <c r="C30" s="11"/>
      <c r="D30" s="11">
        <v>28372</v>
      </c>
      <c r="E30" s="11">
        <v>24000</v>
      </c>
      <c r="F30" s="11">
        <f t="shared" si="0"/>
        <v>-4372</v>
      </c>
      <c r="I30" s="11"/>
      <c r="J30" s="24"/>
    </row>
    <row r="31" spans="1:10" x14ac:dyDescent="0.2">
      <c r="A31" s="10">
        <v>28</v>
      </c>
      <c r="B31" s="11"/>
      <c r="C31" s="11"/>
      <c r="D31" s="11">
        <v>24578</v>
      </c>
      <c r="E31" s="11">
        <v>24000</v>
      </c>
      <c r="F31" s="11">
        <f t="shared" si="0"/>
        <v>-578</v>
      </c>
      <c r="I31" s="11"/>
      <c r="J31" s="24"/>
    </row>
    <row r="32" spans="1:10" x14ac:dyDescent="0.2">
      <c r="A32" s="10">
        <v>29</v>
      </c>
      <c r="B32" s="11"/>
      <c r="C32" s="11"/>
      <c r="D32" s="11">
        <v>22050</v>
      </c>
      <c r="E32" s="11">
        <v>24000</v>
      </c>
      <c r="F32" s="11">
        <f t="shared" si="0"/>
        <v>1950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153</v>
      </c>
      <c r="I33" s="372">
        <v>23995</v>
      </c>
      <c r="J33" s="372">
        <v>22051</v>
      </c>
      <c r="K33" s="37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37164</v>
      </c>
      <c r="I34" s="522">
        <v>-178485</v>
      </c>
      <c r="J34" s="522">
        <v>-74794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721595</v>
      </c>
      <c r="E35" s="11">
        <f>SUM(E4:E34)</f>
        <v>695705</v>
      </c>
      <c r="F35" s="11">
        <f>SUM(F4:F34)</f>
        <v>-25890</v>
      </c>
      <c r="G35" s="11"/>
      <c r="H35" s="49">
        <f>+A40</f>
        <v>37193</v>
      </c>
      <c r="I35" s="370">
        <f>+C36</f>
        <v>0</v>
      </c>
      <c r="J35" s="370">
        <f>+E36</f>
        <v>-25890</v>
      </c>
      <c r="K35" s="208"/>
      <c r="L35" s="14"/>
    </row>
    <row r="36" spans="1:13" x14ac:dyDescent="0.2">
      <c r="C36" s="25">
        <f>+C35-B35</f>
        <v>0</v>
      </c>
      <c r="E36" s="25">
        <f>+E35-D35</f>
        <v>-25890</v>
      </c>
      <c r="F36" s="25">
        <f>+E36+C36</f>
        <v>-25890</v>
      </c>
      <c r="H36" s="32"/>
      <c r="I36" s="14">
        <f>+I35+I34</f>
        <v>-178485</v>
      </c>
      <c r="J36" s="14">
        <f>+J35+J34</f>
        <v>-100684</v>
      </c>
      <c r="K36" s="14">
        <f>+J36+I36</f>
        <v>-279169</v>
      </c>
      <c r="L36" s="14"/>
    </row>
    <row r="37" spans="1:13" x14ac:dyDescent="0.2">
      <c r="C37" s="327">
        <f>+summary!H5</f>
        <v>2.11</v>
      </c>
      <c r="E37" s="104">
        <f>+C37</f>
        <v>2.11</v>
      </c>
      <c r="F37" s="138">
        <f>+F36*E37</f>
        <v>-54627.899999999994</v>
      </c>
    </row>
    <row r="38" spans="1:13" x14ac:dyDescent="0.2">
      <c r="C38" s="138">
        <f>+C37*C36</f>
        <v>0</v>
      </c>
      <c r="E38" s="136">
        <f>+E37*E36</f>
        <v>-54627.899999999994</v>
      </c>
      <c r="F38" s="138">
        <f>+E38+C38</f>
        <v>-54627.899999999994</v>
      </c>
    </row>
    <row r="39" spans="1:13" x14ac:dyDescent="0.2">
      <c r="A39" s="57">
        <v>37164</v>
      </c>
      <c r="B39" s="2" t="s">
        <v>46</v>
      </c>
      <c r="C39" s="532">
        <v>-1023166.39</v>
      </c>
      <c r="D39" s="335"/>
      <c r="E39" s="521">
        <v>-454550.05</v>
      </c>
      <c r="F39" s="334">
        <f>+E39+C39</f>
        <v>-1477716.44</v>
      </c>
    </row>
    <row r="40" spans="1:13" x14ac:dyDescent="0.2">
      <c r="A40" s="57">
        <v>37193</v>
      </c>
      <c r="B40" s="2" t="s">
        <v>46</v>
      </c>
      <c r="C40" s="328">
        <f>+C39+C38</f>
        <v>-1023166.39</v>
      </c>
      <c r="D40" s="257"/>
      <c r="E40" s="328">
        <f>+E39+E38</f>
        <v>-509177.94999999995</v>
      </c>
      <c r="F40" s="328">
        <f>+E40+C40</f>
        <v>-1532344.3399999999</v>
      </c>
      <c r="H40" s="131"/>
    </row>
    <row r="41" spans="1:13" x14ac:dyDescent="0.2">
      <c r="C41" s="344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28">
        <v>-58339.66</v>
      </c>
      <c r="G44" s="252" t="s">
        <v>48</v>
      </c>
      <c r="J44" s="12">
        <v>22864</v>
      </c>
      <c r="K44" s="519">
        <v>-24566</v>
      </c>
    </row>
    <row r="45" spans="1:13" x14ac:dyDescent="0.2">
      <c r="C45" s="248"/>
      <c r="D45" s="248"/>
      <c r="E45" s="12">
        <v>20379</v>
      </c>
      <c r="F45" s="528">
        <v>-51695.87</v>
      </c>
      <c r="G45" s="252" t="s">
        <v>124</v>
      </c>
      <c r="J45" s="12">
        <v>20379</v>
      </c>
      <c r="K45" s="519">
        <v>2979</v>
      </c>
      <c r="M45" s="14"/>
    </row>
    <row r="46" spans="1:13" x14ac:dyDescent="0.2">
      <c r="C46" s="248"/>
      <c r="D46" s="248"/>
      <c r="E46" s="12">
        <v>26357</v>
      </c>
      <c r="F46" s="531">
        <v>44144.84</v>
      </c>
      <c r="G46" s="252" t="s">
        <v>125</v>
      </c>
      <c r="J46" s="12">
        <v>26357</v>
      </c>
      <c r="K46" s="519">
        <v>26521</v>
      </c>
    </row>
    <row r="47" spans="1:13" x14ac:dyDescent="0.2">
      <c r="C47" s="248"/>
      <c r="D47" s="248"/>
      <c r="E47" s="12">
        <v>21544</v>
      </c>
      <c r="F47" s="528">
        <v>61340.160000000003</v>
      </c>
      <c r="G47" s="252" t="s">
        <v>126</v>
      </c>
      <c r="J47" s="12">
        <v>21544</v>
      </c>
      <c r="K47" s="519">
        <v>36108</v>
      </c>
    </row>
    <row r="48" spans="1:13" x14ac:dyDescent="0.2">
      <c r="C48" s="248"/>
      <c r="D48" s="248"/>
      <c r="E48" s="12">
        <v>24532</v>
      </c>
      <c r="F48" s="530">
        <v>-1000492.63</v>
      </c>
      <c r="G48" s="252" t="s">
        <v>123</v>
      </c>
      <c r="J48" s="12">
        <v>24532</v>
      </c>
      <c r="K48" s="522">
        <v>-76544</v>
      </c>
    </row>
    <row r="49" spans="3:13" x14ac:dyDescent="0.2">
      <c r="C49" s="248"/>
      <c r="D49" s="248"/>
      <c r="F49" s="345">
        <f>SUM(F40:F48)</f>
        <v>-2537387.5</v>
      </c>
      <c r="G49" s="248"/>
      <c r="K49" s="14">
        <f>SUM(K36:K48)</f>
        <v>-314671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141</v>
      </c>
      <c r="F51" s="138">
        <f>+Duke!C57</f>
        <v>2509741.5999999996</v>
      </c>
      <c r="M51" s="14">
        <f>+Duke!I57</f>
        <v>627331</v>
      </c>
    </row>
    <row r="53" spans="3:13" x14ac:dyDescent="0.2">
      <c r="F53" s="104">
        <f>+F51+F49</f>
        <v>-27645.900000000373</v>
      </c>
      <c r="M53" s="16">
        <f>+M51+K49</f>
        <v>312660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61"/>
    </row>
    <row r="63" spans="3:13" x14ac:dyDescent="0.2">
      <c r="F63" s="361"/>
    </row>
    <row r="64" spans="3:13" x14ac:dyDescent="0.2">
      <c r="F64" s="361"/>
    </row>
    <row r="68" spans="1:3" x14ac:dyDescent="0.2">
      <c r="A68">
        <v>20379</v>
      </c>
      <c r="B68" s="31">
        <f>+K45</f>
        <v>2979</v>
      </c>
      <c r="C68" s="265">
        <f>+F45</f>
        <v>-51695.87</v>
      </c>
    </row>
    <row r="69" spans="1:3" x14ac:dyDescent="0.2">
      <c r="A69">
        <v>24532</v>
      </c>
      <c r="B69" s="31">
        <f>+K48</f>
        <v>-76544</v>
      </c>
      <c r="C69" s="250">
        <f>+F48</f>
        <v>-1000492.63</v>
      </c>
    </row>
    <row r="70" spans="1:3" x14ac:dyDescent="0.2">
      <c r="A70">
        <v>21544</v>
      </c>
      <c r="B70" s="31">
        <f>+K47</f>
        <v>36108</v>
      </c>
      <c r="C70" s="265">
        <f>+F47</f>
        <v>61340.160000000003</v>
      </c>
    </row>
    <row r="71" spans="1:3" x14ac:dyDescent="0.2">
      <c r="A71">
        <v>26357</v>
      </c>
      <c r="B71" s="31">
        <f>+K46</f>
        <v>26521</v>
      </c>
      <c r="C71" s="265">
        <f>+F46</f>
        <v>44144.84</v>
      </c>
    </row>
    <row r="72" spans="1:3" x14ac:dyDescent="0.2">
      <c r="A72">
        <v>22864</v>
      </c>
      <c r="B72" s="31">
        <f>+K44</f>
        <v>-24566</v>
      </c>
      <c r="C72" s="265">
        <f>+F44</f>
        <v>-58339.66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-100684</v>
      </c>
      <c r="C74" s="250">
        <f>+E40</f>
        <v>-509177.94999999995</v>
      </c>
    </row>
    <row r="75" spans="1:3" x14ac:dyDescent="0.2">
      <c r="A75">
        <v>21665</v>
      </c>
      <c r="B75">
        <f>+Duke!I53:I53</f>
        <v>36403</v>
      </c>
      <c r="C75">
        <f>+Duke!C53</f>
        <v>73449.16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164824</v>
      </c>
      <c r="C77" s="265">
        <f>+Duke!C48</f>
        <v>793259.87999999989</v>
      </c>
    </row>
    <row r="78" spans="1:3" x14ac:dyDescent="0.2">
      <c r="A78">
        <v>26393</v>
      </c>
      <c r="B78">
        <f>+Duke!G40</f>
        <v>117857</v>
      </c>
      <c r="C78" s="265">
        <f>+Duke!C33</f>
        <v>275313.71999999997</v>
      </c>
    </row>
    <row r="79" spans="1:3" x14ac:dyDescent="0.2">
      <c r="A79">
        <v>24268</v>
      </c>
      <c r="B79">
        <f>+Duke!F40</f>
        <v>289315</v>
      </c>
      <c r="C79" s="265">
        <f>+Duke!C20</f>
        <v>1344106.49</v>
      </c>
    </row>
    <row r="81" spans="2:3" x14ac:dyDescent="0.2">
      <c r="B81" s="31">
        <f>SUM(B68:B80)</f>
        <v>312660</v>
      </c>
      <c r="C81" s="265">
        <f>SUM(C68:C80)</f>
        <v>-27645.899999999907</v>
      </c>
    </row>
    <row r="82" spans="2:3" x14ac:dyDescent="0.2">
      <c r="C82">
        <f>+C81/B81</f>
        <v>-8.8421608136633745E-2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1" workbookViewId="3">
      <selection activeCell="I31" sqref="I31:I35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6209</v>
      </c>
      <c r="C8" s="11">
        <v>6186</v>
      </c>
      <c r="D8" s="11"/>
      <c r="E8" s="11"/>
      <c r="F8" s="11">
        <v>916</v>
      </c>
      <c r="G8" s="11">
        <v>961</v>
      </c>
      <c r="H8" s="11">
        <v>1640</v>
      </c>
      <c r="I8" s="11">
        <v>1715</v>
      </c>
      <c r="J8" s="25">
        <f>+C8-B8+E8-D8+G8-F8+I8-H8</f>
        <v>97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6173</v>
      </c>
      <c r="C9" s="11">
        <v>6186</v>
      </c>
      <c r="D9" s="11"/>
      <c r="E9" s="11"/>
      <c r="F9" s="11">
        <v>911</v>
      </c>
      <c r="G9" s="11">
        <v>961</v>
      </c>
      <c r="H9" s="11">
        <v>1629</v>
      </c>
      <c r="I9" s="11">
        <v>1715</v>
      </c>
      <c r="J9" s="25">
        <f t="shared" ref="J9:J38" si="0">+C9-B9+E9-D9+G9-F9+I9-H9</f>
        <v>149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5996</v>
      </c>
      <c r="C10" s="11">
        <v>6186</v>
      </c>
      <c r="D10" s="11"/>
      <c r="E10" s="11"/>
      <c r="F10" s="11">
        <v>903</v>
      </c>
      <c r="G10" s="11">
        <v>961</v>
      </c>
      <c r="H10" s="11">
        <v>1740</v>
      </c>
      <c r="I10" s="11">
        <v>1715</v>
      </c>
      <c r="J10" s="25">
        <f t="shared" si="0"/>
        <v>223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5806</v>
      </c>
      <c r="C11" s="11">
        <v>6186</v>
      </c>
      <c r="D11" s="11"/>
      <c r="E11" s="11"/>
      <c r="F11" s="11">
        <v>1098</v>
      </c>
      <c r="G11" s="11">
        <v>961</v>
      </c>
      <c r="H11" s="11">
        <v>1709</v>
      </c>
      <c r="I11" s="11">
        <v>1715</v>
      </c>
      <c r="J11" s="25">
        <f t="shared" si="0"/>
        <v>249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3919</v>
      </c>
      <c r="C12" s="11">
        <v>6186</v>
      </c>
      <c r="D12" s="11"/>
      <c r="E12" s="11"/>
      <c r="F12" s="11">
        <v>976</v>
      </c>
      <c r="G12" s="11">
        <v>961</v>
      </c>
      <c r="H12" s="11">
        <v>1537</v>
      </c>
      <c r="I12" s="11">
        <v>1715</v>
      </c>
      <c r="J12" s="25">
        <f t="shared" si="0"/>
        <v>2430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4631</v>
      </c>
      <c r="C13" s="11">
        <v>6186</v>
      </c>
      <c r="D13" s="11"/>
      <c r="E13" s="11"/>
      <c r="F13" s="11">
        <v>1055</v>
      </c>
      <c r="G13" s="11">
        <v>961</v>
      </c>
      <c r="H13" s="11">
        <v>1906</v>
      </c>
      <c r="I13" s="11">
        <v>1715</v>
      </c>
      <c r="J13" s="25">
        <f t="shared" si="0"/>
        <v>1270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6393</v>
      </c>
      <c r="C14" s="11">
        <v>6186</v>
      </c>
      <c r="D14" s="11"/>
      <c r="E14" s="11"/>
      <c r="F14" s="11">
        <v>1062</v>
      </c>
      <c r="G14" s="11">
        <v>961</v>
      </c>
      <c r="H14" s="11">
        <v>1735</v>
      </c>
      <c r="I14" s="129">
        <v>1715</v>
      </c>
      <c r="J14" s="25">
        <f t="shared" si="0"/>
        <v>-328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5911</v>
      </c>
      <c r="C15" s="11">
        <v>6186</v>
      </c>
      <c r="D15" s="11"/>
      <c r="E15" s="11"/>
      <c r="F15" s="11">
        <v>1048</v>
      </c>
      <c r="G15" s="11">
        <v>961</v>
      </c>
      <c r="H15" s="11">
        <v>1700</v>
      </c>
      <c r="I15" s="11">
        <v>1715</v>
      </c>
      <c r="J15" s="25">
        <f t="shared" si="0"/>
        <v>203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5603</v>
      </c>
      <c r="C16" s="11">
        <v>6186</v>
      </c>
      <c r="D16" s="11"/>
      <c r="E16" s="11"/>
      <c r="F16" s="11">
        <v>977</v>
      </c>
      <c r="G16" s="11">
        <v>961</v>
      </c>
      <c r="H16" s="11">
        <v>1652</v>
      </c>
      <c r="I16" s="11">
        <v>1715</v>
      </c>
      <c r="J16" s="25">
        <f t="shared" si="0"/>
        <v>630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5437</v>
      </c>
      <c r="C17" s="11">
        <v>6186</v>
      </c>
      <c r="D17" s="11"/>
      <c r="E17" s="11"/>
      <c r="F17" s="11">
        <v>860</v>
      </c>
      <c r="G17" s="11">
        <v>961</v>
      </c>
      <c r="H17" s="11">
        <v>1645</v>
      </c>
      <c r="I17" s="11">
        <v>1715</v>
      </c>
      <c r="J17" s="25">
        <f t="shared" si="0"/>
        <v>920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5378</v>
      </c>
      <c r="C18" s="11">
        <v>6186</v>
      </c>
      <c r="D18" s="11"/>
      <c r="E18" s="11"/>
      <c r="F18" s="11">
        <v>1008</v>
      </c>
      <c r="G18" s="11">
        <v>961</v>
      </c>
      <c r="H18" s="11">
        <v>1690</v>
      </c>
      <c r="I18" s="11">
        <v>1715</v>
      </c>
      <c r="J18" s="25">
        <f t="shared" si="0"/>
        <v>786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4020</v>
      </c>
      <c r="C19" s="11">
        <v>6186</v>
      </c>
      <c r="D19" s="11"/>
      <c r="E19" s="11"/>
      <c r="F19" s="11">
        <v>732</v>
      </c>
      <c r="G19" s="11">
        <v>961</v>
      </c>
      <c r="H19" s="11">
        <v>1685</v>
      </c>
      <c r="I19" s="11">
        <v>1715</v>
      </c>
      <c r="J19" s="25">
        <f t="shared" si="0"/>
        <v>2425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5187</v>
      </c>
      <c r="C20" s="11">
        <v>6186</v>
      </c>
      <c r="D20" s="11"/>
      <c r="E20" s="11"/>
      <c r="F20" s="11">
        <v>905</v>
      </c>
      <c r="G20" s="11">
        <v>961</v>
      </c>
      <c r="H20" s="11">
        <v>1650</v>
      </c>
      <c r="I20" s="11">
        <v>1715</v>
      </c>
      <c r="J20" s="25">
        <f t="shared" si="0"/>
        <v>1120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5680</v>
      </c>
      <c r="C21" s="11">
        <v>6186</v>
      </c>
      <c r="D21" s="11"/>
      <c r="E21" s="11"/>
      <c r="F21" s="11">
        <v>945</v>
      </c>
      <c r="G21" s="11">
        <v>961</v>
      </c>
      <c r="H21" s="11">
        <v>1596</v>
      </c>
      <c r="I21" s="11">
        <v>1715</v>
      </c>
      <c r="J21" s="25">
        <f t="shared" si="0"/>
        <v>641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3189</v>
      </c>
      <c r="C22" s="11">
        <v>6186</v>
      </c>
      <c r="D22" s="11"/>
      <c r="E22" s="11"/>
      <c r="F22" s="11">
        <v>1002</v>
      </c>
      <c r="G22" s="11">
        <v>961</v>
      </c>
      <c r="H22" s="11">
        <v>188</v>
      </c>
      <c r="I22" s="11">
        <v>1715</v>
      </c>
      <c r="J22" s="25">
        <f t="shared" si="0"/>
        <v>4483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4898</v>
      </c>
      <c r="C23" s="11">
        <v>6186</v>
      </c>
      <c r="D23" s="11"/>
      <c r="E23" s="11"/>
      <c r="F23" s="11">
        <v>951</v>
      </c>
      <c r="G23" s="11">
        <v>940</v>
      </c>
      <c r="H23" s="11">
        <v>1590</v>
      </c>
      <c r="I23" s="11">
        <v>1715</v>
      </c>
      <c r="J23" s="25">
        <f t="shared" si="0"/>
        <v>1402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6018</v>
      </c>
      <c r="C24" s="11">
        <v>6186</v>
      </c>
      <c r="D24" s="11"/>
      <c r="E24" s="11"/>
      <c r="F24" s="11">
        <v>896</v>
      </c>
      <c r="G24" s="11">
        <v>961</v>
      </c>
      <c r="H24" s="11">
        <v>1892</v>
      </c>
      <c r="I24" s="11">
        <v>1715</v>
      </c>
      <c r="J24" s="25">
        <f t="shared" si="0"/>
        <v>56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3969</v>
      </c>
      <c r="C25" s="11">
        <v>6186</v>
      </c>
      <c r="D25" s="11"/>
      <c r="E25" s="11"/>
      <c r="F25" s="11">
        <v>935</v>
      </c>
      <c r="G25" s="11">
        <v>961</v>
      </c>
      <c r="H25" s="11">
        <v>1803</v>
      </c>
      <c r="I25" s="11">
        <v>1715</v>
      </c>
      <c r="J25" s="25">
        <f t="shared" si="0"/>
        <v>2155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5359</v>
      </c>
      <c r="C26" s="11">
        <v>6186</v>
      </c>
      <c r="D26" s="11"/>
      <c r="E26" s="11"/>
      <c r="F26" s="11">
        <v>951</v>
      </c>
      <c r="G26" s="11">
        <v>680</v>
      </c>
      <c r="H26" s="11">
        <v>1758</v>
      </c>
      <c r="I26" s="11">
        <v>1715</v>
      </c>
      <c r="J26" s="25">
        <f t="shared" si="0"/>
        <v>513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6204</v>
      </c>
      <c r="C27" s="11">
        <v>6186</v>
      </c>
      <c r="D27" s="11"/>
      <c r="E27" s="11"/>
      <c r="F27" s="11">
        <v>973</v>
      </c>
      <c r="G27" s="11">
        <v>961</v>
      </c>
      <c r="H27" s="11">
        <v>1732</v>
      </c>
      <c r="I27" s="11">
        <v>1715</v>
      </c>
      <c r="J27" s="25">
        <f t="shared" si="0"/>
        <v>-47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5942</v>
      </c>
      <c r="C28" s="11">
        <v>6186</v>
      </c>
      <c r="D28" s="11"/>
      <c r="E28" s="11"/>
      <c r="F28" s="11">
        <v>947</v>
      </c>
      <c r="G28" s="11">
        <v>961</v>
      </c>
      <c r="H28" s="11">
        <v>815</v>
      </c>
      <c r="I28" s="11">
        <v>1715</v>
      </c>
      <c r="J28" s="25">
        <f t="shared" si="0"/>
        <v>1158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4398</v>
      </c>
      <c r="C29" s="11">
        <v>6186</v>
      </c>
      <c r="D29" s="11"/>
      <c r="E29" s="11"/>
      <c r="F29" s="11">
        <v>950</v>
      </c>
      <c r="G29" s="11">
        <v>961</v>
      </c>
      <c r="H29" s="11">
        <v>886</v>
      </c>
      <c r="I29" s="11">
        <v>1715</v>
      </c>
      <c r="J29" s="25">
        <f t="shared" si="0"/>
        <v>2628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5852</v>
      </c>
      <c r="C30" s="11">
        <v>6186</v>
      </c>
      <c r="D30" s="11"/>
      <c r="E30" s="11"/>
      <c r="F30" s="11">
        <v>917</v>
      </c>
      <c r="G30" s="11">
        <v>961</v>
      </c>
      <c r="H30" s="11">
        <v>1779</v>
      </c>
      <c r="I30" s="11">
        <v>1715</v>
      </c>
      <c r="J30" s="25">
        <f t="shared" si="0"/>
        <v>314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5605</v>
      </c>
      <c r="C31" s="11">
        <v>6186</v>
      </c>
      <c r="D31" s="11"/>
      <c r="E31" s="11"/>
      <c r="F31" s="11">
        <v>949</v>
      </c>
      <c r="G31" s="11">
        <v>961</v>
      </c>
      <c r="H31" s="11">
        <v>1915</v>
      </c>
      <c r="I31" s="11">
        <v>1715</v>
      </c>
      <c r="J31" s="25">
        <f t="shared" si="0"/>
        <v>393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5404</v>
      </c>
      <c r="C32" s="11">
        <v>6186</v>
      </c>
      <c r="D32" s="11"/>
      <c r="E32" s="11"/>
      <c r="F32" s="11">
        <v>940</v>
      </c>
      <c r="G32" s="11">
        <v>961</v>
      </c>
      <c r="H32" s="11">
        <v>1805</v>
      </c>
      <c r="I32" s="11">
        <v>1715</v>
      </c>
      <c r="J32" s="25">
        <f t="shared" si="0"/>
        <v>713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5375</v>
      </c>
      <c r="C33" s="11">
        <v>6186</v>
      </c>
      <c r="D33" s="11"/>
      <c r="E33" s="11"/>
      <c r="F33" s="11">
        <v>868</v>
      </c>
      <c r="G33" s="11">
        <v>961</v>
      </c>
      <c r="H33" s="11">
        <v>1752</v>
      </c>
      <c r="I33" s="11">
        <v>1715</v>
      </c>
      <c r="J33" s="25">
        <f t="shared" si="0"/>
        <v>867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5595</v>
      </c>
      <c r="C34" s="11">
        <v>6186</v>
      </c>
      <c r="D34" s="11"/>
      <c r="E34" s="11"/>
      <c r="F34" s="11">
        <v>592</v>
      </c>
      <c r="G34" s="11">
        <v>486</v>
      </c>
      <c r="H34" s="11">
        <v>1790</v>
      </c>
      <c r="I34" s="11">
        <v>1715</v>
      </c>
      <c r="J34" s="25">
        <f t="shared" si="0"/>
        <v>410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5379</v>
      </c>
      <c r="C35" s="11">
        <v>6186</v>
      </c>
      <c r="D35" s="11"/>
      <c r="E35" s="11"/>
      <c r="F35" s="11">
        <v>882</v>
      </c>
      <c r="G35" s="11">
        <v>486</v>
      </c>
      <c r="H35" s="11">
        <v>1689</v>
      </c>
      <c r="I35" s="11">
        <v>1715</v>
      </c>
      <c r="J35" s="25">
        <f t="shared" si="0"/>
        <v>437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149530</v>
      </c>
      <c r="C39" s="11">
        <f t="shared" si="1"/>
        <v>173208</v>
      </c>
      <c r="D39" s="11">
        <f t="shared" si="1"/>
        <v>0</v>
      </c>
      <c r="E39" s="11">
        <f t="shared" si="1"/>
        <v>0</v>
      </c>
      <c r="F39" s="11">
        <f t="shared" si="1"/>
        <v>26149</v>
      </c>
      <c r="G39" s="11">
        <f t="shared" si="1"/>
        <v>25656</v>
      </c>
      <c r="H39" s="11">
        <f t="shared" si="1"/>
        <v>44908</v>
      </c>
      <c r="I39" s="11">
        <f t="shared" si="1"/>
        <v>48020</v>
      </c>
      <c r="J39" s="25">
        <f t="shared" si="1"/>
        <v>26297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2.0699999999999998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54434.789999999994</v>
      </c>
      <c r="L41"/>
      <c r="R41" s="138"/>
      <c r="X41" s="138"/>
    </row>
    <row r="42" spans="1:24" x14ac:dyDescent="0.2">
      <c r="A42" s="57">
        <v>37164</v>
      </c>
      <c r="C42" s="15"/>
      <c r="J42" s="520">
        <v>352243.83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37192</v>
      </c>
      <c r="C43" s="48"/>
      <c r="J43" s="138">
        <f>+J42+J41</f>
        <v>406678.62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153</v>
      </c>
      <c r="B46" s="32"/>
      <c r="C46" s="32"/>
      <c r="D46" s="32"/>
      <c r="L46"/>
    </row>
    <row r="47" spans="1:24" x14ac:dyDescent="0.2">
      <c r="A47" s="49">
        <f>+A42</f>
        <v>37164</v>
      </c>
      <c r="B47" s="32"/>
      <c r="C47" s="32"/>
      <c r="D47" s="522">
        <v>140452</v>
      </c>
      <c r="L47"/>
    </row>
    <row r="48" spans="1:24" x14ac:dyDescent="0.2">
      <c r="A48" s="49">
        <f>+A43</f>
        <v>37192</v>
      </c>
      <c r="B48" s="32"/>
      <c r="C48" s="32"/>
      <c r="D48" s="370">
        <f>+J39</f>
        <v>26297</v>
      </c>
      <c r="L48"/>
    </row>
    <row r="49" spans="1:12" x14ac:dyDescent="0.2">
      <c r="A49" s="32"/>
      <c r="B49" s="32"/>
      <c r="C49" s="32"/>
      <c r="D49" s="14">
        <f>+D48+D47</f>
        <v>166749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1"/>
  <sheetViews>
    <sheetView tabSelected="1" workbookViewId="0">
      <selection activeCell="C26" sqref="C26"/>
    </sheetView>
    <sheetView topLeftCell="A17" workbookViewId="1">
      <selection activeCell="G14" sqref="G14"/>
    </sheetView>
    <sheetView topLeftCell="A23" workbookViewId="2">
      <selection activeCell="J34" sqref="J34"/>
    </sheetView>
    <sheetView tabSelected="1" workbookViewId="3">
      <selection activeCell="E47" sqref="E47"/>
    </sheetView>
  </sheetViews>
  <sheetFormatPr defaultRowHeight="12.75" x14ac:dyDescent="0.2"/>
  <cols>
    <col min="1" max="1" width="16.42578125" style="293" customWidth="1"/>
    <col min="2" max="2" width="12.28515625" style="250" bestFit="1" customWidth="1"/>
    <col min="3" max="3" width="11.5703125" style="294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59" t="s">
        <v>143</v>
      </c>
      <c r="G2" s="387" t="s">
        <v>79</v>
      </c>
      <c r="H2" s="364"/>
    </row>
    <row r="3" spans="1:32" ht="15" customHeight="1" x14ac:dyDescent="0.2">
      <c r="G3" s="297" t="s">
        <v>30</v>
      </c>
      <c r="H3" s="363">
        <f>+'[1]1001'!$K$39</f>
        <v>2</v>
      </c>
      <c r="I3" s="398">
        <f ca="1">NOW()</f>
        <v>37194.822336689816</v>
      </c>
    </row>
    <row r="4" spans="1:32" ht="15" customHeight="1" x14ac:dyDescent="0.2">
      <c r="A4" s="34" t="s">
        <v>149</v>
      </c>
      <c r="C4" s="34" t="s">
        <v>5</v>
      </c>
      <c r="G4" s="298" t="s">
        <v>31</v>
      </c>
      <c r="H4" s="299">
        <f>+'[1]1001'!$M$39</f>
        <v>2.0699999999999998</v>
      </c>
    </row>
    <row r="5" spans="1:32" ht="15" customHeight="1" x14ac:dyDescent="0.2">
      <c r="B5" s="361"/>
      <c r="G5" s="297" t="s">
        <v>118</v>
      </c>
      <c r="H5" s="363">
        <f>+'[1]1001'!$H$39</f>
        <v>2.11</v>
      </c>
    </row>
    <row r="6" spans="1:32" ht="12" customHeight="1" x14ac:dyDescent="0.2">
      <c r="C6" s="480"/>
    </row>
    <row r="7" spans="1:32" ht="15" customHeight="1" x14ac:dyDescent="0.2">
      <c r="A7" s="351" t="s">
        <v>90</v>
      </c>
      <c r="B7" s="352" t="s">
        <v>17</v>
      </c>
      <c r="C7" s="353" t="s">
        <v>0</v>
      </c>
      <c r="D7" s="5" t="s">
        <v>150</v>
      </c>
      <c r="E7" s="351" t="s">
        <v>91</v>
      </c>
      <c r="F7" s="354" t="s">
        <v>102</v>
      </c>
      <c r="G7" s="351" t="s">
        <v>99</v>
      </c>
    </row>
    <row r="8" spans="1:32" ht="15" customHeight="1" x14ac:dyDescent="0.2">
      <c r="A8" s="365" t="s">
        <v>33</v>
      </c>
      <c r="B8" s="366">
        <f>+C8*$H$4</f>
        <v>617518.26</v>
      </c>
      <c r="C8" s="208">
        <f>+SoCal!F40</f>
        <v>298318</v>
      </c>
      <c r="D8" s="388">
        <f>+SoCal!A40</f>
        <v>37193</v>
      </c>
      <c r="E8" s="206" t="s">
        <v>85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65" t="s">
        <v>88</v>
      </c>
      <c r="B9" s="366">
        <f>+NNG!$D$24</f>
        <v>527563.34</v>
      </c>
      <c r="C9" s="283">
        <f t="shared" ref="C9:C15" si="0">+B9/$H$4</f>
        <v>254861.51690821256</v>
      </c>
      <c r="D9" s="388">
        <f>+NNG!A24</f>
        <v>37192</v>
      </c>
      <c r="E9" s="206" t="s">
        <v>86</v>
      </c>
      <c r="F9" s="206" t="s">
        <v>101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1" t="s">
        <v>83</v>
      </c>
      <c r="B10" s="366">
        <f>+PNM!$D$23</f>
        <v>448310.39</v>
      </c>
      <c r="C10" s="283">
        <f>+B10/$H$4</f>
        <v>216575.06763285026</v>
      </c>
      <c r="D10" s="389">
        <f>+PNM!A23</f>
        <v>37188</v>
      </c>
      <c r="E10" s="32" t="s">
        <v>86</v>
      </c>
      <c r="F10" s="32" t="s">
        <v>116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1" t="s">
        <v>151</v>
      </c>
      <c r="B11" s="366">
        <f>+PGETX!$H$39</f>
        <v>440420.99000000005</v>
      </c>
      <c r="C11" s="283">
        <f t="shared" si="0"/>
        <v>212763.76328502421</v>
      </c>
      <c r="D11" s="389">
        <f>+PGETX!E39</f>
        <v>37193</v>
      </c>
      <c r="E11" s="32" t="s">
        <v>86</v>
      </c>
      <c r="F11" s="32" t="s">
        <v>103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1" t="s">
        <v>81</v>
      </c>
      <c r="B12" s="366">
        <f>+Conoco!$F$41</f>
        <v>429484.22</v>
      </c>
      <c r="C12" s="283">
        <f>+B12/$H$4</f>
        <v>207480.29951690821</v>
      </c>
      <c r="D12" s="388">
        <f>+Conoco!A41</f>
        <v>37193</v>
      </c>
      <c r="E12" s="32" t="s">
        <v>86</v>
      </c>
      <c r="F12" s="32" t="s">
        <v>114</v>
      </c>
      <c r="G12" s="32" t="s">
        <v>146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1" t="s">
        <v>3</v>
      </c>
      <c r="B13" s="366">
        <f>+'Amoco Abo'!$F$43</f>
        <v>424908.32</v>
      </c>
      <c r="C13" s="283">
        <f t="shared" si="0"/>
        <v>205269.71980676331</v>
      </c>
      <c r="D13" s="389">
        <f>+'Amoco Abo'!A43</f>
        <v>37192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1" t="s">
        <v>2</v>
      </c>
      <c r="B14" s="366">
        <f>+mewborne!$J$43</f>
        <v>406678.62</v>
      </c>
      <c r="C14" s="283">
        <f t="shared" si="0"/>
        <v>196463.10144927539</v>
      </c>
      <c r="D14" s="389">
        <f>+mewborne!A43</f>
        <v>37192</v>
      </c>
      <c r="E14" s="32" t="s">
        <v>86</v>
      </c>
      <c r="F14" s="32" t="s">
        <v>100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1" t="s">
        <v>108</v>
      </c>
      <c r="B15" s="366">
        <f>+KN_Westar!F41</f>
        <v>366492.83</v>
      </c>
      <c r="C15" s="283">
        <f t="shared" si="0"/>
        <v>177049.67632850245</v>
      </c>
      <c r="D15" s="389">
        <f>+KN_Westar!A41</f>
        <v>37193</v>
      </c>
      <c r="E15" s="32" t="s">
        <v>86</v>
      </c>
      <c r="F15" s="32" t="s">
        <v>101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1" t="s">
        <v>95</v>
      </c>
      <c r="B16" s="366">
        <f>+C16*$H$4</f>
        <v>345060.72</v>
      </c>
      <c r="C16" s="283">
        <f>+Mojave!D40</f>
        <v>166696</v>
      </c>
      <c r="D16" s="389">
        <f>+Mojave!A40</f>
        <v>37193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365" t="s">
        <v>29</v>
      </c>
      <c r="B17" s="366">
        <f>+C17*$H$3</f>
        <v>325316</v>
      </c>
      <c r="C17" s="283">
        <f>+williams!J40</f>
        <v>162658</v>
      </c>
      <c r="D17" s="388">
        <f>+williams!A40</f>
        <v>37193</v>
      </c>
      <c r="E17" s="206" t="s">
        <v>85</v>
      </c>
      <c r="F17" s="206" t="s">
        <v>148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1" t="s">
        <v>89</v>
      </c>
      <c r="B18" s="366">
        <f>+C18*$H$4</f>
        <v>295374.50999999995</v>
      </c>
      <c r="C18" s="283">
        <f>+NGPL!F38</f>
        <v>142693</v>
      </c>
      <c r="D18" s="389">
        <f>+NGPL!A38</f>
        <v>37193</v>
      </c>
      <c r="E18" s="32" t="s">
        <v>85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1" t="s">
        <v>24</v>
      </c>
      <c r="B19" s="431">
        <f>+C19*$H$3</f>
        <v>188200</v>
      </c>
      <c r="C19" s="368">
        <f>+'Red C'!F43</f>
        <v>94100</v>
      </c>
      <c r="D19" s="388">
        <f>+'Red C'!B43</f>
        <v>37193</v>
      </c>
      <c r="E19" s="206" t="s">
        <v>85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1" t="s">
        <v>115</v>
      </c>
      <c r="B20" s="366">
        <f>+C20*$H$4</f>
        <v>178140.06</v>
      </c>
      <c r="C20" s="208">
        <f>+'PG&amp;E'!D40</f>
        <v>86058</v>
      </c>
      <c r="D20" s="389">
        <f>+'PG&amp;E'!A40</f>
        <v>37193</v>
      </c>
      <c r="E20" s="32" t="s">
        <v>85</v>
      </c>
      <c r="F20" s="32" t="s">
        <v>103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1" t="s">
        <v>222</v>
      </c>
      <c r="B21" s="366">
        <f>+Dominion!D41</f>
        <v>170754.61</v>
      </c>
      <c r="C21" s="283">
        <f>+B21/$H$5</f>
        <v>80926.355450236966</v>
      </c>
      <c r="D21" s="389">
        <f>+Dominion!A41</f>
        <v>37193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1" t="s">
        <v>225</v>
      </c>
      <c r="B22" s="366">
        <f>+Devon!D41</f>
        <v>146047.28</v>
      </c>
      <c r="C22" s="283">
        <f>+B22/$H$5</f>
        <v>69216.720379146922</v>
      </c>
      <c r="D22" s="389">
        <f>+Devon!A41</f>
        <v>37193</v>
      </c>
      <c r="E22" s="32" t="s">
        <v>86</v>
      </c>
      <c r="F22" s="32" t="s">
        <v>100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1" t="s">
        <v>233</v>
      </c>
      <c r="B23" s="366">
        <f>+Amarillo!P41</f>
        <v>118370.3</v>
      </c>
      <c r="C23" s="283">
        <f>+B23/$H$4</f>
        <v>57183.719806763293</v>
      </c>
      <c r="D23" s="389">
        <f>+Amarillo!A41</f>
        <v>37193</v>
      </c>
      <c r="E23" s="32" t="s">
        <v>86</v>
      </c>
      <c r="F23" s="32" t="s">
        <v>114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1" t="s">
        <v>7</v>
      </c>
      <c r="B24" s="366">
        <f>+C24*$H$4</f>
        <v>98691.39</v>
      </c>
      <c r="C24" s="208">
        <f>+Oasis!D40</f>
        <v>47677</v>
      </c>
      <c r="D24" s="389">
        <f>+Oasis!B40</f>
        <v>37193</v>
      </c>
      <c r="E24" s="32" t="s">
        <v>85</v>
      </c>
      <c r="F24" s="32" t="s">
        <v>103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1" t="s">
        <v>1</v>
      </c>
      <c r="B25" s="366">
        <f>+C25*$H$3</f>
        <v>93086</v>
      </c>
      <c r="C25" s="208">
        <f>+NW!$F$41</f>
        <v>46543</v>
      </c>
      <c r="D25" s="388">
        <f>+NW!B41</f>
        <v>37188</v>
      </c>
      <c r="E25" s="32" t="s">
        <v>85</v>
      </c>
      <c r="F25" s="32" t="s">
        <v>116</v>
      </c>
      <c r="G25" s="37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1" t="s">
        <v>132</v>
      </c>
      <c r="B26" s="366">
        <f>+EPFS!D41</f>
        <v>64173.609999999986</v>
      </c>
      <c r="C26" s="208">
        <f>+B26/$H$5</f>
        <v>30414.033175355446</v>
      </c>
      <c r="D26" s="388">
        <f>+EPFS!A41</f>
        <v>37193</v>
      </c>
      <c r="E26" s="32" t="s">
        <v>86</v>
      </c>
      <c r="F26" s="32" t="s">
        <v>103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365" t="s">
        <v>72</v>
      </c>
      <c r="B27" s="367">
        <f>+transcol!$D$43</f>
        <v>35299.979999999996</v>
      </c>
      <c r="C27" s="368">
        <f>+B27/$H$4</f>
        <v>17053.130434782608</v>
      </c>
      <c r="D27" s="388">
        <f>+transcol!A43</f>
        <v>37193</v>
      </c>
      <c r="E27" s="206" t="s">
        <v>86</v>
      </c>
      <c r="F27" s="206" t="s">
        <v>116</v>
      </c>
      <c r="G27" s="30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1" t="s">
        <v>111</v>
      </c>
      <c r="B28" s="366">
        <f>+C28*$H$4</f>
        <v>34602.119999999995</v>
      </c>
      <c r="C28" s="283">
        <f>+CIG!D42</f>
        <v>16716</v>
      </c>
      <c r="D28" s="389">
        <f>+CIG!A42</f>
        <v>37193</v>
      </c>
      <c r="E28" s="206" t="s">
        <v>85</v>
      </c>
      <c r="F28" s="32" t="s">
        <v>114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365" t="s">
        <v>110</v>
      </c>
      <c r="B29" s="366">
        <f>+Continental!F43</f>
        <v>21316.080000000002</v>
      </c>
      <c r="C29" s="208">
        <f>+B29/$H$4</f>
        <v>10297.623188405798</v>
      </c>
      <c r="D29" s="388">
        <f>+Continental!A43</f>
        <v>37193</v>
      </c>
      <c r="E29" s="206" t="s">
        <v>86</v>
      </c>
      <c r="F29" s="206" t="s">
        <v>116</v>
      </c>
      <c r="G29" s="206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s="302" customFormat="1" ht="12.95" customHeight="1" x14ac:dyDescent="0.2">
      <c r="A30" s="365" t="s">
        <v>142</v>
      </c>
      <c r="B30" s="366">
        <f>+'Citizens-Griffith'!D41</f>
        <v>13156.009999999995</v>
      </c>
      <c r="C30" s="283">
        <f>+B30/$H$4</f>
        <v>6355.5603864734276</v>
      </c>
      <c r="D30" s="388">
        <f>+'Citizens-Griffith'!A41</f>
        <v>37193</v>
      </c>
      <c r="E30" s="206" t="s">
        <v>86</v>
      </c>
      <c r="F30" s="206" t="s">
        <v>100</v>
      </c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ht="12.95" customHeight="1" x14ac:dyDescent="0.2">
      <c r="A31" s="251" t="s">
        <v>32</v>
      </c>
      <c r="B31" s="369">
        <f>+C31*$H$4</f>
        <v>364.32</v>
      </c>
      <c r="C31" s="71">
        <f>+Lonestar!F42</f>
        <v>176</v>
      </c>
      <c r="D31" s="388">
        <f>+Lonestar!B42</f>
        <v>37193</v>
      </c>
      <c r="E31" s="32" t="s">
        <v>85</v>
      </c>
      <c r="F31" s="32" t="s">
        <v>103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">
      <c r="A32" s="32" t="s">
        <v>97</v>
      </c>
      <c r="B32" s="47">
        <f>SUM(B8:B31)</f>
        <v>5789329.9600000009</v>
      </c>
      <c r="C32" s="69">
        <f>SUM(C8:C31)</f>
        <v>2803545.2877487005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2"/>
      <c r="B33" s="47"/>
      <c r="C33" s="69"/>
      <c r="D33" s="205"/>
      <c r="E33" s="32"/>
      <c r="F33" s="37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51" t="s">
        <v>90</v>
      </c>
      <c r="B34" s="352" t="s">
        <v>17</v>
      </c>
      <c r="C34" s="353" t="s">
        <v>0</v>
      </c>
      <c r="D34" s="360" t="s">
        <v>150</v>
      </c>
      <c r="E34" s="351" t="s">
        <v>91</v>
      </c>
      <c r="F34" s="354" t="s">
        <v>102</v>
      </c>
      <c r="G34" s="351" t="s">
        <v>99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2.95" customHeight="1" x14ac:dyDescent="0.2">
      <c r="A35" s="365" t="s">
        <v>138</v>
      </c>
      <c r="B35" s="366">
        <f>+Citizens!D18</f>
        <v>-553742.49</v>
      </c>
      <c r="C35" s="208">
        <f>+B35/$H$4</f>
        <v>-267508.44927536236</v>
      </c>
      <c r="D35" s="388">
        <f>+Citizens!A18</f>
        <v>37193</v>
      </c>
      <c r="E35" s="206" t="s">
        <v>86</v>
      </c>
      <c r="F35" s="206" t="s">
        <v>100</v>
      </c>
      <c r="G35" s="37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2.95" customHeight="1" x14ac:dyDescent="0.2">
      <c r="A36" s="251" t="s">
        <v>136</v>
      </c>
      <c r="B36" s="366">
        <f>+'NS Steel'!D41</f>
        <v>-410990.06</v>
      </c>
      <c r="C36" s="208">
        <f>+B36/$H$4</f>
        <v>-198545.92270531403</v>
      </c>
      <c r="D36" s="389">
        <f>+'NS Steel'!A41</f>
        <v>37193</v>
      </c>
      <c r="E36" s="32" t="s">
        <v>86</v>
      </c>
      <c r="F36" s="32" t="s">
        <v>101</v>
      </c>
      <c r="G36" s="37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65" t="s">
        <v>80</v>
      </c>
      <c r="B37" s="366">
        <f>+Agave!$D$24</f>
        <v>-195838.56000000003</v>
      </c>
      <c r="C37" s="208">
        <f>+B37/$H$4</f>
        <v>-94608.000000000015</v>
      </c>
      <c r="D37" s="388">
        <f>+Agave!A24</f>
        <v>37192</v>
      </c>
      <c r="E37" s="206" t="s">
        <v>86</v>
      </c>
      <c r="F37" s="206" t="s">
        <v>103</v>
      </c>
      <c r="G37" s="206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s="302" customFormat="1" ht="13.5" customHeight="1" x14ac:dyDescent="0.2">
      <c r="A38" s="251" t="s">
        <v>231</v>
      </c>
      <c r="B38" s="366">
        <f>+crosstex!F41</f>
        <v>-150281.65</v>
      </c>
      <c r="C38" s="208">
        <f>+B38/$H$4</f>
        <v>-72599.830917874395</v>
      </c>
      <c r="D38" s="389">
        <f>+crosstex!A41</f>
        <v>37193</v>
      </c>
      <c r="E38" s="32" t="s">
        <v>86</v>
      </c>
      <c r="F38" s="32" t="s">
        <v>101</v>
      </c>
      <c r="G38" s="372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</row>
    <row r="39" spans="1:32" s="302" customFormat="1" ht="12.95" customHeight="1" x14ac:dyDescent="0.2">
      <c r="A39" s="365" t="s">
        <v>219</v>
      </c>
      <c r="B39" s="367">
        <f>+WTG!J41</f>
        <v>-60725.229999999996</v>
      </c>
      <c r="C39" s="208">
        <f>+B39/$H$4</f>
        <v>-29335.859903381643</v>
      </c>
      <c r="D39" s="388">
        <f>+WTG!A41</f>
        <v>37193</v>
      </c>
      <c r="E39" s="32" t="s">
        <v>86</v>
      </c>
      <c r="F39" s="206" t="s">
        <v>116</v>
      </c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</row>
    <row r="40" spans="1:32" s="302" customFormat="1" ht="13.5" customHeight="1" x14ac:dyDescent="0.2">
      <c r="A40" s="365" t="s">
        <v>145</v>
      </c>
      <c r="B40" s="367">
        <f>+C40*$H$4</f>
        <v>-56877.389999999992</v>
      </c>
      <c r="C40" s="368">
        <f>+PEPL!D41</f>
        <v>-27477</v>
      </c>
      <c r="D40" s="388">
        <f>+PEPL!A41</f>
        <v>37193</v>
      </c>
      <c r="E40" s="206" t="s">
        <v>85</v>
      </c>
      <c r="F40" s="206" t="s">
        <v>101</v>
      </c>
      <c r="G40" s="206" t="s">
        <v>144</v>
      </c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</row>
    <row r="41" spans="1:32" ht="13.5" customHeight="1" x14ac:dyDescent="0.2">
      <c r="A41" s="365" t="s">
        <v>34</v>
      </c>
      <c r="B41" s="366">
        <f>+'El Paso'!C39*summary!H4+'El Paso'!E39*summary!H3</f>
        <v>-56101.170000000013</v>
      </c>
      <c r="C41" s="283">
        <f>+'El Paso'!H39</f>
        <v>-30300</v>
      </c>
      <c r="D41" s="388">
        <f>+'El Paso'!A39</f>
        <v>37193</v>
      </c>
      <c r="E41" s="206" t="s">
        <v>85</v>
      </c>
      <c r="F41" s="206" t="s">
        <v>101</v>
      </c>
      <c r="G41" s="206" t="s">
        <v>120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365" t="s">
        <v>129</v>
      </c>
      <c r="B42" s="366">
        <f>+DEFS!F53</f>
        <v>-27645.900000000373</v>
      </c>
      <c r="C42" s="208">
        <f>+B42/$H$4</f>
        <v>-13355.507246376992</v>
      </c>
      <c r="D42" s="388">
        <f>+DEFS!A40</f>
        <v>37193</v>
      </c>
      <c r="E42" s="206" t="s">
        <v>86</v>
      </c>
      <c r="F42" s="206" t="s">
        <v>101</v>
      </c>
      <c r="G42" s="206" t="s">
        <v>119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s="302" customFormat="1" ht="13.5" customHeight="1" x14ac:dyDescent="0.2">
      <c r="A43" s="365" t="s">
        <v>96</v>
      </c>
      <c r="B43" s="366">
        <f>+burlington!D42</f>
        <v>-14943</v>
      </c>
      <c r="C43" s="283">
        <f>+B43/$H$3</f>
        <v>-7471.5</v>
      </c>
      <c r="D43" s="388">
        <f>+burlington!A42</f>
        <v>37193</v>
      </c>
      <c r="E43" s="206" t="s">
        <v>86</v>
      </c>
      <c r="F43" s="32" t="s">
        <v>114</v>
      </c>
      <c r="G43" s="32" t="s">
        <v>147</v>
      </c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</row>
    <row r="44" spans="1:32" ht="13.5" customHeight="1" x14ac:dyDescent="0.2">
      <c r="A44" s="365" t="s">
        <v>130</v>
      </c>
      <c r="B44" s="366">
        <f>+Calpine!D41</f>
        <v>-13298.89</v>
      </c>
      <c r="C44" s="208">
        <f>+B44/$H$4</f>
        <v>-6424.5845410628026</v>
      </c>
      <c r="D44" s="388">
        <f>+Calpine!A41</f>
        <v>37193</v>
      </c>
      <c r="E44" s="206" t="s">
        <v>86</v>
      </c>
      <c r="F44" s="206" t="s">
        <v>100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customHeight="1" x14ac:dyDescent="0.2">
      <c r="A45" s="251" t="s">
        <v>6</v>
      </c>
      <c r="B45" s="366">
        <f>+C45*$H$3</f>
        <v>-11614</v>
      </c>
      <c r="C45" s="283">
        <f>+Amoco!D40</f>
        <v>-5807</v>
      </c>
      <c r="D45" s="389">
        <f>+Amoco!A40</f>
        <v>37193</v>
      </c>
      <c r="E45" s="32" t="s">
        <v>85</v>
      </c>
      <c r="F45" s="32" t="s">
        <v>116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customHeight="1" x14ac:dyDescent="0.2">
      <c r="A46" s="251" t="s">
        <v>134</v>
      </c>
      <c r="B46" s="366">
        <f>+SidR!D41</f>
        <v>-2954.01</v>
      </c>
      <c r="C46" s="283">
        <f>+B46/$H$5</f>
        <v>-1400.004739336493</v>
      </c>
      <c r="D46" s="389">
        <f>+SidR!A41</f>
        <v>37193</v>
      </c>
      <c r="E46" s="32" t="s">
        <v>86</v>
      </c>
      <c r="F46" s="32" t="s">
        <v>103</v>
      </c>
      <c r="G46" s="32" t="s">
        <v>160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2.95" customHeight="1" x14ac:dyDescent="0.2">
      <c r="A47" s="251" t="s">
        <v>104</v>
      </c>
      <c r="B47" s="369">
        <f>+EOG!J41</f>
        <v>-976.59999999999854</v>
      </c>
      <c r="C47" s="71">
        <f>+B47/$H$4</f>
        <v>-471.78743961352592</v>
      </c>
      <c r="D47" s="388">
        <f>+EOG!A41</f>
        <v>37193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5" customHeight="1" x14ac:dyDescent="0.2">
      <c r="A48" s="32" t="s">
        <v>98</v>
      </c>
      <c r="B48" s="366">
        <f>SUM(B35:B47)</f>
        <v>-1555988.9500000002</v>
      </c>
      <c r="C48" s="208">
        <f>SUM(C35:C47)</f>
        <v>-755305.44676832214</v>
      </c>
      <c r="D48" s="37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2.95" customHeight="1" x14ac:dyDescent="0.2">
      <c r="A49" s="32"/>
      <c r="B49" s="369"/>
      <c r="C49" s="71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thickBot="1" x14ac:dyDescent="0.25">
      <c r="A50" s="2" t="s">
        <v>92</v>
      </c>
      <c r="B50" s="374">
        <f>+B48+B32</f>
        <v>4233341.0100000007</v>
      </c>
      <c r="C50" s="375">
        <f>+C48+C32</f>
        <v>2048239.8409803784</v>
      </c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5" thickTop="1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2" t="s">
        <v>93</v>
      </c>
      <c r="B52" s="47"/>
      <c r="C52" s="303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14"/>
      <c r="D58" s="205"/>
      <c r="E58" s="136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376"/>
      <c r="C65" s="37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69"/>
      <c r="D67" s="205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69"/>
      <c r="D69" s="37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3"/>
      <c r="D70" s="205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14"/>
      <c r="C71" s="303"/>
      <c r="D71" s="379"/>
      <c r="E71" s="380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14"/>
      <c r="C72" s="303"/>
      <c r="D72" s="38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14"/>
      <c r="C73" s="303"/>
      <c r="D73" s="38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14"/>
      <c r="C74" s="303"/>
      <c r="D74" s="38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14"/>
      <c r="C75" s="303"/>
      <c r="D75" s="38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84"/>
      <c r="C76" s="69"/>
      <c r="D76" s="205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84"/>
      <c r="C77" s="69"/>
      <c r="D77" s="37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385"/>
      <c r="C79" s="14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384"/>
      <c r="C80" s="14"/>
      <c r="D80" s="37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384"/>
      <c r="C81" s="69"/>
      <c r="D81" s="37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384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376"/>
      <c r="C83" s="386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abSelected="1" topLeftCell="A33" workbookViewId="1">
      <selection activeCell="A43" sqref="A43"/>
    </sheetView>
    <sheetView workbookViewId="2">
      <selection activeCell="D43" sqref="D43"/>
    </sheetView>
    <sheetView topLeftCell="A30" workbookViewId="3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191</v>
      </c>
      <c r="C6" s="293"/>
      <c r="D6" s="34" t="s">
        <v>192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60" t="s">
        <v>11</v>
      </c>
      <c r="B7" s="469" t="s">
        <v>20</v>
      </c>
      <c r="C7" s="469" t="s">
        <v>21</v>
      </c>
      <c r="D7" s="469" t="s">
        <v>20</v>
      </c>
      <c r="E7" s="469" t="s">
        <v>21</v>
      </c>
      <c r="F7" s="469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70">
        <v>1</v>
      </c>
      <c r="B8" s="439">
        <v>12831</v>
      </c>
      <c r="C8" s="439">
        <v>12837</v>
      </c>
      <c r="D8" s="439">
        <v>-114</v>
      </c>
      <c r="E8" s="439"/>
      <c r="F8" s="319">
        <f>+C8-B8+E8-D8</f>
        <v>120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70">
        <v>2</v>
      </c>
      <c r="B9" s="439">
        <v>13029</v>
      </c>
      <c r="C9" s="439">
        <v>8071</v>
      </c>
      <c r="D9" s="439">
        <v>-153</v>
      </c>
      <c r="E9" s="439"/>
      <c r="F9" s="319">
        <f t="shared" ref="F9:F37" si="0">+C9-B9+E9-D9</f>
        <v>-4805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70">
        <v>3</v>
      </c>
      <c r="B10" s="439">
        <v>13847</v>
      </c>
      <c r="C10" s="439">
        <v>12691</v>
      </c>
      <c r="D10" s="439">
        <v>-842</v>
      </c>
      <c r="E10" s="439"/>
      <c r="F10" s="319">
        <f t="shared" si="0"/>
        <v>-314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70">
        <v>4</v>
      </c>
      <c r="B11" s="439">
        <v>13138</v>
      </c>
      <c r="C11" s="439">
        <v>12697</v>
      </c>
      <c r="D11" s="439">
        <v>-377</v>
      </c>
      <c r="E11" s="439"/>
      <c r="F11" s="319">
        <f t="shared" si="0"/>
        <v>-64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70">
        <v>5</v>
      </c>
      <c r="B12" s="439">
        <v>13313</v>
      </c>
      <c r="C12" s="439">
        <v>12697</v>
      </c>
      <c r="D12" s="439">
        <v>-312</v>
      </c>
      <c r="E12" s="439"/>
      <c r="F12" s="319">
        <f t="shared" si="0"/>
        <v>-304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70">
        <v>6</v>
      </c>
      <c r="B13" s="439">
        <v>13235</v>
      </c>
      <c r="C13" s="439">
        <v>12697</v>
      </c>
      <c r="D13" s="439">
        <v>-27</v>
      </c>
      <c r="E13" s="439"/>
      <c r="F13" s="319">
        <f t="shared" si="0"/>
        <v>-511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70">
        <v>7</v>
      </c>
      <c r="B14" s="439">
        <v>13540</v>
      </c>
      <c r="C14" s="439">
        <v>12697</v>
      </c>
      <c r="D14" s="439">
        <v>-242</v>
      </c>
      <c r="E14" s="439"/>
      <c r="F14" s="319">
        <f t="shared" si="0"/>
        <v>-601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70">
        <v>8</v>
      </c>
      <c r="B15" s="439">
        <v>11269</v>
      </c>
      <c r="C15" s="439">
        <v>12697</v>
      </c>
      <c r="D15" s="439">
        <v>-311</v>
      </c>
      <c r="E15" s="439"/>
      <c r="F15" s="319">
        <f t="shared" si="0"/>
        <v>1739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70">
        <v>9</v>
      </c>
      <c r="B16" s="439">
        <v>10838</v>
      </c>
      <c r="C16" s="439">
        <v>12697</v>
      </c>
      <c r="D16" s="439">
        <v>-333</v>
      </c>
      <c r="E16" s="439"/>
      <c r="F16" s="319">
        <f t="shared" si="0"/>
        <v>2192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70">
        <v>10</v>
      </c>
      <c r="B17" s="439">
        <v>10504</v>
      </c>
      <c r="C17" s="439">
        <v>12697</v>
      </c>
      <c r="D17" s="439">
        <v>-199</v>
      </c>
      <c r="E17" s="439"/>
      <c r="F17" s="319">
        <f t="shared" si="0"/>
        <v>2392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70">
        <v>11</v>
      </c>
      <c r="B18" s="439">
        <v>10330</v>
      </c>
      <c r="C18" s="439">
        <v>12697</v>
      </c>
      <c r="D18" s="439">
        <v>-217</v>
      </c>
      <c r="E18" s="439"/>
      <c r="F18" s="319">
        <f t="shared" si="0"/>
        <v>2584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70">
        <v>12</v>
      </c>
      <c r="B19" s="439">
        <v>10520</v>
      </c>
      <c r="C19" s="439">
        <v>10001</v>
      </c>
      <c r="D19" s="439">
        <v>-132</v>
      </c>
      <c r="E19" s="439"/>
      <c r="F19" s="319">
        <f t="shared" si="0"/>
        <v>-387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70">
        <v>13</v>
      </c>
      <c r="B20" s="439">
        <v>13054</v>
      </c>
      <c r="C20" s="439">
        <v>12837</v>
      </c>
      <c r="D20" s="439">
        <v>-293</v>
      </c>
      <c r="E20" s="439"/>
      <c r="F20" s="319">
        <f t="shared" si="0"/>
        <v>76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70">
        <v>14</v>
      </c>
      <c r="B21" s="439">
        <v>12944</v>
      </c>
      <c r="C21" s="439">
        <v>12837</v>
      </c>
      <c r="D21" s="439">
        <v>-407</v>
      </c>
      <c r="E21" s="439"/>
      <c r="F21" s="319">
        <f t="shared" si="0"/>
        <v>300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70">
        <v>15</v>
      </c>
      <c r="B22" s="439">
        <v>11516</v>
      </c>
      <c r="C22" s="439">
        <v>12837</v>
      </c>
      <c r="D22" s="439">
        <v>-293</v>
      </c>
      <c r="E22" s="439"/>
      <c r="F22" s="319">
        <f t="shared" si="0"/>
        <v>1614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70">
        <v>16</v>
      </c>
      <c r="B23" s="439">
        <v>11367</v>
      </c>
      <c r="C23" s="439">
        <v>12837</v>
      </c>
      <c r="D23" s="439">
        <v>-196</v>
      </c>
      <c r="E23" s="439"/>
      <c r="F23" s="319">
        <f t="shared" si="0"/>
        <v>1666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70">
        <v>17</v>
      </c>
      <c r="B24" s="439">
        <v>11311</v>
      </c>
      <c r="C24" s="439">
        <v>12837</v>
      </c>
      <c r="D24" s="439">
        <v>-378</v>
      </c>
      <c r="E24" s="439"/>
      <c r="F24" s="319">
        <f t="shared" si="0"/>
        <v>1904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70">
        <v>18</v>
      </c>
      <c r="B25" s="439">
        <v>11119</v>
      </c>
      <c r="C25" s="439">
        <v>12837</v>
      </c>
      <c r="D25" s="439">
        <v>-418</v>
      </c>
      <c r="E25" s="439"/>
      <c r="F25" s="319">
        <f t="shared" si="0"/>
        <v>2136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70">
        <v>19</v>
      </c>
      <c r="B26" s="439">
        <v>12671</v>
      </c>
      <c r="C26" s="439">
        <v>12837</v>
      </c>
      <c r="D26" s="439">
        <v>-345</v>
      </c>
      <c r="E26" s="439"/>
      <c r="F26" s="319">
        <f t="shared" si="0"/>
        <v>511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70">
        <v>20</v>
      </c>
      <c r="B27" s="439">
        <v>12451</v>
      </c>
      <c r="C27" s="439">
        <v>12837</v>
      </c>
      <c r="D27" s="439">
        <v>-404</v>
      </c>
      <c r="E27" s="439"/>
      <c r="F27" s="319">
        <f t="shared" si="0"/>
        <v>790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70">
        <v>21</v>
      </c>
      <c r="B28" s="439">
        <v>12400</v>
      </c>
      <c r="C28" s="439">
        <v>12837</v>
      </c>
      <c r="D28" s="439">
        <v>-481</v>
      </c>
      <c r="E28" s="439"/>
      <c r="F28" s="319">
        <f t="shared" si="0"/>
        <v>918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70">
        <v>22</v>
      </c>
      <c r="B29" s="439">
        <v>12014</v>
      </c>
      <c r="C29" s="439">
        <v>12837</v>
      </c>
      <c r="D29" s="439">
        <v>-504</v>
      </c>
      <c r="E29" s="439"/>
      <c r="F29" s="319">
        <f t="shared" si="0"/>
        <v>1327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70">
        <v>23</v>
      </c>
      <c r="B30" s="439">
        <v>12174</v>
      </c>
      <c r="C30" s="439">
        <v>12837</v>
      </c>
      <c r="D30" s="439">
        <v>-513</v>
      </c>
      <c r="E30" s="439"/>
      <c r="F30" s="319">
        <f t="shared" si="0"/>
        <v>1176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70">
        <v>24</v>
      </c>
      <c r="B31" s="439">
        <v>11934</v>
      </c>
      <c r="C31" s="439">
        <v>12837</v>
      </c>
      <c r="D31" s="439">
        <v>-403</v>
      </c>
      <c r="E31" s="439"/>
      <c r="F31" s="319">
        <f t="shared" si="0"/>
        <v>1306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70">
        <v>25</v>
      </c>
      <c r="B32" s="439">
        <v>13197</v>
      </c>
      <c r="C32" s="439">
        <v>12837</v>
      </c>
      <c r="D32" s="439">
        <v>-293</v>
      </c>
      <c r="E32" s="439"/>
      <c r="F32" s="319">
        <f t="shared" si="0"/>
        <v>-67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70">
        <v>26</v>
      </c>
      <c r="B33" s="439">
        <v>12812</v>
      </c>
      <c r="C33" s="439">
        <v>12805</v>
      </c>
      <c r="D33" s="439">
        <v>-342</v>
      </c>
      <c r="E33" s="439"/>
      <c r="F33" s="319">
        <f t="shared" si="0"/>
        <v>335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70">
        <v>27</v>
      </c>
      <c r="B34" s="439">
        <v>13522</v>
      </c>
      <c r="C34" s="439">
        <v>12837</v>
      </c>
      <c r="D34" s="439">
        <v>-365</v>
      </c>
      <c r="E34" s="439"/>
      <c r="F34" s="319">
        <f t="shared" si="0"/>
        <v>-320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70">
        <v>28</v>
      </c>
      <c r="B35" s="439">
        <v>13014</v>
      </c>
      <c r="C35" s="439">
        <v>12837</v>
      </c>
      <c r="D35" s="439">
        <v>-382</v>
      </c>
      <c r="E35" s="439"/>
      <c r="F35" s="319">
        <f t="shared" si="0"/>
        <v>205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70">
        <v>29</v>
      </c>
      <c r="B36" s="439"/>
      <c r="C36" s="439"/>
      <c r="D36" s="439"/>
      <c r="E36" s="439"/>
      <c r="F36" s="319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70">
        <v>30</v>
      </c>
      <c r="B37" s="439"/>
      <c r="C37" s="439"/>
      <c r="D37" s="439"/>
      <c r="E37" s="439"/>
      <c r="F37" s="319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70">
        <v>31</v>
      </c>
      <c r="B38" s="439"/>
      <c r="C38" s="439"/>
      <c r="D38" s="439"/>
      <c r="E38" s="439"/>
      <c r="F38" s="319"/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70"/>
      <c r="B39" s="439">
        <f>SUM(B8:B38)</f>
        <v>343894</v>
      </c>
      <c r="C39" s="439">
        <f>SUM(C8:C38)</f>
        <v>350536</v>
      </c>
      <c r="D39" s="439">
        <f>SUM(D8:D38)</f>
        <v>-9276</v>
      </c>
      <c r="E39" s="439">
        <f>SUM(E8:E38)</f>
        <v>0</v>
      </c>
      <c r="F39" s="439">
        <f>SUM(F8:F38)</f>
        <v>15918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71"/>
      <c r="B40" s="293"/>
      <c r="C40" s="472"/>
      <c r="D40" s="472"/>
      <c r="E40" s="472"/>
      <c r="F40" s="473">
        <f>+summary!H4</f>
        <v>2.0699999999999998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3"/>
      <c r="B41" s="293"/>
      <c r="C41" s="293"/>
      <c r="D41" s="293"/>
      <c r="E41" s="293"/>
      <c r="F41" s="474">
        <f>+F40*F39</f>
        <v>32950.259999999995</v>
      </c>
      <c r="J41" s="138"/>
      <c r="N41" s="138"/>
      <c r="R41" s="138"/>
      <c r="V41" s="138"/>
      <c r="Z41" s="138"/>
    </row>
    <row r="42" spans="1:26" ht="15" customHeight="1" x14ac:dyDescent="0.2">
      <c r="A42" s="56">
        <v>37164</v>
      </c>
      <c r="B42" s="293"/>
      <c r="C42" s="475"/>
      <c r="D42" s="475"/>
      <c r="E42" s="475"/>
      <c r="F42" s="537">
        <v>391958.06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37192</v>
      </c>
      <c r="B43" s="293"/>
      <c r="C43" s="476"/>
      <c r="D43" s="476"/>
      <c r="E43" s="476"/>
      <c r="F43" s="445">
        <f>+F42+F41</f>
        <v>424908.32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153</v>
      </c>
      <c r="B46" s="32"/>
      <c r="C46" s="32"/>
      <c r="D46" s="32"/>
      <c r="E46" s="11"/>
    </row>
    <row r="47" spans="1:26" x14ac:dyDescent="0.2">
      <c r="A47" s="49">
        <f>+A42</f>
        <v>37164</v>
      </c>
      <c r="B47" s="32"/>
      <c r="C47" s="32"/>
      <c r="D47" s="522">
        <v>-260264</v>
      </c>
      <c r="E47" s="11"/>
    </row>
    <row r="48" spans="1:26" x14ac:dyDescent="0.2">
      <c r="A48" s="49">
        <f>+A43</f>
        <v>37192</v>
      </c>
      <c r="B48" s="32"/>
      <c r="C48" s="32"/>
      <c r="D48" s="370">
        <f>+F39</f>
        <v>15918</v>
      </c>
      <c r="E48" s="11"/>
    </row>
    <row r="49" spans="1:5" x14ac:dyDescent="0.2">
      <c r="A49" s="32"/>
      <c r="B49" s="32"/>
      <c r="C49" s="32"/>
      <c r="D49" s="14">
        <f>+D48+D47</f>
        <v>-244346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3" workbookViewId="3">
      <selection activeCell="C7" sqref="C7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88</v>
      </c>
      <c r="B4" s="69"/>
      <c r="C4" s="289"/>
      <c r="D4" s="69"/>
    </row>
    <row r="5" spans="1:8" x14ac:dyDescent="0.2">
      <c r="B5" s="290" t="s">
        <v>20</v>
      </c>
      <c r="C5" s="290" t="s">
        <v>21</v>
      </c>
      <c r="D5" s="291" t="s">
        <v>50</v>
      </c>
    </row>
    <row r="6" spans="1:8" x14ac:dyDescent="0.2">
      <c r="A6" s="32">
        <v>1635</v>
      </c>
      <c r="B6" s="340">
        <v>-914103</v>
      </c>
      <c r="C6" s="80">
        <v>-10000</v>
      </c>
      <c r="D6" s="80">
        <f t="shared" ref="D6:D14" si="0">+C6-B6</f>
        <v>904103</v>
      </c>
    </row>
    <row r="7" spans="1:8" x14ac:dyDescent="0.2">
      <c r="A7" s="32">
        <v>3531</v>
      </c>
      <c r="B7" s="321">
        <v>-861819</v>
      </c>
      <c r="C7" s="80">
        <v>-710109</v>
      </c>
      <c r="D7" s="80">
        <f t="shared" si="0"/>
        <v>151710</v>
      </c>
    </row>
    <row r="8" spans="1:8" x14ac:dyDescent="0.2">
      <c r="A8" s="32">
        <v>60667</v>
      </c>
      <c r="B8" s="321">
        <v>-491100</v>
      </c>
      <c r="C8" s="80">
        <v>-1160260</v>
      </c>
      <c r="D8" s="80">
        <f t="shared" si="0"/>
        <v>-669160</v>
      </c>
      <c r="H8" s="252"/>
    </row>
    <row r="9" spans="1:8" x14ac:dyDescent="0.2">
      <c r="A9" s="32">
        <v>60749</v>
      </c>
      <c r="B9" s="321">
        <v>222190</v>
      </c>
      <c r="C9" s="80">
        <v>-441063</v>
      </c>
      <c r="D9" s="80">
        <f t="shared" si="0"/>
        <v>-663253</v>
      </c>
      <c r="H9" s="252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2"/>
    </row>
    <row r="11" spans="1:8" x14ac:dyDescent="0.2">
      <c r="A11" s="32">
        <v>61334</v>
      </c>
      <c r="B11" s="321">
        <v>-339874</v>
      </c>
      <c r="C11" s="80"/>
      <c r="D11" s="80">
        <f t="shared" si="0"/>
        <v>339874</v>
      </c>
      <c r="H11" s="252"/>
    </row>
    <row r="12" spans="1:8" x14ac:dyDescent="0.2">
      <c r="A12" s="32">
        <v>62960</v>
      </c>
      <c r="B12" s="321"/>
      <c r="C12" s="80"/>
      <c r="D12" s="80">
        <f t="shared" si="0"/>
        <v>0</v>
      </c>
      <c r="H12" s="252"/>
    </row>
    <row r="13" spans="1:8" x14ac:dyDescent="0.2">
      <c r="A13" s="292"/>
      <c r="B13" s="80"/>
      <c r="C13" s="80"/>
      <c r="D13" s="80">
        <f t="shared" si="0"/>
        <v>0</v>
      </c>
      <c r="H13" s="252"/>
    </row>
    <row r="14" spans="1:8" x14ac:dyDescent="0.2">
      <c r="B14" s="80"/>
      <c r="C14" s="80"/>
      <c r="D14" s="80">
        <f t="shared" si="0"/>
        <v>0</v>
      </c>
      <c r="H14" s="252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63274</v>
      </c>
    </row>
    <row r="19" spans="1:5" x14ac:dyDescent="0.2">
      <c r="A19" s="32" t="s">
        <v>82</v>
      </c>
      <c r="B19" s="69"/>
      <c r="C19" s="69"/>
      <c r="D19" s="73">
        <f>+summary!H4</f>
        <v>2.0699999999999998</v>
      </c>
    </row>
    <row r="20" spans="1:5" x14ac:dyDescent="0.2">
      <c r="B20" s="69"/>
      <c r="C20" s="69"/>
      <c r="D20" s="75">
        <f>+D19*D18</f>
        <v>130977.18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37164</v>
      </c>
      <c r="B22" s="69"/>
      <c r="C22" s="80"/>
      <c r="D22" s="518">
        <v>396586.16</v>
      </c>
      <c r="E22" s="252"/>
    </row>
    <row r="23" spans="1:5" x14ac:dyDescent="0.2">
      <c r="B23" s="69"/>
      <c r="C23" s="80"/>
      <c r="D23" s="296"/>
      <c r="E23" s="252"/>
    </row>
    <row r="24" spans="1:5" ht="12" thickBot="1" x14ac:dyDescent="0.25">
      <c r="A24" s="49">
        <v>37192</v>
      </c>
      <c r="B24" s="69"/>
      <c r="C24" s="69"/>
      <c r="D24" s="347">
        <f>+D22+D20</f>
        <v>527563.34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153</v>
      </c>
    </row>
    <row r="32" spans="1:5" x14ac:dyDescent="0.2">
      <c r="A32" s="49">
        <f>+A22</f>
        <v>37164</v>
      </c>
      <c r="D32" s="519">
        <v>-31659</v>
      </c>
    </row>
    <row r="33" spans="1:4" x14ac:dyDescent="0.2">
      <c r="A33" s="49">
        <f>+A24</f>
        <v>37192</v>
      </c>
      <c r="D33" s="370">
        <f>+D18</f>
        <v>63274</v>
      </c>
    </row>
    <row r="34" spans="1:4" x14ac:dyDescent="0.2">
      <c r="D34" s="14">
        <f>+D33+D32</f>
        <v>31615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B14" sqref="B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f>-35055-2577</f>
        <v>-37632</v>
      </c>
      <c r="C5" s="90">
        <v>-53820</v>
      </c>
      <c r="D5" s="90">
        <f t="shared" ref="D5:D13" si="0">+C5-B5</f>
        <v>-16188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83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-2256452-108924</f>
        <v>-2365376</v>
      </c>
      <c r="C7" s="90">
        <v>-2334576</v>
      </c>
      <c r="D7" s="90">
        <f t="shared" si="0"/>
        <v>30800</v>
      </c>
      <c r="E7" s="283"/>
      <c r="F7" s="70"/>
    </row>
    <row r="8" spans="1:13" x14ac:dyDescent="0.2">
      <c r="A8" s="87">
        <v>58710</v>
      </c>
      <c r="B8" s="90">
        <v>-108542</v>
      </c>
      <c r="C8" s="90">
        <v>-105508</v>
      </c>
      <c r="D8" s="90">
        <f t="shared" si="0"/>
        <v>3034</v>
      </c>
      <c r="E8" s="283"/>
      <c r="F8" s="70"/>
    </row>
    <row r="9" spans="1:13" x14ac:dyDescent="0.2">
      <c r="A9" s="87">
        <v>60921</v>
      </c>
      <c r="B9" s="90">
        <f>1682689+37776</f>
        <v>1720465</v>
      </c>
      <c r="C9" s="90">
        <v>1804578</v>
      </c>
      <c r="D9" s="90">
        <f t="shared" si="0"/>
        <v>84113</v>
      </c>
      <c r="E9" s="283"/>
      <c r="F9" s="70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3"/>
      <c r="F10" s="281"/>
    </row>
    <row r="11" spans="1:13" x14ac:dyDescent="0.2">
      <c r="A11" s="87">
        <v>500084</v>
      </c>
      <c r="B11" s="90">
        <f>-27807-341</f>
        <v>-28148</v>
      </c>
      <c r="C11" s="90">
        <v>-24000</v>
      </c>
      <c r="D11" s="90">
        <f t="shared" si="0"/>
        <v>4148</v>
      </c>
      <c r="E11" s="284"/>
      <c r="F11" s="281"/>
    </row>
    <row r="12" spans="1:13" x14ac:dyDescent="0.2">
      <c r="A12" s="331">
        <v>500085</v>
      </c>
      <c r="B12" s="90"/>
      <c r="C12" s="90"/>
      <c r="D12" s="90">
        <f t="shared" si="0"/>
        <v>0</v>
      </c>
      <c r="E12" s="283"/>
      <c r="F12" s="281"/>
    </row>
    <row r="13" spans="1:13" x14ac:dyDescent="0.2">
      <c r="A13" s="87">
        <v>500097</v>
      </c>
      <c r="B13" s="90">
        <v>-6321</v>
      </c>
      <c r="C13" s="90"/>
      <c r="D13" s="90">
        <f t="shared" si="0"/>
        <v>6321</v>
      </c>
      <c r="E13" s="283"/>
      <c r="F13" s="281"/>
    </row>
    <row r="14" spans="1:13" x14ac:dyDescent="0.2">
      <c r="A14" s="87"/>
      <c r="B14" s="90"/>
      <c r="C14" s="90"/>
      <c r="D14" s="90"/>
      <c r="E14" s="283"/>
      <c r="F14" s="281"/>
    </row>
    <row r="15" spans="1:13" x14ac:dyDescent="0.2">
      <c r="A15" s="87"/>
      <c r="B15" s="90"/>
      <c r="C15" s="90"/>
      <c r="D15" s="90"/>
      <c r="E15" s="283"/>
      <c r="F15" s="281"/>
    </row>
    <row r="16" spans="1:13" x14ac:dyDescent="0.2">
      <c r="A16" s="87"/>
      <c r="B16" s="88"/>
      <c r="C16" s="88"/>
      <c r="D16" s="94"/>
      <c r="E16" s="283"/>
      <c r="F16" s="281"/>
    </row>
    <row r="17" spans="1:7" x14ac:dyDescent="0.2">
      <c r="A17" s="87"/>
      <c r="B17" s="88"/>
      <c r="C17" s="88"/>
      <c r="D17" s="88">
        <f>SUM(D5:D16)</f>
        <v>112228</v>
      </c>
      <c r="E17" s="283"/>
      <c r="F17" s="281"/>
    </row>
    <row r="18" spans="1:7" x14ac:dyDescent="0.2">
      <c r="A18" s="87" t="s">
        <v>82</v>
      </c>
      <c r="B18" s="88"/>
      <c r="C18" s="88"/>
      <c r="D18" s="95">
        <f>+summary!H4</f>
        <v>2.0699999999999998</v>
      </c>
      <c r="E18" s="285"/>
      <c r="F18" s="281"/>
    </row>
    <row r="19" spans="1:7" x14ac:dyDescent="0.2">
      <c r="A19" s="87"/>
      <c r="B19" s="88"/>
      <c r="C19" s="88"/>
      <c r="D19" s="96">
        <f>+D18*D17</f>
        <v>232311.96</v>
      </c>
      <c r="E19" s="209"/>
      <c r="F19" s="282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37164</v>
      </c>
      <c r="B21" s="88"/>
      <c r="C21" s="88"/>
      <c r="D21" s="524">
        <v>215998.43</v>
      </c>
      <c r="E21" s="209"/>
      <c r="F21" s="66"/>
    </row>
    <row r="22" spans="1:7" x14ac:dyDescent="0.2">
      <c r="A22" s="87"/>
      <c r="B22" s="88"/>
      <c r="C22" s="88"/>
      <c r="D22" s="320"/>
      <c r="E22" s="209"/>
      <c r="F22" s="66"/>
    </row>
    <row r="23" spans="1:7" ht="13.5" thickBot="1" x14ac:dyDescent="0.25">
      <c r="A23" s="99">
        <v>37188</v>
      </c>
      <c r="B23" s="88"/>
      <c r="C23" s="88"/>
      <c r="D23" s="332">
        <f>+D21+D19</f>
        <v>448310.39</v>
      </c>
      <c r="E23" s="209"/>
      <c r="F23" s="66"/>
    </row>
    <row r="24" spans="1:7" ht="13.5" thickTop="1" x14ac:dyDescent="0.2">
      <c r="E24" s="286"/>
    </row>
    <row r="25" spans="1:7" x14ac:dyDescent="0.2">
      <c r="E25" s="286"/>
    </row>
    <row r="27" spans="1:7" x14ac:dyDescent="0.2">
      <c r="A27" s="32" t="s">
        <v>153</v>
      </c>
      <c r="B27" s="32"/>
      <c r="C27" s="32"/>
      <c r="D27" s="32"/>
    </row>
    <row r="28" spans="1:7" x14ac:dyDescent="0.2">
      <c r="A28" s="49">
        <f>+A21</f>
        <v>37164</v>
      </c>
      <c r="B28" s="32"/>
      <c r="C28" s="32"/>
      <c r="D28" s="522">
        <v>53288</v>
      </c>
    </row>
    <row r="29" spans="1:7" x14ac:dyDescent="0.2">
      <c r="A29" s="49">
        <f>+A23</f>
        <v>37188</v>
      </c>
      <c r="B29" s="32"/>
      <c r="C29" s="32"/>
      <c r="D29" s="370">
        <f>+D17</f>
        <v>112228</v>
      </c>
    </row>
    <row r="30" spans="1:7" x14ac:dyDescent="0.2">
      <c r="A30" s="32"/>
      <c r="B30" s="32"/>
      <c r="C30" s="32"/>
      <c r="D30" s="14">
        <f>+D29+D28</f>
        <v>165516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3"/>
      <c r="E36" s="69"/>
      <c r="F36" s="70"/>
      <c r="G36" s="32"/>
    </row>
    <row r="37" spans="1:7" x14ac:dyDescent="0.2">
      <c r="B37" s="69"/>
      <c r="C37" s="69"/>
      <c r="D37" s="303"/>
      <c r="E37" s="69"/>
      <c r="F37" s="525"/>
      <c r="G37" s="32"/>
    </row>
    <row r="38" spans="1:7" x14ac:dyDescent="0.2">
      <c r="B38" s="69"/>
      <c r="C38" s="69"/>
      <c r="D38" s="303"/>
      <c r="E38" s="69"/>
      <c r="F38" s="70"/>
      <c r="G38" s="32"/>
    </row>
    <row r="39" spans="1:7" x14ac:dyDescent="0.2">
      <c r="B39" s="69"/>
      <c r="C39" s="69"/>
      <c r="D39" s="303"/>
      <c r="E39" s="69"/>
      <c r="F39" s="70"/>
      <c r="G39" s="32"/>
    </row>
    <row r="40" spans="1:7" x14ac:dyDescent="0.2">
      <c r="B40" s="69"/>
      <c r="C40" s="69"/>
      <c r="D40" s="303"/>
      <c r="E40" s="69"/>
      <c r="F40" s="70"/>
      <c r="G40" s="32"/>
    </row>
    <row r="41" spans="1:7" x14ac:dyDescent="0.2">
      <c r="B41" s="69"/>
      <c r="C41" s="69"/>
      <c r="D41" s="303"/>
      <c r="E41" s="69"/>
      <c r="F41" s="70"/>
      <c r="G41" s="32"/>
    </row>
    <row r="42" spans="1:7" x14ac:dyDescent="0.2">
      <c r="B42" s="69"/>
      <c r="C42" s="69"/>
      <c r="D42" s="303"/>
      <c r="E42" s="69"/>
      <c r="F42" s="70"/>
      <c r="G42" s="32"/>
    </row>
    <row r="43" spans="1:7" x14ac:dyDescent="0.2">
      <c r="B43" s="69"/>
      <c r="C43" s="69"/>
      <c r="D43" s="303"/>
      <c r="E43" s="69"/>
      <c r="F43" s="70"/>
      <c r="G43" s="32"/>
    </row>
    <row r="44" spans="1:7" x14ac:dyDescent="0.2">
      <c r="B44" s="69"/>
      <c r="C44" s="69"/>
      <c r="D44" s="304"/>
      <c r="E44" s="283"/>
      <c r="F44" s="281"/>
      <c r="G44" s="206"/>
    </row>
    <row r="45" spans="1:7" x14ac:dyDescent="0.2">
      <c r="B45" s="69"/>
      <c r="C45" s="69"/>
      <c r="D45" s="304"/>
      <c r="E45" s="283"/>
      <c r="F45" s="281"/>
      <c r="G45" s="206"/>
    </row>
    <row r="46" spans="1:7" x14ac:dyDescent="0.2">
      <c r="A46" s="32"/>
      <c r="B46" s="69"/>
      <c r="C46" s="69"/>
      <c r="D46" s="283"/>
      <c r="E46" s="283"/>
      <c r="F46" s="281"/>
      <c r="G46" s="206"/>
    </row>
    <row r="47" spans="1:7" x14ac:dyDescent="0.2">
      <c r="A47" s="32"/>
      <c r="B47" s="69"/>
      <c r="C47" s="69"/>
      <c r="D47" s="285"/>
      <c r="E47" s="285"/>
      <c r="F47" s="281"/>
      <c r="G47" s="206"/>
    </row>
    <row r="48" spans="1:7" x14ac:dyDescent="0.2">
      <c r="B48" s="69"/>
      <c r="C48" s="69"/>
      <c r="D48" s="283"/>
      <c r="E48" s="283"/>
      <c r="F48" s="282"/>
      <c r="G48" s="206"/>
    </row>
    <row r="49" spans="1:7" x14ac:dyDescent="0.2">
      <c r="B49" s="69"/>
      <c r="C49" s="69"/>
      <c r="D49" s="283"/>
      <c r="E49" s="283"/>
      <c r="F49" s="282"/>
      <c r="G49" s="206"/>
    </row>
    <row r="50" spans="1:7" x14ac:dyDescent="0.2">
      <c r="C50" s="300"/>
      <c r="D50" s="300"/>
      <c r="E50" s="300"/>
      <c r="F50" s="301"/>
      <c r="G50" s="302"/>
    </row>
    <row r="51" spans="1:7" x14ac:dyDescent="0.2">
      <c r="A51" s="32"/>
      <c r="C51" s="300"/>
      <c r="D51" s="300"/>
      <c r="E51" s="300"/>
      <c r="F51" s="301"/>
    </row>
    <row r="52" spans="1:7" x14ac:dyDescent="0.2">
      <c r="A52" s="32"/>
      <c r="C52" s="300"/>
      <c r="D52" s="300"/>
      <c r="E52" s="300"/>
      <c r="F52" s="301"/>
    </row>
    <row r="53" spans="1:7" x14ac:dyDescent="0.2">
      <c r="A53" s="32"/>
      <c r="C53" s="300"/>
      <c r="D53" s="300"/>
      <c r="E53" s="300"/>
      <c r="F53" s="301"/>
    </row>
    <row r="54" spans="1:7" x14ac:dyDescent="0.2">
      <c r="A54" s="32"/>
      <c r="C54" s="300"/>
      <c r="D54" s="300"/>
      <c r="E54" s="300"/>
      <c r="F54" s="301"/>
    </row>
    <row r="55" spans="1:7" x14ac:dyDescent="0.2">
      <c r="A55" s="32"/>
      <c r="C55" s="300"/>
      <c r="D55" s="300"/>
      <c r="E55" s="286"/>
      <c r="F55" s="286"/>
    </row>
    <row r="56" spans="1:7" x14ac:dyDescent="0.2">
      <c r="C56" s="300"/>
      <c r="D56" s="300"/>
      <c r="E56" s="286"/>
      <c r="F56" s="286"/>
    </row>
    <row r="57" spans="1:7" x14ac:dyDescent="0.2">
      <c r="C57" s="300"/>
      <c r="D57" s="300"/>
      <c r="E57" s="286"/>
      <c r="F57" s="286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1" workbookViewId="3">
      <selection activeCell="F33" sqref="F3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15647</v>
      </c>
      <c r="C3" s="90">
        <v>15382</v>
      </c>
      <c r="D3" s="90">
        <v>-17185</v>
      </c>
      <c r="E3" s="90">
        <v>-15000</v>
      </c>
      <c r="F3" s="90">
        <f>+E3-D3+C3-B3</f>
        <v>1920</v>
      </c>
    </row>
    <row r="4" spans="1:24" x14ac:dyDescent="0.2">
      <c r="A4">
        <v>2</v>
      </c>
      <c r="B4" s="90">
        <v>16345</v>
      </c>
      <c r="C4" s="90">
        <v>16343</v>
      </c>
      <c r="D4" s="90">
        <v>-32177</v>
      </c>
      <c r="E4" s="90">
        <v>-31880</v>
      </c>
      <c r="F4" s="90">
        <f>+E4-D4+C4-B4</f>
        <v>295</v>
      </c>
    </row>
    <row r="5" spans="1:24" x14ac:dyDescent="0.2">
      <c r="A5">
        <v>3</v>
      </c>
      <c r="B5" s="90">
        <v>16347</v>
      </c>
      <c r="C5" s="90">
        <v>16343</v>
      </c>
      <c r="D5" s="90">
        <v>-48681</v>
      </c>
      <c r="E5" s="90">
        <v>-45990</v>
      </c>
      <c r="F5" s="90">
        <f>+E5-D5+C5-B5</f>
        <v>2687</v>
      </c>
    </row>
    <row r="6" spans="1:24" x14ac:dyDescent="0.2">
      <c r="A6">
        <v>4</v>
      </c>
      <c r="B6" s="90">
        <v>21176</v>
      </c>
      <c r="C6" s="90">
        <v>21343</v>
      </c>
      <c r="D6" s="90">
        <v>-22645</v>
      </c>
      <c r="E6" s="90">
        <v>-19747</v>
      </c>
      <c r="F6" s="90">
        <f t="shared" ref="F6:F33" si="0">+E6-D6+C6-B6</f>
        <v>3065</v>
      </c>
      <c r="I6" t="s">
        <v>250</v>
      </c>
      <c r="P6" t="s">
        <v>251</v>
      </c>
    </row>
    <row r="7" spans="1:24" x14ac:dyDescent="0.2">
      <c r="A7">
        <v>5</v>
      </c>
      <c r="B7" s="90">
        <v>21302</v>
      </c>
      <c r="C7" s="90">
        <v>21343</v>
      </c>
      <c r="D7" s="90">
        <v>-42671</v>
      </c>
      <c r="E7" s="90">
        <v>-42866</v>
      </c>
      <c r="F7" s="90">
        <f t="shared" si="0"/>
        <v>-154</v>
      </c>
    </row>
    <row r="8" spans="1:24" x14ac:dyDescent="0.2">
      <c r="A8">
        <v>6</v>
      </c>
      <c r="B8" s="90">
        <v>18399</v>
      </c>
      <c r="C8" s="90">
        <v>18394</v>
      </c>
      <c r="D8" s="90">
        <v>-42956</v>
      </c>
      <c r="E8" s="90">
        <v>-43347</v>
      </c>
      <c r="F8" s="90">
        <f t="shared" si="0"/>
        <v>-396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20282</v>
      </c>
      <c r="C9" s="90">
        <v>20343</v>
      </c>
      <c r="D9" s="90">
        <v>-42867</v>
      </c>
      <c r="E9" s="90">
        <v>-42347</v>
      </c>
      <c r="F9" s="90">
        <f t="shared" si="0"/>
        <v>581</v>
      </c>
      <c r="I9" s="540"/>
      <c r="J9" s="342"/>
      <c r="K9" s="342"/>
      <c r="L9" s="342"/>
      <c r="M9" s="539"/>
      <c r="N9" s="539"/>
      <c r="O9" s="539"/>
      <c r="P9" s="540"/>
      <c r="Q9" s="342"/>
      <c r="R9" s="342"/>
      <c r="S9" s="342"/>
      <c r="T9" s="539"/>
      <c r="U9" s="539"/>
    </row>
    <row r="10" spans="1:24" x14ac:dyDescent="0.2">
      <c r="A10">
        <v>8</v>
      </c>
      <c r="B10" s="90">
        <v>20285</v>
      </c>
      <c r="C10" s="90">
        <v>20343</v>
      </c>
      <c r="D10" s="90">
        <v>-42936</v>
      </c>
      <c r="E10" s="90">
        <v>-41847</v>
      </c>
      <c r="F10" s="90">
        <f t="shared" si="0"/>
        <v>1147</v>
      </c>
      <c r="I10" s="540">
        <v>37012</v>
      </c>
      <c r="J10" s="342">
        <v>1103057</v>
      </c>
      <c r="K10" s="342">
        <v>1120793</v>
      </c>
      <c r="L10" s="342">
        <f>+K10-J10</f>
        <v>17736</v>
      </c>
      <c r="M10" s="539">
        <v>4.01</v>
      </c>
      <c r="N10" s="539">
        <f>+L10*M10</f>
        <v>71121.36</v>
      </c>
      <c r="O10" s="539"/>
      <c r="P10" s="540">
        <v>37012</v>
      </c>
      <c r="Q10" s="342">
        <v>-202726</v>
      </c>
      <c r="R10" s="342">
        <v>-185000</v>
      </c>
      <c r="S10" s="342">
        <f t="shared" ref="S10:S15" si="1">+R10-Q10</f>
        <v>17726</v>
      </c>
      <c r="T10" s="539">
        <v>4.01</v>
      </c>
      <c r="U10" s="539">
        <f>+S10*T10</f>
        <v>71081.259999999995</v>
      </c>
      <c r="W10" s="541">
        <v>37012</v>
      </c>
      <c r="X10">
        <v>4.01</v>
      </c>
    </row>
    <row r="11" spans="1:24" x14ac:dyDescent="0.2">
      <c r="A11">
        <v>9</v>
      </c>
      <c r="B11" s="90">
        <v>20295</v>
      </c>
      <c r="C11" s="90">
        <v>20343</v>
      </c>
      <c r="D11" s="90">
        <v>-42847</v>
      </c>
      <c r="E11" s="90">
        <v>-40741</v>
      </c>
      <c r="F11" s="90">
        <f t="shared" si="0"/>
        <v>2154</v>
      </c>
      <c r="I11" s="540">
        <v>37043</v>
      </c>
      <c r="J11" s="342">
        <f>1647210-1647210+1654290</f>
        <v>1654290</v>
      </c>
      <c r="K11" s="342">
        <v>1681871</v>
      </c>
      <c r="L11" s="342">
        <f>+K11-J11</f>
        <v>27581</v>
      </c>
      <c r="M11" s="539">
        <v>3.51</v>
      </c>
      <c r="N11" s="539">
        <f>+L11*M11</f>
        <v>96809.31</v>
      </c>
      <c r="O11" s="539"/>
      <c r="P11" s="540">
        <v>37043</v>
      </c>
      <c r="Q11" s="342">
        <v>-153623</v>
      </c>
      <c r="R11" s="342">
        <v>-88473</v>
      </c>
      <c r="S11" s="342">
        <f t="shared" si="1"/>
        <v>65150</v>
      </c>
      <c r="T11" s="539">
        <v>3.51</v>
      </c>
      <c r="U11" s="539">
        <f>+S11*T11</f>
        <v>228676.5</v>
      </c>
      <c r="W11" s="541">
        <v>37043</v>
      </c>
      <c r="X11">
        <v>3.51</v>
      </c>
    </row>
    <row r="12" spans="1:24" x14ac:dyDescent="0.2">
      <c r="A12">
        <v>10</v>
      </c>
      <c r="B12" s="90">
        <v>20293</v>
      </c>
      <c r="C12" s="90">
        <v>20343</v>
      </c>
      <c r="D12" s="90">
        <v>-43392</v>
      </c>
      <c r="E12" s="90">
        <v>-42989</v>
      </c>
      <c r="F12" s="90">
        <f t="shared" si="0"/>
        <v>453</v>
      </c>
      <c r="I12" s="540">
        <v>37073</v>
      </c>
      <c r="J12" s="342">
        <f>1305497-1305497+1309597</f>
        <v>1309597</v>
      </c>
      <c r="K12" s="342">
        <v>1270571</v>
      </c>
      <c r="L12" s="342">
        <f>+K12-J12</f>
        <v>-39026</v>
      </c>
      <c r="M12" s="539">
        <v>2.94</v>
      </c>
      <c r="N12" s="539">
        <f>+L12*M12</f>
        <v>-114736.44</v>
      </c>
      <c r="O12" s="539"/>
      <c r="P12" s="540">
        <v>37104</v>
      </c>
      <c r="Q12" s="342">
        <v>-34269</v>
      </c>
      <c r="R12" s="342">
        <v>-27046</v>
      </c>
      <c r="S12" s="342">
        <f t="shared" si="1"/>
        <v>7223</v>
      </c>
      <c r="T12" s="539">
        <v>2.85</v>
      </c>
      <c r="U12" s="539">
        <f>+S12*T12</f>
        <v>20585.55</v>
      </c>
      <c r="W12" s="541">
        <v>37073</v>
      </c>
      <c r="X12">
        <v>2.94</v>
      </c>
    </row>
    <row r="13" spans="1:24" x14ac:dyDescent="0.2">
      <c r="A13">
        <v>11</v>
      </c>
      <c r="B13" s="90">
        <v>20296</v>
      </c>
      <c r="C13" s="90">
        <v>20343</v>
      </c>
      <c r="D13" s="90">
        <v>-43656</v>
      </c>
      <c r="E13" s="90">
        <v>-42620</v>
      </c>
      <c r="F13" s="90">
        <f t="shared" si="0"/>
        <v>1083</v>
      </c>
      <c r="I13" s="540">
        <v>37104</v>
      </c>
      <c r="J13" s="342">
        <f>1436775-1436775+1438269</f>
        <v>1438269</v>
      </c>
      <c r="K13" s="342">
        <v>1418897</v>
      </c>
      <c r="L13" s="342">
        <f>+K13-J13</f>
        <v>-19372</v>
      </c>
      <c r="M13" s="539">
        <v>2.85</v>
      </c>
      <c r="N13" s="539">
        <f>+L13*M13</f>
        <v>-55210.200000000004</v>
      </c>
      <c r="O13" s="539"/>
      <c r="P13" s="540">
        <v>37135</v>
      </c>
      <c r="Q13" s="342">
        <v>-1191628</v>
      </c>
      <c r="R13" s="342">
        <v>-1210937</v>
      </c>
      <c r="S13" s="342">
        <f t="shared" si="1"/>
        <v>-19309</v>
      </c>
      <c r="T13" s="539">
        <v>1.96</v>
      </c>
      <c r="U13" s="539">
        <f>+S13*T13</f>
        <v>-37845.64</v>
      </c>
      <c r="W13" s="541">
        <v>37104</v>
      </c>
      <c r="X13">
        <v>2.85</v>
      </c>
    </row>
    <row r="14" spans="1:24" x14ac:dyDescent="0.2">
      <c r="A14">
        <v>12</v>
      </c>
      <c r="B14" s="88">
        <v>20968</v>
      </c>
      <c r="C14" s="90">
        <v>42343</v>
      </c>
      <c r="D14" s="88">
        <v>-31393</v>
      </c>
      <c r="E14" s="88">
        <v>-33707</v>
      </c>
      <c r="F14" s="90">
        <f t="shared" si="0"/>
        <v>19061</v>
      </c>
      <c r="I14" s="540">
        <v>37135</v>
      </c>
      <c r="J14" s="342">
        <v>1109912</v>
      </c>
      <c r="K14" s="342">
        <v>1111335</v>
      </c>
      <c r="L14" s="342">
        <f>+K14-J14</f>
        <v>1423</v>
      </c>
      <c r="M14" s="539">
        <v>1.96</v>
      </c>
      <c r="N14" s="542">
        <f>+L14*M14</f>
        <v>2789.08</v>
      </c>
      <c r="O14" s="539"/>
      <c r="P14" s="540"/>
      <c r="Q14" s="342"/>
      <c r="R14" s="342"/>
      <c r="S14" s="342">
        <f t="shared" si="1"/>
        <v>0</v>
      </c>
      <c r="T14" s="539"/>
      <c r="U14" s="539"/>
      <c r="W14" s="541">
        <v>37135</v>
      </c>
      <c r="X14">
        <v>1.96</v>
      </c>
    </row>
    <row r="15" spans="1:24" x14ac:dyDescent="0.2">
      <c r="A15">
        <v>13</v>
      </c>
      <c r="B15" s="88">
        <v>30082</v>
      </c>
      <c r="C15" s="88">
        <v>41448</v>
      </c>
      <c r="D15" s="88">
        <v>-24522</v>
      </c>
      <c r="E15" s="88">
        <v>-23475</v>
      </c>
      <c r="F15" s="90">
        <f t="shared" si="0"/>
        <v>12413</v>
      </c>
      <c r="I15" s="540"/>
      <c r="J15" s="342"/>
      <c r="K15" s="342"/>
      <c r="L15" s="342"/>
      <c r="M15" s="539"/>
      <c r="N15" s="539"/>
      <c r="O15" s="539"/>
      <c r="P15" s="540"/>
      <c r="Q15" s="342"/>
      <c r="R15" s="342"/>
      <c r="S15" s="342">
        <f t="shared" si="1"/>
        <v>0</v>
      </c>
      <c r="T15" s="539"/>
      <c r="U15" s="539"/>
    </row>
    <row r="16" spans="1:24" x14ac:dyDescent="0.2">
      <c r="A16">
        <v>14</v>
      </c>
      <c r="B16" s="88">
        <v>41587</v>
      </c>
      <c r="C16" s="88">
        <v>44343</v>
      </c>
      <c r="D16" s="88">
        <v>-23460</v>
      </c>
      <c r="E16" s="88">
        <v>-23475</v>
      </c>
      <c r="F16" s="90">
        <f t="shared" si="0"/>
        <v>2741</v>
      </c>
      <c r="I16" s="540" t="s">
        <v>252</v>
      </c>
      <c r="J16" s="342"/>
      <c r="K16" s="342"/>
      <c r="L16" s="342">
        <f>SUM(L10:L15)</f>
        <v>-11658</v>
      </c>
      <c r="M16" s="539"/>
      <c r="N16" s="539">
        <f>SUM(N9:N15)</f>
        <v>773.10999999997694</v>
      </c>
      <c r="O16" s="539"/>
      <c r="P16" s="540" t="s">
        <v>252</v>
      </c>
      <c r="Q16" s="342"/>
      <c r="R16" s="342"/>
      <c r="S16" s="342">
        <f>SUM(S9:S15)</f>
        <v>70790</v>
      </c>
      <c r="T16" s="539"/>
      <c r="U16" s="539">
        <f>SUM(U9:U15)</f>
        <v>282497.67</v>
      </c>
    </row>
    <row r="17" spans="1:21" x14ac:dyDescent="0.2">
      <c r="A17">
        <v>15</v>
      </c>
      <c r="B17" s="88">
        <v>38059</v>
      </c>
      <c r="C17" s="88">
        <v>44166</v>
      </c>
      <c r="D17" s="342">
        <v>-21504</v>
      </c>
      <c r="E17" s="342">
        <v>-23475</v>
      </c>
      <c r="F17" s="90">
        <f t="shared" si="0"/>
        <v>4136</v>
      </c>
    </row>
    <row r="18" spans="1:21" x14ac:dyDescent="0.2">
      <c r="A18">
        <v>16</v>
      </c>
      <c r="B18" s="88">
        <v>49383</v>
      </c>
      <c r="C18" s="88">
        <v>44343</v>
      </c>
      <c r="D18" s="342">
        <v>-37500</v>
      </c>
      <c r="E18" s="342">
        <v>-38443</v>
      </c>
      <c r="F18" s="90">
        <f t="shared" si="0"/>
        <v>-5983</v>
      </c>
      <c r="I18" s="540" t="s">
        <v>253</v>
      </c>
      <c r="J18" s="342"/>
      <c r="K18" s="342"/>
      <c r="L18" s="342">
        <v>19880</v>
      </c>
      <c r="M18" s="539"/>
      <c r="N18" s="539"/>
      <c r="O18" s="539"/>
      <c r="P18" s="540" t="s">
        <v>253</v>
      </c>
      <c r="Q18" s="342"/>
      <c r="R18" s="342"/>
      <c r="S18" s="342">
        <v>37185</v>
      </c>
      <c r="T18" s="539"/>
      <c r="U18" s="539"/>
    </row>
    <row r="19" spans="1:21" x14ac:dyDescent="0.2">
      <c r="A19">
        <v>17</v>
      </c>
      <c r="B19" s="88">
        <v>42322</v>
      </c>
      <c r="C19" s="88">
        <v>37343</v>
      </c>
      <c r="D19" s="342">
        <v>-34488</v>
      </c>
      <c r="E19" s="342">
        <v>-34241</v>
      </c>
      <c r="F19" s="90">
        <f t="shared" si="0"/>
        <v>-4732</v>
      </c>
      <c r="I19" s="540"/>
      <c r="J19" s="342"/>
      <c r="K19" s="342"/>
      <c r="L19" s="342"/>
      <c r="M19" s="539"/>
      <c r="N19" s="539"/>
      <c r="O19" s="539"/>
      <c r="P19" s="540"/>
      <c r="Q19" s="342"/>
      <c r="R19" s="342"/>
      <c r="S19" s="342"/>
      <c r="T19" s="539"/>
      <c r="U19" s="539"/>
    </row>
    <row r="20" spans="1:21" x14ac:dyDescent="0.2">
      <c r="A20">
        <v>18</v>
      </c>
      <c r="B20" s="342">
        <v>32170</v>
      </c>
      <c r="C20" s="342">
        <v>27343</v>
      </c>
      <c r="D20" s="342">
        <v>-51875</v>
      </c>
      <c r="E20" s="342">
        <v>-52581</v>
      </c>
      <c r="F20" s="90">
        <f t="shared" si="0"/>
        <v>-5533</v>
      </c>
      <c r="I20" s="540"/>
      <c r="J20" s="342"/>
      <c r="K20" s="342"/>
      <c r="L20" s="342"/>
      <c r="M20" s="539"/>
      <c r="N20" s="539"/>
      <c r="O20" s="539"/>
      <c r="P20" s="540"/>
      <c r="Q20" s="342"/>
      <c r="R20" s="342"/>
      <c r="S20" s="342"/>
      <c r="T20" s="539"/>
      <c r="U20" s="539"/>
    </row>
    <row r="21" spans="1:21" x14ac:dyDescent="0.2">
      <c r="A21">
        <v>19</v>
      </c>
      <c r="B21" s="342">
        <v>27529</v>
      </c>
      <c r="C21" s="342">
        <v>27343</v>
      </c>
      <c r="D21" s="342">
        <v>-58966</v>
      </c>
      <c r="E21" s="342">
        <v>-55295</v>
      </c>
      <c r="F21" s="90">
        <f t="shared" si="0"/>
        <v>3485</v>
      </c>
      <c r="I21" s="540"/>
      <c r="J21" s="342"/>
      <c r="K21" s="342"/>
      <c r="L21" s="342"/>
      <c r="M21" s="539"/>
      <c r="N21" s="539"/>
      <c r="O21" s="539"/>
      <c r="P21" s="540"/>
      <c r="Q21" s="342"/>
      <c r="R21" s="342"/>
      <c r="S21" s="342"/>
      <c r="T21" s="539"/>
      <c r="U21" s="539"/>
    </row>
    <row r="22" spans="1:21" x14ac:dyDescent="0.2">
      <c r="A22">
        <v>20</v>
      </c>
      <c r="B22" s="547">
        <v>29343</v>
      </c>
      <c r="C22" s="342">
        <v>29343</v>
      </c>
      <c r="D22" s="342">
        <v>-51300</v>
      </c>
      <c r="E22" s="342">
        <v>-47892</v>
      </c>
      <c r="F22" s="90">
        <f t="shared" si="0"/>
        <v>3408</v>
      </c>
      <c r="I22" s="540"/>
      <c r="J22" s="342"/>
      <c r="K22" s="342"/>
      <c r="L22" s="342"/>
      <c r="M22" s="539"/>
      <c r="N22" s="539"/>
      <c r="O22" s="539"/>
      <c r="P22" s="540"/>
      <c r="Q22" s="342"/>
      <c r="R22" s="342"/>
      <c r="S22" s="342"/>
      <c r="T22" s="539"/>
      <c r="U22" s="539"/>
    </row>
    <row r="23" spans="1:21" x14ac:dyDescent="0.2">
      <c r="A23">
        <v>21</v>
      </c>
      <c r="B23" s="342">
        <v>34257</v>
      </c>
      <c r="C23" s="342">
        <v>29343</v>
      </c>
      <c r="D23" s="342">
        <v>-50670</v>
      </c>
      <c r="E23" s="342">
        <v>-47892</v>
      </c>
      <c r="F23" s="90">
        <f t="shared" si="0"/>
        <v>-2136</v>
      </c>
      <c r="I23" s="540"/>
      <c r="J23" s="342"/>
      <c r="K23" s="342"/>
      <c r="L23" s="342"/>
      <c r="M23" s="539"/>
      <c r="N23" s="539"/>
      <c r="O23" s="539"/>
      <c r="P23" s="540"/>
      <c r="Q23" s="342"/>
      <c r="R23" s="342"/>
      <c r="S23" s="342"/>
      <c r="T23" s="539"/>
      <c r="U23" s="539"/>
    </row>
    <row r="24" spans="1:21" x14ac:dyDescent="0.2">
      <c r="A24">
        <v>22</v>
      </c>
      <c r="B24" s="342">
        <v>34247</v>
      </c>
      <c r="C24" s="342">
        <v>29343</v>
      </c>
      <c r="D24" s="342">
        <v>-50679</v>
      </c>
      <c r="E24" s="342">
        <v>-47892</v>
      </c>
      <c r="F24" s="90">
        <f t="shared" si="0"/>
        <v>-2117</v>
      </c>
      <c r="I24" s="87"/>
      <c r="J24" s="87"/>
      <c r="K24" s="87"/>
      <c r="L24" s="87"/>
      <c r="M24" s="539"/>
      <c r="N24" s="539"/>
      <c r="O24" s="539"/>
      <c r="P24" s="87"/>
      <c r="Q24" s="87"/>
      <c r="R24" s="87"/>
      <c r="S24" s="342"/>
      <c r="T24" s="539"/>
      <c r="U24" s="539"/>
    </row>
    <row r="25" spans="1:21" x14ac:dyDescent="0.2">
      <c r="A25">
        <v>23</v>
      </c>
      <c r="B25" s="342">
        <v>37617</v>
      </c>
      <c r="C25" s="342">
        <v>30730</v>
      </c>
      <c r="D25" s="342">
        <v>-811</v>
      </c>
      <c r="E25" s="342"/>
      <c r="F25" s="90">
        <f t="shared" si="0"/>
        <v>-6076</v>
      </c>
      <c r="I25" s="87"/>
      <c r="J25" s="87"/>
      <c r="K25" s="87"/>
      <c r="L25" s="87"/>
      <c r="M25" s="539"/>
      <c r="N25" s="539"/>
      <c r="O25" s="539"/>
      <c r="P25" s="87"/>
      <c r="Q25" s="87"/>
      <c r="R25" s="87"/>
      <c r="S25" s="342"/>
      <c r="T25" s="539"/>
      <c r="U25" s="539"/>
    </row>
    <row r="26" spans="1:21" x14ac:dyDescent="0.2">
      <c r="A26">
        <v>24</v>
      </c>
      <c r="B26" s="342">
        <v>36306</v>
      </c>
      <c r="C26" s="342">
        <v>31343</v>
      </c>
      <c r="D26" s="342">
        <v>-13</v>
      </c>
      <c r="E26" s="342">
        <v>-5116</v>
      </c>
      <c r="F26" s="90">
        <f t="shared" si="0"/>
        <v>-10066</v>
      </c>
      <c r="I26" s="87"/>
      <c r="J26" s="87"/>
      <c r="K26" s="87"/>
      <c r="L26" s="87"/>
      <c r="M26" s="539"/>
      <c r="N26" s="539"/>
      <c r="O26" s="539"/>
      <c r="P26" s="87"/>
      <c r="Q26" s="87"/>
      <c r="R26" s="87"/>
      <c r="S26" s="342"/>
      <c r="T26" s="539"/>
      <c r="U26" s="539"/>
    </row>
    <row r="27" spans="1:21" x14ac:dyDescent="0.2">
      <c r="A27">
        <v>25</v>
      </c>
      <c r="B27" s="342">
        <v>37248</v>
      </c>
      <c r="C27" s="342">
        <v>37343</v>
      </c>
      <c r="D27" s="342">
        <v>-45744</v>
      </c>
      <c r="E27" s="342">
        <v>-43368</v>
      </c>
      <c r="F27" s="90">
        <f t="shared" si="0"/>
        <v>2471</v>
      </c>
      <c r="I27" s="87"/>
      <c r="J27" s="87"/>
      <c r="K27" s="87"/>
      <c r="L27" s="87"/>
      <c r="M27" s="539"/>
      <c r="N27" s="539"/>
      <c r="O27" s="539"/>
      <c r="P27" s="87"/>
      <c r="Q27" s="87"/>
      <c r="R27" s="87"/>
      <c r="S27" s="342"/>
      <c r="T27" s="539"/>
      <c r="U27" s="539"/>
    </row>
    <row r="28" spans="1:21" x14ac:dyDescent="0.2">
      <c r="A28">
        <v>26</v>
      </c>
      <c r="B28" s="342">
        <v>29886</v>
      </c>
      <c r="C28" s="342">
        <v>29834</v>
      </c>
      <c r="D28" s="14">
        <v>-63670</v>
      </c>
      <c r="E28" s="14">
        <v>-63902</v>
      </c>
      <c r="F28" s="90">
        <f t="shared" si="0"/>
        <v>-284</v>
      </c>
      <c r="I28" s="87"/>
      <c r="J28" s="87"/>
      <c r="K28" s="87"/>
      <c r="L28" s="87"/>
      <c r="M28" s="539"/>
      <c r="N28" s="539"/>
      <c r="O28" s="539"/>
      <c r="P28" s="87"/>
      <c r="Q28" s="87"/>
      <c r="R28" s="87"/>
      <c r="S28" s="87"/>
      <c r="T28" s="539"/>
      <c r="U28" s="539"/>
    </row>
    <row r="29" spans="1:21" x14ac:dyDescent="0.2">
      <c r="A29">
        <v>27</v>
      </c>
      <c r="B29" s="342">
        <v>37252</v>
      </c>
      <c r="C29" s="342">
        <v>37343</v>
      </c>
      <c r="D29" s="14">
        <v>-63208</v>
      </c>
      <c r="E29" s="14">
        <v>-63031</v>
      </c>
      <c r="F29" s="90">
        <f t="shared" si="0"/>
        <v>268</v>
      </c>
      <c r="I29" s="87"/>
      <c r="J29" s="87"/>
      <c r="K29" s="87"/>
      <c r="L29" s="87"/>
      <c r="M29" s="539"/>
      <c r="N29" s="539"/>
      <c r="O29" s="539"/>
      <c r="P29" s="87"/>
      <c r="Q29" s="87"/>
      <c r="R29" s="87"/>
      <c r="S29" s="87"/>
      <c r="T29" s="539"/>
      <c r="U29" s="539"/>
    </row>
    <row r="30" spans="1:21" x14ac:dyDescent="0.2">
      <c r="A30">
        <v>28</v>
      </c>
      <c r="B30" s="456">
        <v>37272</v>
      </c>
      <c r="C30" s="342">
        <v>37343</v>
      </c>
      <c r="D30" s="14">
        <v>-65827</v>
      </c>
      <c r="E30" s="14">
        <v>-63031</v>
      </c>
      <c r="F30" s="90">
        <f t="shared" si="0"/>
        <v>2867</v>
      </c>
      <c r="I30" s="87"/>
      <c r="J30" s="87"/>
      <c r="K30" s="87"/>
      <c r="L30" s="87"/>
      <c r="M30" s="539"/>
      <c r="N30" s="539"/>
      <c r="O30" s="539"/>
      <c r="P30" s="87"/>
      <c r="Q30" s="87"/>
      <c r="R30" s="87"/>
      <c r="S30" s="87"/>
      <c r="T30" s="539"/>
      <c r="U30" s="539"/>
    </row>
    <row r="31" spans="1:21" x14ac:dyDescent="0.2">
      <c r="A31">
        <v>29</v>
      </c>
      <c r="B31" s="342">
        <v>37275</v>
      </c>
      <c r="C31" s="342">
        <v>37343</v>
      </c>
      <c r="D31" s="14">
        <v>-62701</v>
      </c>
      <c r="E31" s="14">
        <v>-63031</v>
      </c>
      <c r="F31" s="90">
        <f t="shared" si="0"/>
        <v>-262</v>
      </c>
      <c r="I31" s="87"/>
      <c r="J31" s="87"/>
      <c r="K31" s="87"/>
      <c r="L31" s="87"/>
      <c r="M31" s="539"/>
      <c r="N31" s="539"/>
      <c r="O31" s="539"/>
      <c r="P31" s="87"/>
      <c r="Q31" s="87"/>
      <c r="R31" s="87"/>
      <c r="S31" s="87"/>
      <c r="T31" s="539"/>
      <c r="U31" s="539"/>
    </row>
    <row r="32" spans="1:21" x14ac:dyDescent="0.2">
      <c r="A32">
        <v>30</v>
      </c>
      <c r="B32" s="342"/>
      <c r="C32" s="342"/>
      <c r="D32" s="14"/>
      <c r="E32" s="14"/>
      <c r="F32" s="90">
        <f t="shared" si="0"/>
        <v>0</v>
      </c>
      <c r="M32" s="265"/>
      <c r="N32" s="265"/>
      <c r="O32" s="265"/>
      <c r="T32" s="265"/>
      <c r="U32" s="265"/>
    </row>
    <row r="33" spans="1:21" x14ac:dyDescent="0.2">
      <c r="A33">
        <v>31</v>
      </c>
      <c r="B33" s="342"/>
      <c r="C33" s="342"/>
      <c r="D33" s="14"/>
      <c r="E33" s="14"/>
      <c r="F33" s="90">
        <f t="shared" si="0"/>
        <v>0</v>
      </c>
      <c r="M33" s="265"/>
      <c r="N33" s="265"/>
      <c r="O33" s="265"/>
      <c r="T33" s="265"/>
      <c r="U33" s="265"/>
    </row>
    <row r="34" spans="1:21" x14ac:dyDescent="0.2">
      <c r="B34" s="295">
        <f>SUM(B3:B33)</f>
        <v>843470</v>
      </c>
      <c r="C34" s="295">
        <f>SUM(C3:C33)</f>
        <v>848843</v>
      </c>
      <c r="D34" s="14">
        <f>SUM(D3:D33)</f>
        <v>-1160344</v>
      </c>
      <c r="E34" s="14">
        <f>SUM(E3:E33)</f>
        <v>-1139221</v>
      </c>
      <c r="F34" s="14">
        <f>SUM(F3:F33)</f>
        <v>26496</v>
      </c>
      <c r="M34" s="265"/>
      <c r="N34" s="265"/>
      <c r="O34" s="265"/>
      <c r="T34" s="265"/>
      <c r="U34" s="265"/>
    </row>
    <row r="35" spans="1:21" x14ac:dyDescent="0.2">
      <c r="D35" s="14"/>
      <c r="E35" s="14"/>
      <c r="F35" s="14"/>
      <c r="M35" s="265"/>
      <c r="N35" s="265"/>
      <c r="O35" s="265"/>
      <c r="T35" s="265"/>
      <c r="U35" s="265"/>
    </row>
    <row r="36" spans="1:21" x14ac:dyDescent="0.2">
      <c r="F36" s="346"/>
      <c r="M36" s="265"/>
      <c r="N36" s="265"/>
      <c r="O36" s="265"/>
      <c r="T36" s="265"/>
      <c r="U36" s="265"/>
    </row>
    <row r="37" spans="1:21" x14ac:dyDescent="0.2">
      <c r="A37" s="261">
        <v>37164</v>
      </c>
      <c r="B37" s="14"/>
      <c r="C37" s="14"/>
      <c r="D37" s="14"/>
      <c r="E37" s="14"/>
      <c r="F37" s="517">
        <f>107975+8222</f>
        <v>116197</v>
      </c>
      <c r="M37" s="265"/>
      <c r="N37" s="265"/>
      <c r="O37" s="265"/>
      <c r="T37" s="265"/>
      <c r="U37" s="265"/>
    </row>
    <row r="38" spans="1:21" x14ac:dyDescent="0.2">
      <c r="A38" s="261">
        <v>37193</v>
      </c>
      <c r="B38" s="14"/>
      <c r="C38" s="14"/>
      <c r="D38" s="14"/>
      <c r="E38" s="14"/>
      <c r="F38" s="150">
        <f>+F37+F34</f>
        <v>142693</v>
      </c>
      <c r="M38" s="265"/>
      <c r="N38" s="265"/>
      <c r="O38" s="265"/>
    </row>
    <row r="39" spans="1:21" x14ac:dyDescent="0.2">
      <c r="F39" s="302"/>
      <c r="M39" s="265"/>
      <c r="N39" s="265"/>
      <c r="O39" s="265"/>
    </row>
    <row r="40" spans="1:21" x14ac:dyDescent="0.2">
      <c r="F40" s="302"/>
      <c r="M40" s="265"/>
      <c r="N40" s="265"/>
      <c r="O40" s="265"/>
    </row>
    <row r="41" spans="1:21" x14ac:dyDescent="0.2">
      <c r="F41" s="302"/>
      <c r="M41" s="265"/>
      <c r="N41" s="265"/>
      <c r="O41" s="265"/>
    </row>
    <row r="42" spans="1:21" x14ac:dyDescent="0.2">
      <c r="A42" s="32" t="s">
        <v>154</v>
      </c>
      <c r="B42" s="32"/>
      <c r="C42" s="32"/>
      <c r="D42" s="47"/>
      <c r="F42" s="302"/>
      <c r="M42" s="265"/>
      <c r="N42" s="265"/>
      <c r="O42" s="265"/>
    </row>
    <row r="43" spans="1:21" x14ac:dyDescent="0.2">
      <c r="A43" s="49">
        <f>+A37</f>
        <v>37164</v>
      </c>
      <c r="B43" s="32"/>
      <c r="C43" s="32"/>
      <c r="D43" s="460">
        <v>323932</v>
      </c>
      <c r="F43" s="302"/>
      <c r="M43" s="265"/>
      <c r="N43" s="265"/>
      <c r="O43" s="265"/>
    </row>
    <row r="44" spans="1:21" x14ac:dyDescent="0.2">
      <c r="A44" s="49">
        <f>+A38</f>
        <v>37193</v>
      </c>
      <c r="B44" s="32"/>
      <c r="C44" s="32"/>
      <c r="D44" s="399">
        <f>+F34*'by type_area'!J4</f>
        <v>54846.719999999994</v>
      </c>
      <c r="F44" s="302"/>
      <c r="M44" s="265"/>
      <c r="N44" s="265"/>
      <c r="O44" s="265"/>
    </row>
    <row r="45" spans="1:21" x14ac:dyDescent="0.2">
      <c r="A45" s="32"/>
      <c r="B45" s="32"/>
      <c r="C45" s="32"/>
      <c r="D45" s="202">
        <f>+D44+D43</f>
        <v>378778.72</v>
      </c>
      <c r="F45" s="302"/>
      <c r="M45" s="265"/>
      <c r="N45" s="265"/>
      <c r="O45" s="265"/>
    </row>
    <row r="46" spans="1:21" x14ac:dyDescent="0.2">
      <c r="F46" s="302"/>
      <c r="M46" s="265"/>
      <c r="N46" s="265"/>
      <c r="O46" s="265"/>
    </row>
    <row r="47" spans="1:21" x14ac:dyDescent="0.2">
      <c r="F47" s="302"/>
      <c r="M47" s="265"/>
      <c r="N47" s="265"/>
      <c r="O47" s="265"/>
    </row>
    <row r="48" spans="1:21" x14ac:dyDescent="0.2">
      <c r="F48" s="302"/>
      <c r="M48" s="265"/>
      <c r="N48" s="265"/>
      <c r="O48" s="265"/>
    </row>
    <row r="49" spans="13:15" x14ac:dyDescent="0.2">
      <c r="M49" s="265"/>
      <c r="N49" s="265"/>
      <c r="O49" s="265"/>
    </row>
    <row r="50" spans="13:15" x14ac:dyDescent="0.2">
      <c r="M50" s="265"/>
      <c r="N50" s="265"/>
      <c r="O50" s="265"/>
    </row>
    <row r="51" spans="13:15" x14ac:dyDescent="0.2">
      <c r="M51" s="265"/>
      <c r="N51" s="265"/>
      <c r="O51" s="265"/>
    </row>
    <row r="52" spans="13:15" x14ac:dyDescent="0.2">
      <c r="M52" s="265"/>
      <c r="N52" s="265"/>
      <c r="O52" s="265"/>
    </row>
    <row r="53" spans="13:15" x14ac:dyDescent="0.2">
      <c r="M53" s="265"/>
      <c r="N53" s="265"/>
      <c r="O53" s="265"/>
    </row>
    <row r="54" spans="13:15" x14ac:dyDescent="0.2">
      <c r="M54" s="265"/>
      <c r="N54" s="265"/>
      <c r="O54" s="265"/>
    </row>
    <row r="55" spans="13:15" x14ac:dyDescent="0.2">
      <c r="M55" s="265"/>
      <c r="N55" s="265"/>
      <c r="O55" s="265"/>
    </row>
    <row r="56" spans="13:15" x14ac:dyDescent="0.2">
      <c r="M56" s="265"/>
      <c r="N56" s="265"/>
      <c r="O56" s="265"/>
    </row>
    <row r="57" spans="13:15" x14ac:dyDescent="0.2">
      <c r="M57" s="265"/>
      <c r="N57" s="265"/>
      <c r="O57" s="265"/>
    </row>
    <row r="58" spans="13:15" x14ac:dyDescent="0.2">
      <c r="M58" s="265"/>
      <c r="N58" s="265"/>
      <c r="O58" s="265"/>
    </row>
    <row r="59" spans="13:15" x14ac:dyDescent="0.2">
      <c r="M59" s="265"/>
      <c r="N59" s="265"/>
      <c r="O59" s="265"/>
    </row>
    <row r="60" spans="13:15" x14ac:dyDescent="0.2">
      <c r="M60" s="265"/>
      <c r="N60" s="265"/>
      <c r="O60" s="265"/>
    </row>
    <row r="61" spans="13:15" x14ac:dyDescent="0.2">
      <c r="M61" s="265"/>
      <c r="N61" s="265"/>
      <c r="O61" s="265"/>
    </row>
    <row r="62" spans="13:15" x14ac:dyDescent="0.2">
      <c r="M62" s="265"/>
      <c r="N62" s="265"/>
      <c r="O62" s="265"/>
    </row>
    <row r="63" spans="13:15" x14ac:dyDescent="0.2">
      <c r="M63" s="265"/>
      <c r="N63" s="265"/>
      <c r="O63" s="265"/>
    </row>
    <row r="64" spans="13:15" x14ac:dyDescent="0.2">
      <c r="M64" s="265"/>
      <c r="N64" s="265"/>
      <c r="O64" s="265"/>
    </row>
    <row r="65" spans="13:15" x14ac:dyDescent="0.2">
      <c r="M65" s="265"/>
      <c r="N65" s="265"/>
      <c r="O65" s="265"/>
    </row>
    <row r="66" spans="13:15" x14ac:dyDescent="0.2">
      <c r="M66" s="265"/>
      <c r="N66" s="265"/>
      <c r="O66" s="265"/>
    </row>
    <row r="67" spans="13:15" x14ac:dyDescent="0.2">
      <c r="M67" s="265"/>
      <c r="N67" s="265"/>
      <c r="O67" s="265"/>
    </row>
    <row r="68" spans="13:15" x14ac:dyDescent="0.2">
      <c r="M68" s="265"/>
      <c r="N68" s="265"/>
      <c r="O68" s="265"/>
    </row>
    <row r="69" spans="13:15" x14ac:dyDescent="0.2">
      <c r="M69" s="265"/>
      <c r="N69" s="265"/>
      <c r="O69" s="265"/>
    </row>
    <row r="70" spans="13:15" x14ac:dyDescent="0.2">
      <c r="M70" s="265"/>
      <c r="N70" s="265"/>
      <c r="O70" s="265"/>
    </row>
    <row r="71" spans="13:15" x14ac:dyDescent="0.2">
      <c r="M71" s="265"/>
      <c r="N71" s="265"/>
      <c r="O71" s="265"/>
    </row>
    <row r="72" spans="13:15" x14ac:dyDescent="0.2">
      <c r="M72" s="265"/>
      <c r="N72" s="265"/>
      <c r="O72" s="265"/>
    </row>
    <row r="73" spans="13:15" x14ac:dyDescent="0.2">
      <c r="M73" s="265"/>
      <c r="N73" s="265"/>
      <c r="O73" s="265"/>
    </row>
    <row r="74" spans="13:15" x14ac:dyDescent="0.2">
      <c r="M74" s="265"/>
      <c r="N74" s="265"/>
      <c r="O74" s="265"/>
    </row>
    <row r="75" spans="13:15" x14ac:dyDescent="0.2">
      <c r="M75" s="265"/>
      <c r="N75" s="265"/>
      <c r="O75" s="265"/>
    </row>
    <row r="76" spans="13:15" x14ac:dyDescent="0.2">
      <c r="M76" s="265"/>
      <c r="N76" s="265"/>
      <c r="O76" s="265"/>
    </row>
    <row r="77" spans="13:15" x14ac:dyDescent="0.2">
      <c r="M77" s="265"/>
      <c r="N77" s="265"/>
      <c r="O77" s="265"/>
    </row>
    <row r="78" spans="13:15" x14ac:dyDescent="0.2">
      <c r="M78" s="265"/>
      <c r="N78" s="265"/>
      <c r="O78" s="265"/>
    </row>
    <row r="79" spans="13:15" x14ac:dyDescent="0.2">
      <c r="M79" s="265"/>
      <c r="N79" s="265"/>
      <c r="O79" s="265"/>
    </row>
    <row r="80" spans="13:15" x14ac:dyDescent="0.2">
      <c r="M80" s="265"/>
      <c r="N80" s="265"/>
      <c r="O80" s="265"/>
    </row>
    <row r="81" spans="13:15" x14ac:dyDescent="0.2">
      <c r="M81" s="265"/>
      <c r="N81" s="265"/>
      <c r="O81" s="265"/>
    </row>
    <row r="82" spans="13:15" x14ac:dyDescent="0.2">
      <c r="M82" s="265"/>
      <c r="N82" s="265"/>
      <c r="O82" s="265"/>
    </row>
    <row r="83" spans="13:15" x14ac:dyDescent="0.2">
      <c r="M83" s="265"/>
      <c r="N83" s="265"/>
      <c r="O83" s="265"/>
    </row>
    <row r="84" spans="13:15" x14ac:dyDescent="0.2">
      <c r="M84" s="265"/>
      <c r="N84" s="265"/>
      <c r="O84" s="265"/>
    </row>
    <row r="85" spans="13:15" x14ac:dyDescent="0.2">
      <c r="M85" s="265"/>
      <c r="N85" s="265"/>
      <c r="O85" s="265"/>
    </row>
    <row r="86" spans="13:15" x14ac:dyDescent="0.2">
      <c r="M86" s="265"/>
      <c r="N86" s="265"/>
      <c r="O86" s="265"/>
    </row>
    <row r="87" spans="13:15" x14ac:dyDescent="0.2">
      <c r="M87" s="265"/>
      <c r="N87" s="265"/>
      <c r="O87" s="265"/>
    </row>
    <row r="88" spans="13:15" x14ac:dyDescent="0.2">
      <c r="M88" s="265"/>
      <c r="N88" s="265"/>
      <c r="O88" s="265"/>
    </row>
    <row r="89" spans="13:15" x14ac:dyDescent="0.2">
      <c r="M89" s="265"/>
      <c r="N89" s="265"/>
      <c r="O89" s="26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D38" sqref="D3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-19996</v>
      </c>
      <c r="C4" s="11">
        <v>-20000</v>
      </c>
      <c r="D4" s="25">
        <f>+C4-B4</f>
        <v>-4</v>
      </c>
    </row>
    <row r="5" spans="1:4" x14ac:dyDescent="0.2">
      <c r="A5" s="10">
        <v>2</v>
      </c>
      <c r="B5" s="11">
        <v>-20687</v>
      </c>
      <c r="C5" s="11">
        <v>-18459</v>
      </c>
      <c r="D5" s="25">
        <f t="shared" ref="D5:D34" si="0">+C5-B5</f>
        <v>2228</v>
      </c>
    </row>
    <row r="6" spans="1:4" x14ac:dyDescent="0.2">
      <c r="A6" s="10">
        <v>3</v>
      </c>
      <c r="B6" s="11">
        <v>-20002</v>
      </c>
      <c r="C6" s="11">
        <v>-20000</v>
      </c>
      <c r="D6" s="25">
        <f t="shared" si="0"/>
        <v>2</v>
      </c>
    </row>
    <row r="7" spans="1:4" x14ac:dyDescent="0.2">
      <c r="A7" s="10">
        <v>4</v>
      </c>
      <c r="B7" s="11">
        <v>-20012</v>
      </c>
      <c r="C7" s="11">
        <v>-20000</v>
      </c>
      <c r="D7" s="25">
        <f t="shared" si="0"/>
        <v>12</v>
      </c>
    </row>
    <row r="8" spans="1:4" x14ac:dyDescent="0.2">
      <c r="A8" s="10">
        <v>5</v>
      </c>
      <c r="B8" s="11">
        <v>-11402</v>
      </c>
      <c r="C8" s="11">
        <v>-10084</v>
      </c>
      <c r="D8" s="25">
        <f t="shared" si="0"/>
        <v>1318</v>
      </c>
    </row>
    <row r="9" spans="1:4" x14ac:dyDescent="0.2">
      <c r="A9" s="10">
        <v>6</v>
      </c>
      <c r="B9" s="11">
        <v>-14142</v>
      </c>
      <c r="C9" s="11">
        <v>-14130</v>
      </c>
      <c r="D9" s="25">
        <f t="shared" si="0"/>
        <v>12</v>
      </c>
    </row>
    <row r="10" spans="1:4" x14ac:dyDescent="0.2">
      <c r="A10" s="10">
        <v>7</v>
      </c>
      <c r="B10" s="129">
        <v>-13453</v>
      </c>
      <c r="C10" s="11">
        <v>-13426</v>
      </c>
      <c r="D10" s="25">
        <f t="shared" si="0"/>
        <v>27</v>
      </c>
    </row>
    <row r="11" spans="1:4" x14ac:dyDescent="0.2">
      <c r="A11" s="10">
        <v>8</v>
      </c>
      <c r="B11" s="11">
        <v>-20390</v>
      </c>
      <c r="C11" s="11">
        <v>-20000</v>
      </c>
      <c r="D11" s="25">
        <f t="shared" si="0"/>
        <v>390</v>
      </c>
    </row>
    <row r="12" spans="1:4" x14ac:dyDescent="0.2">
      <c r="A12" s="10">
        <v>9</v>
      </c>
      <c r="B12" s="11">
        <v>-20024</v>
      </c>
      <c r="C12" s="11">
        <v>-20000</v>
      </c>
      <c r="D12" s="25">
        <f t="shared" si="0"/>
        <v>24</v>
      </c>
    </row>
    <row r="13" spans="1:4" x14ac:dyDescent="0.2">
      <c r="A13" s="10">
        <v>10</v>
      </c>
      <c r="B13" s="11">
        <v>-20006</v>
      </c>
      <c r="C13" s="11">
        <v>-20000</v>
      </c>
      <c r="D13" s="25">
        <f t="shared" si="0"/>
        <v>6</v>
      </c>
    </row>
    <row r="14" spans="1:4" x14ac:dyDescent="0.2">
      <c r="A14" s="10">
        <v>11</v>
      </c>
      <c r="B14" s="11">
        <v>-19995</v>
      </c>
      <c r="C14" s="11">
        <v>-20000</v>
      </c>
      <c r="D14" s="25">
        <f t="shared" si="0"/>
        <v>-5</v>
      </c>
    </row>
    <row r="15" spans="1:4" x14ac:dyDescent="0.2">
      <c r="A15" s="10">
        <v>12</v>
      </c>
      <c r="B15" s="11">
        <v>-20126</v>
      </c>
      <c r="C15" s="11">
        <v>-20000</v>
      </c>
      <c r="D15" s="25">
        <f t="shared" si="0"/>
        <v>126</v>
      </c>
    </row>
    <row r="16" spans="1:4" x14ac:dyDescent="0.2">
      <c r="A16" s="10">
        <v>13</v>
      </c>
      <c r="B16" s="11">
        <v>-20491</v>
      </c>
      <c r="C16" s="11">
        <v>-20000</v>
      </c>
      <c r="D16" s="25">
        <f t="shared" si="0"/>
        <v>491</v>
      </c>
    </row>
    <row r="17" spans="1:4" x14ac:dyDescent="0.2">
      <c r="A17" s="10">
        <v>14</v>
      </c>
      <c r="B17" s="11">
        <v>-21001</v>
      </c>
      <c r="C17" s="11">
        <v>-20000</v>
      </c>
      <c r="D17" s="25">
        <f t="shared" si="0"/>
        <v>1001</v>
      </c>
    </row>
    <row r="18" spans="1:4" x14ac:dyDescent="0.2">
      <c r="A18" s="10">
        <v>15</v>
      </c>
      <c r="B18" s="11">
        <v>-18950</v>
      </c>
      <c r="C18" s="11">
        <v>-20000</v>
      </c>
      <c r="D18" s="25">
        <f t="shared" si="0"/>
        <v>-1050</v>
      </c>
    </row>
    <row r="19" spans="1:4" x14ac:dyDescent="0.2">
      <c r="A19" s="10">
        <v>16</v>
      </c>
      <c r="B19" s="11">
        <v>-19959</v>
      </c>
      <c r="C19" s="11">
        <v>-20000</v>
      </c>
      <c r="D19" s="25">
        <f t="shared" si="0"/>
        <v>-41</v>
      </c>
    </row>
    <row r="20" spans="1:4" x14ac:dyDescent="0.2">
      <c r="A20" s="10">
        <v>17</v>
      </c>
      <c r="B20" s="11">
        <v>-18720</v>
      </c>
      <c r="C20" s="11">
        <v>-20000</v>
      </c>
      <c r="D20" s="25">
        <f t="shared" si="0"/>
        <v>-1280</v>
      </c>
    </row>
    <row r="21" spans="1:4" x14ac:dyDescent="0.2">
      <c r="A21" s="10">
        <v>18</v>
      </c>
      <c r="B21" s="11">
        <v>-20000</v>
      </c>
      <c r="C21" s="11">
        <v>-20000</v>
      </c>
      <c r="D21" s="25">
        <f t="shared" si="0"/>
        <v>0</v>
      </c>
    </row>
    <row r="22" spans="1:4" x14ac:dyDescent="0.2">
      <c r="A22" s="10">
        <v>19</v>
      </c>
      <c r="B22" s="11">
        <v>-19999</v>
      </c>
      <c r="C22" s="11">
        <v>-20000</v>
      </c>
      <c r="D22" s="25">
        <f t="shared" si="0"/>
        <v>-1</v>
      </c>
    </row>
    <row r="23" spans="1:4" x14ac:dyDescent="0.2">
      <c r="A23" s="10">
        <v>20</v>
      </c>
      <c r="B23" s="11">
        <v>-20736</v>
      </c>
      <c r="C23" s="11">
        <v>-20000</v>
      </c>
      <c r="D23" s="25">
        <f t="shared" si="0"/>
        <v>736</v>
      </c>
    </row>
    <row r="24" spans="1:4" x14ac:dyDescent="0.2">
      <c r="A24" s="10">
        <v>21</v>
      </c>
      <c r="B24" s="11">
        <v>-20790</v>
      </c>
      <c r="C24" s="11">
        <v>-20000</v>
      </c>
      <c r="D24" s="25">
        <f t="shared" si="0"/>
        <v>790</v>
      </c>
    </row>
    <row r="25" spans="1:4" x14ac:dyDescent="0.2">
      <c r="A25" s="10">
        <v>22</v>
      </c>
      <c r="B25" s="11">
        <v>-20999</v>
      </c>
      <c r="C25" s="11">
        <v>-20000</v>
      </c>
      <c r="D25" s="25">
        <f t="shared" si="0"/>
        <v>999</v>
      </c>
    </row>
    <row r="26" spans="1:4" x14ac:dyDescent="0.2">
      <c r="A26" s="10">
        <v>23</v>
      </c>
      <c r="B26" s="11">
        <v>-20233</v>
      </c>
      <c r="C26" s="11">
        <v>-20000</v>
      </c>
      <c r="D26" s="25">
        <f t="shared" si="0"/>
        <v>233</v>
      </c>
    </row>
    <row r="27" spans="1:4" x14ac:dyDescent="0.2">
      <c r="A27" s="10">
        <v>24</v>
      </c>
      <c r="B27" s="11">
        <v>-20407</v>
      </c>
      <c r="C27" s="11">
        <v>-20000</v>
      </c>
      <c r="D27" s="25">
        <f t="shared" si="0"/>
        <v>407</v>
      </c>
    </row>
    <row r="28" spans="1:4" x14ac:dyDescent="0.2">
      <c r="A28" s="10">
        <v>25</v>
      </c>
      <c r="B28" s="11">
        <v>-21993</v>
      </c>
      <c r="C28" s="11">
        <v>-20000</v>
      </c>
      <c r="D28" s="25">
        <f t="shared" si="0"/>
        <v>1993</v>
      </c>
    </row>
    <row r="29" spans="1:4" x14ac:dyDescent="0.2">
      <c r="A29" s="10">
        <v>26</v>
      </c>
      <c r="B29" s="11">
        <v>-20157</v>
      </c>
      <c r="C29" s="11">
        <v>-20000</v>
      </c>
      <c r="D29" s="25">
        <f t="shared" si="0"/>
        <v>157</v>
      </c>
    </row>
    <row r="30" spans="1:4" x14ac:dyDescent="0.2">
      <c r="A30" s="10">
        <v>27</v>
      </c>
      <c r="B30" s="11">
        <v>-20841</v>
      </c>
      <c r="C30" s="11">
        <v>-20000</v>
      </c>
      <c r="D30" s="25">
        <f t="shared" si="0"/>
        <v>841</v>
      </c>
    </row>
    <row r="31" spans="1:4" x14ac:dyDescent="0.2">
      <c r="A31" s="10">
        <v>28</v>
      </c>
      <c r="B31" s="11">
        <v>-19998</v>
      </c>
      <c r="C31" s="11">
        <v>-20000</v>
      </c>
      <c r="D31" s="25">
        <f t="shared" si="0"/>
        <v>-2</v>
      </c>
    </row>
    <row r="32" spans="1:4" x14ac:dyDescent="0.2">
      <c r="A32" s="10">
        <v>29</v>
      </c>
      <c r="B32" s="11">
        <v>-20833</v>
      </c>
      <c r="C32" s="11">
        <v>-20000</v>
      </c>
      <c r="D32" s="25">
        <f t="shared" si="0"/>
        <v>833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-566342</v>
      </c>
      <c r="C35" s="11">
        <f>SUM(C4:C34)</f>
        <v>-556099</v>
      </c>
      <c r="D35" s="11">
        <f>SUM(D4:D34)</f>
        <v>10243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37164</v>
      </c>
      <c r="D38" s="242">
        <v>156453</v>
      </c>
    </row>
    <row r="39" spans="1:4" x14ac:dyDescent="0.2">
      <c r="A39" s="2"/>
      <c r="D39" s="24"/>
    </row>
    <row r="40" spans="1:4" x14ac:dyDescent="0.2">
      <c r="A40" s="57">
        <v>37193</v>
      </c>
      <c r="D40" s="51">
        <f>+D38+D35</f>
        <v>166696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+A38</f>
        <v>37164</v>
      </c>
      <c r="B45" s="32"/>
      <c r="C45" s="32"/>
      <c r="D45" s="468">
        <v>134898</v>
      </c>
    </row>
    <row r="46" spans="1:4" x14ac:dyDescent="0.2">
      <c r="A46" s="49">
        <f>+A40</f>
        <v>37193</v>
      </c>
      <c r="B46" s="32"/>
      <c r="C46" s="32"/>
      <c r="D46" s="399">
        <f>+D35*'by type_area'!J4</f>
        <v>21203.01</v>
      </c>
    </row>
    <row r="47" spans="1:4" x14ac:dyDescent="0.2">
      <c r="A47" s="32"/>
      <c r="B47" s="32"/>
      <c r="C47" s="32"/>
      <c r="D47" s="202">
        <f>+D46+D45</f>
        <v>156101.01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3" workbookViewId="1">
      <selection activeCell="G11" sqref="G11"/>
    </sheetView>
    <sheetView workbookViewId="2">
      <selection activeCell="E7" sqref="E7"/>
    </sheetView>
    <sheetView topLeftCell="A31" workbookViewId="3">
      <selection activeCell="C33" sqref="C3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17642</v>
      </c>
      <c r="C4" s="11">
        <v>18199</v>
      </c>
      <c r="D4" s="11">
        <v>8769</v>
      </c>
      <c r="E4" s="11">
        <v>9000</v>
      </c>
      <c r="F4" s="11"/>
      <c r="G4" s="11"/>
      <c r="H4" s="11"/>
      <c r="I4" s="11"/>
      <c r="J4" s="11">
        <f t="shared" ref="J4:J34" si="0">+C4+E4+G4+I4-H4-F4-D4-B4</f>
        <v>788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17694</v>
      </c>
      <c r="C5" s="11">
        <v>18199</v>
      </c>
      <c r="D5" s="11">
        <v>9575</v>
      </c>
      <c r="E5" s="11">
        <v>9034</v>
      </c>
      <c r="F5" s="11"/>
      <c r="G5" s="11"/>
      <c r="H5" s="11"/>
      <c r="I5" s="11"/>
      <c r="J5" s="11">
        <f t="shared" si="0"/>
        <v>-36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17678</v>
      </c>
      <c r="C6" s="11">
        <v>17000</v>
      </c>
      <c r="D6" s="11">
        <v>8857</v>
      </c>
      <c r="E6" s="11">
        <v>8133</v>
      </c>
      <c r="F6" s="11"/>
      <c r="G6" s="11"/>
      <c r="H6" s="11"/>
      <c r="I6" s="11"/>
      <c r="J6" s="11">
        <f t="shared" si="0"/>
        <v>-1402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17399</v>
      </c>
      <c r="C7" s="11">
        <v>17500</v>
      </c>
      <c r="D7" s="11">
        <v>8555</v>
      </c>
      <c r="E7" s="11">
        <v>8633</v>
      </c>
      <c r="F7" s="11"/>
      <c r="G7" s="11"/>
      <c r="H7" s="11"/>
      <c r="I7" s="11"/>
      <c r="J7" s="11">
        <f t="shared" si="0"/>
        <v>179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17391</v>
      </c>
      <c r="C8" s="11">
        <v>16900</v>
      </c>
      <c r="D8" s="129">
        <v>8425</v>
      </c>
      <c r="E8" s="11">
        <v>8713</v>
      </c>
      <c r="F8" s="11">
        <v>4873</v>
      </c>
      <c r="G8" s="11">
        <v>2500</v>
      </c>
      <c r="H8" s="11"/>
      <c r="I8" s="11"/>
      <c r="J8" s="11">
        <f t="shared" si="0"/>
        <v>-2576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17293</v>
      </c>
      <c r="C9" s="11">
        <v>15537</v>
      </c>
      <c r="D9" s="11">
        <v>8404</v>
      </c>
      <c r="E9" s="11">
        <v>7954</v>
      </c>
      <c r="F9" s="11">
        <v>9612</v>
      </c>
      <c r="G9" s="11">
        <v>8215</v>
      </c>
      <c r="H9" s="11"/>
      <c r="I9" s="11"/>
      <c r="J9" s="11">
        <f t="shared" si="0"/>
        <v>-3603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16649</v>
      </c>
      <c r="C10" s="11">
        <v>15064</v>
      </c>
      <c r="D10" s="129">
        <v>8980</v>
      </c>
      <c r="E10" s="11">
        <v>7711</v>
      </c>
      <c r="F10" s="11">
        <v>10274</v>
      </c>
      <c r="G10" s="11">
        <v>7966</v>
      </c>
      <c r="H10" s="11"/>
      <c r="I10" s="11"/>
      <c r="J10" s="11">
        <f t="shared" si="0"/>
        <v>-5162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17225</v>
      </c>
      <c r="C11" s="11">
        <v>17020</v>
      </c>
      <c r="D11" s="11">
        <v>9026</v>
      </c>
      <c r="E11" s="11">
        <v>8713</v>
      </c>
      <c r="F11" s="11">
        <v>14625</v>
      </c>
      <c r="G11" s="11">
        <v>9000</v>
      </c>
      <c r="H11" s="11"/>
      <c r="I11" s="11"/>
      <c r="J11" s="11">
        <f t="shared" si="0"/>
        <v>-6143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16753</v>
      </c>
      <c r="C12" s="11">
        <v>18020</v>
      </c>
      <c r="D12" s="11">
        <v>8315</v>
      </c>
      <c r="E12" s="11">
        <v>8713</v>
      </c>
      <c r="F12" s="11">
        <v>15488</v>
      </c>
      <c r="G12" s="11">
        <v>11000</v>
      </c>
      <c r="H12" s="11"/>
      <c r="I12" s="11"/>
      <c r="J12" s="11">
        <f t="shared" si="0"/>
        <v>-2823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16215</v>
      </c>
      <c r="C13" s="11">
        <v>18020</v>
      </c>
      <c r="D13" s="11">
        <v>8241</v>
      </c>
      <c r="E13" s="11">
        <v>8713</v>
      </c>
      <c r="F13" s="11">
        <v>15811</v>
      </c>
      <c r="G13" s="11">
        <v>11000</v>
      </c>
      <c r="H13" s="11"/>
      <c r="I13" s="11"/>
      <c r="J13" s="11">
        <f t="shared" si="0"/>
        <v>-2534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16392</v>
      </c>
      <c r="C14" s="11">
        <v>18020</v>
      </c>
      <c r="D14" s="11">
        <v>8389</v>
      </c>
      <c r="E14" s="11">
        <v>8713</v>
      </c>
      <c r="F14" s="11">
        <v>15976</v>
      </c>
      <c r="G14" s="11">
        <v>11000</v>
      </c>
      <c r="H14" s="11"/>
      <c r="I14" s="11"/>
      <c r="J14" s="11">
        <f t="shared" si="0"/>
        <v>-3024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16039</v>
      </c>
      <c r="C15" s="11">
        <v>18020</v>
      </c>
      <c r="D15" s="11">
        <v>5590</v>
      </c>
      <c r="E15" s="11">
        <v>8713</v>
      </c>
      <c r="F15" s="11">
        <v>15774</v>
      </c>
      <c r="G15" s="11">
        <v>14400</v>
      </c>
      <c r="H15" s="11"/>
      <c r="I15" s="11"/>
      <c r="J15" s="11">
        <f t="shared" si="0"/>
        <v>3730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16296</v>
      </c>
      <c r="C16" s="11">
        <v>18020</v>
      </c>
      <c r="D16" s="11">
        <v>7084</v>
      </c>
      <c r="E16" s="11">
        <v>8713</v>
      </c>
      <c r="F16" s="11">
        <v>14521</v>
      </c>
      <c r="G16" s="11">
        <v>14400</v>
      </c>
      <c r="H16" s="11"/>
      <c r="I16" s="11"/>
      <c r="J16" s="11">
        <f t="shared" si="0"/>
        <v>3232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16540</v>
      </c>
      <c r="C17" s="11">
        <v>18020</v>
      </c>
      <c r="D17" s="11">
        <v>8716</v>
      </c>
      <c r="E17" s="11">
        <v>8713</v>
      </c>
      <c r="F17" s="11">
        <v>13091</v>
      </c>
      <c r="G17" s="11">
        <v>14400</v>
      </c>
      <c r="H17" s="11"/>
      <c r="I17" s="11"/>
      <c r="J17" s="11">
        <f t="shared" si="0"/>
        <v>2786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16651</v>
      </c>
      <c r="C18" s="11">
        <v>18020</v>
      </c>
      <c r="D18" s="11">
        <v>9269</v>
      </c>
      <c r="E18" s="11">
        <v>8713</v>
      </c>
      <c r="F18" s="11">
        <v>14921</v>
      </c>
      <c r="G18" s="11">
        <v>14400</v>
      </c>
      <c r="H18" s="11"/>
      <c r="I18" s="11"/>
      <c r="J18" s="11">
        <f t="shared" si="0"/>
        <v>292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16377</v>
      </c>
      <c r="C19" s="11">
        <v>19020</v>
      </c>
      <c r="D19" s="11">
        <v>9304</v>
      </c>
      <c r="E19" s="11">
        <v>9713</v>
      </c>
      <c r="F19" s="11">
        <v>5063</v>
      </c>
      <c r="G19" s="11">
        <v>7400</v>
      </c>
      <c r="H19" s="11"/>
      <c r="I19" s="11"/>
      <c r="J19" s="11">
        <f t="shared" si="0"/>
        <v>5389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16359</v>
      </c>
      <c r="C20" s="11">
        <v>16000</v>
      </c>
      <c r="D20" s="11">
        <v>6227</v>
      </c>
      <c r="E20" s="11">
        <v>8000</v>
      </c>
      <c r="F20" s="11">
        <v>5170</v>
      </c>
      <c r="G20" s="11">
        <v>5133</v>
      </c>
      <c r="H20" s="11"/>
      <c r="I20" s="11"/>
      <c r="J20" s="11">
        <f t="shared" si="0"/>
        <v>1377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16390</v>
      </c>
      <c r="C21" s="11">
        <v>16300</v>
      </c>
      <c r="D21" s="11">
        <v>9465</v>
      </c>
      <c r="E21" s="11">
        <v>8300</v>
      </c>
      <c r="F21" s="11">
        <v>5029</v>
      </c>
      <c r="G21" s="11">
        <v>5133</v>
      </c>
      <c r="H21" s="11">
        <v>207</v>
      </c>
      <c r="I21" s="11"/>
      <c r="J21" s="11">
        <f t="shared" si="0"/>
        <v>-1358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16282</v>
      </c>
      <c r="C22" s="11">
        <v>16300</v>
      </c>
      <c r="D22" s="11">
        <v>9157</v>
      </c>
      <c r="E22" s="11">
        <v>8300</v>
      </c>
      <c r="F22" s="11">
        <v>5100</v>
      </c>
      <c r="G22" s="11">
        <v>5133</v>
      </c>
      <c r="H22" s="11"/>
      <c r="I22" s="11"/>
      <c r="J22" s="11">
        <f t="shared" si="0"/>
        <v>-806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16075</v>
      </c>
      <c r="C23" s="11">
        <v>16300</v>
      </c>
      <c r="D23" s="11">
        <v>8452</v>
      </c>
      <c r="E23" s="11">
        <v>6300</v>
      </c>
      <c r="F23" s="11">
        <v>4950</v>
      </c>
      <c r="G23" s="11">
        <v>5133</v>
      </c>
      <c r="H23" s="11"/>
      <c r="I23" s="11"/>
      <c r="J23" s="11">
        <f t="shared" si="0"/>
        <v>-1744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16013</v>
      </c>
      <c r="C24" s="11">
        <v>16300</v>
      </c>
      <c r="D24" s="11">
        <v>9004</v>
      </c>
      <c r="E24" s="11">
        <v>6300</v>
      </c>
      <c r="F24" s="11">
        <v>4834</v>
      </c>
      <c r="G24" s="11">
        <v>5133</v>
      </c>
      <c r="H24" s="11"/>
      <c r="I24" s="11"/>
      <c r="J24" s="11">
        <f t="shared" si="0"/>
        <v>-2118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16000</v>
      </c>
      <c r="C25" s="11">
        <v>16300</v>
      </c>
      <c r="D25" s="11">
        <v>9202</v>
      </c>
      <c r="E25" s="11">
        <v>6300</v>
      </c>
      <c r="F25" s="11">
        <v>4896</v>
      </c>
      <c r="G25" s="11">
        <v>5133</v>
      </c>
      <c r="H25" s="11"/>
      <c r="I25" s="11"/>
      <c r="J25" s="11">
        <f t="shared" si="0"/>
        <v>-2365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16044</v>
      </c>
      <c r="C26" s="11">
        <v>15100</v>
      </c>
      <c r="D26" s="11">
        <v>9188</v>
      </c>
      <c r="E26" s="11">
        <v>7700</v>
      </c>
      <c r="F26" s="11">
        <v>4878</v>
      </c>
      <c r="G26" s="11">
        <v>5133</v>
      </c>
      <c r="H26" s="11"/>
      <c r="I26" s="11"/>
      <c r="J26" s="11">
        <f t="shared" si="0"/>
        <v>-2177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16124</v>
      </c>
      <c r="C27" s="11">
        <v>15500</v>
      </c>
      <c r="D27" s="11">
        <v>9317</v>
      </c>
      <c r="E27" s="11">
        <v>8500</v>
      </c>
      <c r="F27" s="11">
        <v>4955</v>
      </c>
      <c r="G27" s="11">
        <v>5133</v>
      </c>
      <c r="H27" s="11"/>
      <c r="I27" s="11"/>
      <c r="J27" s="11">
        <f t="shared" si="0"/>
        <v>-1263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16019</v>
      </c>
      <c r="C28" s="11">
        <v>15500</v>
      </c>
      <c r="D28" s="11">
        <v>9591</v>
      </c>
      <c r="E28" s="11">
        <v>8500</v>
      </c>
      <c r="F28" s="11">
        <v>4955</v>
      </c>
      <c r="G28" s="11">
        <v>5133</v>
      </c>
      <c r="H28" s="11"/>
      <c r="I28" s="11"/>
      <c r="J28" s="11">
        <f t="shared" si="0"/>
        <v>-1432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16155</v>
      </c>
      <c r="C29" s="11">
        <v>15500</v>
      </c>
      <c r="D29" s="11">
        <v>9694</v>
      </c>
      <c r="E29" s="11">
        <v>8500</v>
      </c>
      <c r="F29" s="11">
        <v>4957</v>
      </c>
      <c r="G29" s="11">
        <v>5133</v>
      </c>
      <c r="H29" s="11"/>
      <c r="I29" s="11"/>
      <c r="J29" s="11">
        <f t="shared" si="0"/>
        <v>-1673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16653</v>
      </c>
      <c r="C30" s="11">
        <v>15500</v>
      </c>
      <c r="D30" s="11">
        <v>10403</v>
      </c>
      <c r="E30" s="11">
        <v>8500</v>
      </c>
      <c r="F30" s="11">
        <v>4975</v>
      </c>
      <c r="G30" s="11">
        <v>5133</v>
      </c>
      <c r="H30" s="11"/>
      <c r="I30" s="11"/>
      <c r="J30" s="11">
        <f t="shared" si="0"/>
        <v>-2898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15689</v>
      </c>
      <c r="C31" s="11">
        <v>15500</v>
      </c>
      <c r="D31" s="11">
        <v>9380</v>
      </c>
      <c r="E31" s="11">
        <v>8500</v>
      </c>
      <c r="F31" s="11">
        <v>4882</v>
      </c>
      <c r="G31" s="11">
        <v>5133</v>
      </c>
      <c r="H31" s="11"/>
      <c r="I31" s="11"/>
      <c r="J31" s="11">
        <f t="shared" si="0"/>
        <v>-818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15526</v>
      </c>
      <c r="C32" s="11">
        <v>15500</v>
      </c>
      <c r="D32" s="11">
        <v>8963</v>
      </c>
      <c r="E32" s="11">
        <v>8500</v>
      </c>
      <c r="F32" s="11">
        <v>4742</v>
      </c>
      <c r="G32" s="11">
        <v>5133</v>
      </c>
      <c r="H32" s="11">
        <v>124</v>
      </c>
      <c r="I32" s="11"/>
      <c r="J32" s="11">
        <f t="shared" si="0"/>
        <v>-222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479563</v>
      </c>
      <c r="C35" s="11">
        <f t="shared" ref="C35:I35" si="1">SUM(C4:C34)</f>
        <v>486179</v>
      </c>
      <c r="D35" s="11">
        <f t="shared" si="1"/>
        <v>253542</v>
      </c>
      <c r="E35" s="11">
        <f t="shared" si="1"/>
        <v>240795</v>
      </c>
      <c r="F35" s="11">
        <f t="shared" si="1"/>
        <v>214352</v>
      </c>
      <c r="G35" s="11">
        <f t="shared" si="1"/>
        <v>192410</v>
      </c>
      <c r="H35" s="11">
        <f t="shared" si="1"/>
        <v>331</v>
      </c>
      <c r="I35" s="11">
        <f t="shared" si="1"/>
        <v>0</v>
      </c>
      <c r="J35" s="11">
        <f>SUM(J4:J34)</f>
        <v>-28404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2.0699999999999998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-58796.28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37164</v>
      </c>
      <c r="C39" s="25"/>
      <c r="E39" s="25"/>
      <c r="G39" s="25"/>
      <c r="I39" s="25"/>
      <c r="J39" s="521">
        <v>57819.68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4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37193</v>
      </c>
      <c r="J41" s="334">
        <f>+J39+J37</f>
        <v>-976.59999999999854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37164</v>
      </c>
      <c r="B46" s="32"/>
      <c r="C46" s="32"/>
      <c r="D46" s="522">
        <v>-98356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37193</v>
      </c>
      <c r="B47" s="32"/>
      <c r="C47" s="32"/>
      <c r="D47" s="370">
        <f>+J35</f>
        <v>-28404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-126760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9" workbookViewId="3">
      <selection activeCell="D38" sqref="D38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128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+G6+H6+I6</f>
        <v>0</v>
      </c>
      <c r="E6" s="24">
        <v>10422</v>
      </c>
      <c r="F6" s="24">
        <f>+C6+E6-B6-D6</f>
        <v>10422</v>
      </c>
      <c r="G6" s="14">
        <v>0</v>
      </c>
      <c r="H6" s="14">
        <v>0</v>
      </c>
      <c r="I6" s="14">
        <v>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ref="D7:D36" si="0">+G7+H7+I7</f>
        <v>12160</v>
      </c>
      <c r="E7" s="24">
        <v>17926</v>
      </c>
      <c r="F7" s="24">
        <f t="shared" ref="F7:F36" si="1">+C7+E7-B7-D7</f>
        <v>5766</v>
      </c>
      <c r="G7" s="208">
        <v>0</v>
      </c>
      <c r="H7" s="14">
        <v>12160</v>
      </c>
      <c r="I7" s="14">
        <v>0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20939</v>
      </c>
      <c r="E8" s="24">
        <v>24926</v>
      </c>
      <c r="F8" s="24">
        <f t="shared" si="1"/>
        <v>3987</v>
      </c>
      <c r="G8" s="208">
        <v>-20</v>
      </c>
      <c r="H8" s="14">
        <v>20959</v>
      </c>
      <c r="I8" s="14">
        <v>0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1922</v>
      </c>
      <c r="E9" s="24">
        <v>-2574</v>
      </c>
      <c r="F9" s="24">
        <f t="shared" si="1"/>
        <v>-4496</v>
      </c>
      <c r="G9" s="208">
        <v>0</v>
      </c>
      <c r="H9" s="14">
        <v>1922</v>
      </c>
      <c r="I9" s="14">
        <v>0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-435</v>
      </c>
      <c r="E10" s="24">
        <v>-17837</v>
      </c>
      <c r="F10" s="24">
        <f t="shared" si="1"/>
        <v>-17402</v>
      </c>
      <c r="G10" s="208">
        <v>-435</v>
      </c>
      <c r="H10" s="14">
        <v>0</v>
      </c>
      <c r="I10" s="14">
        <v>0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-14269</v>
      </c>
      <c r="E11" s="24">
        <v>-12837</v>
      </c>
      <c r="F11" s="24">
        <f t="shared" si="1"/>
        <v>1432</v>
      </c>
      <c r="G11" s="208">
        <v>-14269</v>
      </c>
      <c r="H11" s="14">
        <v>0</v>
      </c>
      <c r="I11" s="14">
        <v>0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-16674</v>
      </c>
      <c r="E12" s="24">
        <v>-12837</v>
      </c>
      <c r="F12" s="24">
        <f t="shared" si="1"/>
        <v>3837</v>
      </c>
      <c r="G12" s="208">
        <v>-16674</v>
      </c>
      <c r="H12" s="14">
        <v>0</v>
      </c>
      <c r="I12" s="14">
        <v>0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-13125</v>
      </c>
      <c r="E13" s="24">
        <v>-12837</v>
      </c>
      <c r="F13" s="24">
        <f t="shared" si="1"/>
        <v>288</v>
      </c>
      <c r="G13" s="208">
        <v>-13274</v>
      </c>
      <c r="H13" s="14">
        <v>149</v>
      </c>
      <c r="I13" s="14">
        <v>0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130</v>
      </c>
      <c r="E14" s="24">
        <v>-2837</v>
      </c>
      <c r="F14" s="24">
        <f t="shared" si="1"/>
        <v>-2967</v>
      </c>
      <c r="G14" s="208">
        <v>-1635</v>
      </c>
      <c r="H14" s="14">
        <v>1765</v>
      </c>
      <c r="I14" s="14">
        <v>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-12721</v>
      </c>
      <c r="E15" s="24">
        <v>-12936</v>
      </c>
      <c r="F15" s="24">
        <f t="shared" si="1"/>
        <v>-215</v>
      </c>
      <c r="G15" s="208">
        <v>-12824</v>
      </c>
      <c r="H15" s="14">
        <v>103</v>
      </c>
      <c r="I15" s="14">
        <v>0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-9108</v>
      </c>
      <c r="E16" s="24">
        <v>-8845</v>
      </c>
      <c r="F16" s="24">
        <f t="shared" si="1"/>
        <v>263</v>
      </c>
      <c r="G16" s="208">
        <v>-9108</v>
      </c>
      <c r="H16" s="14">
        <v>0</v>
      </c>
      <c r="I16" s="14">
        <v>0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-10523</v>
      </c>
      <c r="E17" s="24">
        <v>-6652</v>
      </c>
      <c r="F17" s="24">
        <f t="shared" si="1"/>
        <v>3871</v>
      </c>
      <c r="G17" s="208">
        <v>-10523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-15715</v>
      </c>
      <c r="E18" s="24">
        <v>-17837</v>
      </c>
      <c r="F18" s="24">
        <f t="shared" si="1"/>
        <v>-2122</v>
      </c>
      <c r="G18" s="208">
        <v>-15764</v>
      </c>
      <c r="H18" s="14">
        <v>49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-17010</v>
      </c>
      <c r="E19" s="24">
        <v>-17837</v>
      </c>
      <c r="F19" s="24">
        <f t="shared" si="1"/>
        <v>-827</v>
      </c>
      <c r="G19" s="208">
        <v>-17010</v>
      </c>
      <c r="H19" s="14">
        <v>0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-17348</v>
      </c>
      <c r="E20" s="24">
        <v>-17837</v>
      </c>
      <c r="F20" s="24">
        <f t="shared" si="1"/>
        <v>-489</v>
      </c>
      <c r="G20" s="208">
        <v>-17348</v>
      </c>
      <c r="H20" s="14">
        <v>0</v>
      </c>
      <c r="I20" s="14">
        <v>0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-12173</v>
      </c>
      <c r="E21" s="24">
        <v>-12837</v>
      </c>
      <c r="F21" s="24">
        <f t="shared" si="1"/>
        <v>-664</v>
      </c>
      <c r="G21" s="208">
        <v>-12173</v>
      </c>
      <c r="H21" s="14">
        <v>0</v>
      </c>
      <c r="I21" s="14">
        <v>0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-3488</v>
      </c>
      <c r="E22" s="24">
        <v>-12837</v>
      </c>
      <c r="F22" s="24">
        <f t="shared" si="1"/>
        <v>-9349</v>
      </c>
      <c r="G22" s="208">
        <v>-3488</v>
      </c>
      <c r="H22" s="14">
        <v>0</v>
      </c>
      <c r="I22" s="14">
        <v>0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>
        <v>-12509</v>
      </c>
      <c r="F23" s="24">
        <f t="shared" si="1"/>
        <v>-12509</v>
      </c>
      <c r="G23" s="208">
        <v>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>
        <v>8073</v>
      </c>
      <c r="F24" s="24">
        <f t="shared" si="1"/>
        <v>8073</v>
      </c>
      <c r="G24" s="208">
        <v>0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-12925</v>
      </c>
      <c r="E25" s="24">
        <v>-2837</v>
      </c>
      <c r="F25" s="24">
        <f t="shared" si="1"/>
        <v>10088</v>
      </c>
      <c r="G25" s="208">
        <v>-13037</v>
      </c>
      <c r="H25" s="14">
        <v>112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-12641</v>
      </c>
      <c r="E26" s="24">
        <v>-12837</v>
      </c>
      <c r="F26" s="24">
        <f t="shared" si="1"/>
        <v>-196</v>
      </c>
      <c r="G26" s="208">
        <v>-13013</v>
      </c>
      <c r="H26" s="14">
        <v>372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-3287</v>
      </c>
      <c r="E27" s="24">
        <v>-12837</v>
      </c>
      <c r="F27" s="24">
        <f t="shared" si="1"/>
        <v>-9550</v>
      </c>
      <c r="G27" s="208">
        <v>-3287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-12158</v>
      </c>
      <c r="E28" s="24">
        <v>-22837</v>
      </c>
      <c r="F28" s="24">
        <f t="shared" si="1"/>
        <v>-10679</v>
      </c>
      <c r="G28" s="208">
        <v>-12158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-12927</v>
      </c>
      <c r="E29" s="24">
        <v>-19337</v>
      </c>
      <c r="F29" s="24">
        <f t="shared" si="1"/>
        <v>-6410</v>
      </c>
      <c r="G29" s="208">
        <v>-12927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-2853</v>
      </c>
      <c r="E30" s="24">
        <v>-19337</v>
      </c>
      <c r="F30" s="24">
        <f t="shared" si="1"/>
        <v>-16484</v>
      </c>
      <c r="G30" s="208">
        <v>-2853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-20189</v>
      </c>
      <c r="E31" s="24">
        <v>-28081</v>
      </c>
      <c r="F31" s="24">
        <f t="shared" si="1"/>
        <v>-7892</v>
      </c>
      <c r="G31" s="208">
        <v>-20189</v>
      </c>
      <c r="H31" s="14">
        <v>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-21886</v>
      </c>
      <c r="E32" s="24">
        <v>-21137</v>
      </c>
      <c r="F32" s="24">
        <f t="shared" si="1"/>
        <v>749</v>
      </c>
      <c r="G32" s="208">
        <v>-21886</v>
      </c>
      <c r="H32" s="14">
        <v>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-20804</v>
      </c>
      <c r="E33" s="24">
        <v>-21137</v>
      </c>
      <c r="F33" s="24">
        <f t="shared" si="1"/>
        <v>-333</v>
      </c>
      <c r="G33" s="208">
        <v>-20804</v>
      </c>
      <c r="I33" s="14">
        <v>0</v>
      </c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-20636</v>
      </c>
      <c r="E34" s="24">
        <v>-21137</v>
      </c>
      <c r="F34" s="24">
        <f t="shared" si="1"/>
        <v>-501</v>
      </c>
      <c r="G34" s="208">
        <v>-20636</v>
      </c>
      <c r="I34" s="14">
        <v>0</v>
      </c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 t="shared" ref="B37:I37" si="2">SUM(B6:B36)</f>
        <v>0</v>
      </c>
      <c r="C37" s="24">
        <f t="shared" si="2"/>
        <v>0</v>
      </c>
      <c r="D37" s="24">
        <f t="shared" si="2"/>
        <v>-247744</v>
      </c>
      <c r="E37" s="24">
        <f t="shared" si="2"/>
        <v>-302053</v>
      </c>
      <c r="F37" s="24">
        <f t="shared" si="2"/>
        <v>-54309</v>
      </c>
      <c r="G37" s="208">
        <f t="shared" si="2"/>
        <v>-285335</v>
      </c>
      <c r="H37" s="208">
        <f t="shared" si="2"/>
        <v>37591</v>
      </c>
      <c r="I37" s="208">
        <f t="shared" si="2"/>
        <v>0</v>
      </c>
      <c r="J37" s="16">
        <f>+I37+H37+G37</f>
        <v>-247744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2.0699999999999998</v>
      </c>
      <c r="G38" s="208"/>
      <c r="I38" s="14">
        <f>+H37+G37</f>
        <v>-247744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-112419.62999999999</v>
      </c>
      <c r="G39" s="48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7">
        <v>37164</v>
      </c>
      <c r="E40" s="14"/>
      <c r="F40" s="463">
        <v>478912.46</v>
      </c>
      <c r="G40" s="48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7">
        <v>37193</v>
      </c>
      <c r="E41" s="14"/>
      <c r="F41" s="104">
        <f>+F40+F39</f>
        <v>366492.83</v>
      </c>
      <c r="G41" s="48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1">
        <v>36377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37193</v>
      </c>
      <c r="B47" s="32"/>
      <c r="C47" s="32"/>
      <c r="D47" s="370">
        <f>+F37</f>
        <v>-54309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-17932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0" workbookViewId="3">
      <selection activeCell="J35" sqref="J35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61</v>
      </c>
      <c r="F8" s="25">
        <f>+E8+C8-D8-B8</f>
        <v>61</v>
      </c>
    </row>
    <row r="9" spans="1:6" x14ac:dyDescent="0.2">
      <c r="A9" s="10">
        <v>2</v>
      </c>
      <c r="B9" s="11"/>
      <c r="C9" s="11"/>
      <c r="D9" s="11"/>
      <c r="E9" s="11">
        <v>61</v>
      </c>
      <c r="F9" s="25">
        <f t="shared" ref="F9:F38" si="0">+E9+C9-D9-B9</f>
        <v>61</v>
      </c>
    </row>
    <row r="10" spans="1:6" x14ac:dyDescent="0.2">
      <c r="A10" s="10">
        <v>3</v>
      </c>
      <c r="B10" s="11"/>
      <c r="C10" s="11"/>
      <c r="D10" s="11"/>
      <c r="E10" s="11">
        <v>61</v>
      </c>
      <c r="F10" s="25">
        <f t="shared" si="0"/>
        <v>61</v>
      </c>
    </row>
    <row r="11" spans="1:6" x14ac:dyDescent="0.2">
      <c r="A11" s="10">
        <v>4</v>
      </c>
      <c r="B11" s="11"/>
      <c r="C11" s="11"/>
      <c r="D11" s="11"/>
      <c r="E11" s="11">
        <v>61</v>
      </c>
      <c r="F11" s="25">
        <f t="shared" si="0"/>
        <v>61</v>
      </c>
    </row>
    <row r="12" spans="1:6" x14ac:dyDescent="0.2">
      <c r="A12" s="10">
        <v>5</v>
      </c>
      <c r="B12" s="11"/>
      <c r="C12" s="11"/>
      <c r="D12" s="11"/>
      <c r="E12" s="11">
        <v>61</v>
      </c>
      <c r="F12" s="25">
        <f t="shared" si="0"/>
        <v>61</v>
      </c>
    </row>
    <row r="13" spans="1:6" x14ac:dyDescent="0.2">
      <c r="A13" s="10">
        <v>6</v>
      </c>
      <c r="B13" s="11"/>
      <c r="C13" s="11"/>
      <c r="D13" s="11"/>
      <c r="E13" s="11">
        <v>61</v>
      </c>
      <c r="F13" s="25">
        <f t="shared" si="0"/>
        <v>61</v>
      </c>
    </row>
    <row r="14" spans="1:6" x14ac:dyDescent="0.2">
      <c r="A14" s="10">
        <v>7</v>
      </c>
      <c r="B14" s="11"/>
      <c r="C14" s="11"/>
      <c r="D14" s="11"/>
      <c r="E14" s="11">
        <v>61</v>
      </c>
      <c r="F14" s="25">
        <f t="shared" si="0"/>
        <v>61</v>
      </c>
    </row>
    <row r="15" spans="1:6" x14ac:dyDescent="0.2">
      <c r="A15" s="10">
        <v>8</v>
      </c>
      <c r="B15" s="11"/>
      <c r="C15" s="11"/>
      <c r="D15" s="11"/>
      <c r="E15" s="11">
        <v>61</v>
      </c>
      <c r="F15" s="25">
        <f t="shared" si="0"/>
        <v>61</v>
      </c>
    </row>
    <row r="16" spans="1:6" x14ac:dyDescent="0.2">
      <c r="A16" s="10">
        <v>9</v>
      </c>
      <c r="B16" s="11"/>
      <c r="C16" s="11"/>
      <c r="D16" s="11"/>
      <c r="E16" s="11">
        <v>61</v>
      </c>
      <c r="F16" s="25">
        <f t="shared" si="0"/>
        <v>61</v>
      </c>
    </row>
    <row r="17" spans="1:10" x14ac:dyDescent="0.2">
      <c r="A17" s="10">
        <v>10</v>
      </c>
      <c r="B17" s="11"/>
      <c r="C17" s="11"/>
      <c r="D17" s="11"/>
      <c r="E17" s="11">
        <v>30</v>
      </c>
      <c r="F17" s="25">
        <f t="shared" si="0"/>
        <v>30</v>
      </c>
      <c r="J17" s="337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>
        <v>61</v>
      </c>
      <c r="F19" s="25">
        <f t="shared" si="0"/>
        <v>61</v>
      </c>
      <c r="J19" s="136"/>
    </row>
    <row r="20" spans="1:10" x14ac:dyDescent="0.2">
      <c r="A20" s="10">
        <v>13</v>
      </c>
      <c r="B20" s="11"/>
      <c r="C20" s="11"/>
      <c r="D20" s="11"/>
      <c r="E20" s="11">
        <v>61</v>
      </c>
      <c r="F20" s="25">
        <f t="shared" si="0"/>
        <v>61</v>
      </c>
    </row>
    <row r="21" spans="1:10" x14ac:dyDescent="0.2">
      <c r="A21" s="10">
        <v>14</v>
      </c>
      <c r="B21" s="11"/>
      <c r="C21" s="11"/>
      <c r="D21" s="11"/>
      <c r="E21" s="11">
        <v>61</v>
      </c>
      <c r="F21" s="25">
        <f t="shared" si="0"/>
        <v>61</v>
      </c>
    </row>
    <row r="22" spans="1:10" x14ac:dyDescent="0.2">
      <c r="A22" s="10">
        <v>15</v>
      </c>
      <c r="B22" s="11"/>
      <c r="C22" s="11"/>
      <c r="D22" s="11"/>
      <c r="E22" s="11">
        <v>61</v>
      </c>
      <c r="F22" s="25">
        <f t="shared" si="0"/>
        <v>61</v>
      </c>
    </row>
    <row r="23" spans="1:10" x14ac:dyDescent="0.2">
      <c r="A23" s="10">
        <v>16</v>
      </c>
      <c r="B23" s="11"/>
      <c r="C23" s="11"/>
      <c r="D23" s="11"/>
      <c r="E23" s="11">
        <v>61</v>
      </c>
      <c r="F23" s="25">
        <f t="shared" si="0"/>
        <v>61</v>
      </c>
    </row>
    <row r="24" spans="1:10" x14ac:dyDescent="0.2">
      <c r="A24" s="10">
        <v>17</v>
      </c>
      <c r="B24" s="11"/>
      <c r="C24" s="11"/>
      <c r="D24" s="11"/>
      <c r="E24" s="11">
        <v>61</v>
      </c>
      <c r="F24" s="25">
        <f t="shared" si="0"/>
        <v>61</v>
      </c>
    </row>
    <row r="25" spans="1:10" x14ac:dyDescent="0.2">
      <c r="A25" s="10">
        <v>18</v>
      </c>
      <c r="B25" s="11"/>
      <c r="C25" s="11"/>
      <c r="D25" s="11"/>
      <c r="E25" s="11">
        <v>61</v>
      </c>
      <c r="F25" s="25">
        <f t="shared" si="0"/>
        <v>61</v>
      </c>
    </row>
    <row r="26" spans="1:10" x14ac:dyDescent="0.2">
      <c r="A26" s="10">
        <v>19</v>
      </c>
      <c r="B26" s="11"/>
      <c r="C26" s="11"/>
      <c r="D26" s="11"/>
      <c r="E26" s="11">
        <v>61</v>
      </c>
      <c r="F26" s="25">
        <f t="shared" si="0"/>
        <v>61</v>
      </c>
    </row>
    <row r="27" spans="1:10" x14ac:dyDescent="0.2">
      <c r="A27" s="10">
        <v>20</v>
      </c>
      <c r="B27" s="11"/>
      <c r="C27" s="11"/>
      <c r="D27" s="11"/>
      <c r="E27" s="11">
        <v>61</v>
      </c>
      <c r="F27" s="25">
        <f t="shared" si="0"/>
        <v>61</v>
      </c>
    </row>
    <row r="28" spans="1:10" x14ac:dyDescent="0.2">
      <c r="A28" s="10">
        <v>21</v>
      </c>
      <c r="B28" s="11"/>
      <c r="C28" s="11"/>
      <c r="D28" s="11"/>
      <c r="E28" s="11">
        <v>61</v>
      </c>
      <c r="F28" s="25">
        <f t="shared" si="0"/>
        <v>61</v>
      </c>
    </row>
    <row r="29" spans="1:10" x14ac:dyDescent="0.2">
      <c r="A29" s="10">
        <v>22</v>
      </c>
      <c r="B29" s="11"/>
      <c r="C29" s="11"/>
      <c r="D29" s="11"/>
      <c r="E29" s="11">
        <v>61</v>
      </c>
      <c r="F29" s="25">
        <f t="shared" si="0"/>
        <v>61</v>
      </c>
    </row>
    <row r="30" spans="1:10" x14ac:dyDescent="0.2">
      <c r="A30" s="10">
        <v>23</v>
      </c>
      <c r="B30" s="11"/>
      <c r="C30" s="11"/>
      <c r="D30" s="11"/>
      <c r="E30" s="11">
        <v>61</v>
      </c>
      <c r="F30" s="25">
        <f t="shared" si="0"/>
        <v>61</v>
      </c>
    </row>
    <row r="31" spans="1:10" x14ac:dyDescent="0.2">
      <c r="A31" s="10">
        <v>24</v>
      </c>
      <c r="B31" s="11"/>
      <c r="C31" s="11"/>
      <c r="D31" s="11"/>
      <c r="E31" s="11">
        <v>61</v>
      </c>
      <c r="F31" s="25">
        <f t="shared" si="0"/>
        <v>61</v>
      </c>
    </row>
    <row r="32" spans="1:10" x14ac:dyDescent="0.2">
      <c r="A32" s="10">
        <v>25</v>
      </c>
      <c r="B32" s="11"/>
      <c r="C32" s="11"/>
      <c r="D32" s="11"/>
      <c r="E32" s="11">
        <v>61</v>
      </c>
      <c r="F32" s="25">
        <f t="shared" si="0"/>
        <v>61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1433</v>
      </c>
      <c r="F39" s="25">
        <f>SUM(F8:F38)</f>
        <v>1433</v>
      </c>
    </row>
    <row r="40" spans="1:6" x14ac:dyDescent="0.2">
      <c r="A40" s="26"/>
      <c r="C40" s="14"/>
      <c r="F40" s="258">
        <f>+summary!H4</f>
        <v>2.0699999999999998</v>
      </c>
    </row>
    <row r="41" spans="1:6" x14ac:dyDescent="0.2">
      <c r="F41" s="138">
        <f>+F40*F39</f>
        <v>2966.31</v>
      </c>
    </row>
    <row r="42" spans="1:6" x14ac:dyDescent="0.2">
      <c r="A42" s="57">
        <v>37164</v>
      </c>
      <c r="C42" s="15"/>
      <c r="F42" s="520">
        <v>18349.77</v>
      </c>
    </row>
    <row r="43" spans="1:6" x14ac:dyDescent="0.2">
      <c r="A43" s="57">
        <v>37193</v>
      </c>
      <c r="C43" s="48"/>
      <c r="F43" s="138">
        <f>+F42+F41</f>
        <v>21316.080000000002</v>
      </c>
    </row>
    <row r="47" spans="1:6" x14ac:dyDescent="0.2">
      <c r="A47" s="32" t="s">
        <v>153</v>
      </c>
      <c r="B47" s="32"/>
      <c r="C47" s="32"/>
      <c r="D47" s="32"/>
    </row>
    <row r="48" spans="1:6" x14ac:dyDescent="0.2">
      <c r="A48" s="49">
        <f>+A42</f>
        <v>37164</v>
      </c>
      <c r="B48" s="32"/>
      <c r="C48" s="32"/>
      <c r="D48" s="522">
        <v>-6684</v>
      </c>
    </row>
    <row r="49" spans="1:4" x14ac:dyDescent="0.2">
      <c r="A49" s="49">
        <f>+A43</f>
        <v>37193</v>
      </c>
      <c r="B49" s="32"/>
      <c r="C49" s="32"/>
      <c r="D49" s="370">
        <f>+F39</f>
        <v>1433</v>
      </c>
    </row>
    <row r="50" spans="1:4" x14ac:dyDescent="0.2">
      <c r="A50" s="32"/>
      <c r="B50" s="32"/>
      <c r="C50" s="32"/>
      <c r="D50" s="14">
        <f>+D49+D48</f>
        <v>-5251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8" workbookViewId="3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>
        <v>921</v>
      </c>
      <c r="C14" s="11"/>
      <c r="D14" s="25">
        <f t="shared" si="0"/>
        <v>-921</v>
      </c>
    </row>
    <row r="15" spans="1:4" x14ac:dyDescent="0.2">
      <c r="A15" s="10">
        <v>8</v>
      </c>
      <c r="B15" s="11">
        <v>3816</v>
      </c>
      <c r="C15" s="11"/>
      <c r="D15" s="25">
        <f t="shared" si="0"/>
        <v>-3816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4737</v>
      </c>
      <c r="C39" s="11">
        <f>SUM(C8:C38)</f>
        <v>0</v>
      </c>
      <c r="D39" s="25">
        <f>SUM(D8:D38)</f>
        <v>-4737</v>
      </c>
    </row>
    <row r="40" spans="1:4" x14ac:dyDescent="0.2">
      <c r="A40" s="26"/>
      <c r="C40" s="14"/>
      <c r="D40" s="544"/>
    </row>
    <row r="41" spans="1:4" x14ac:dyDescent="0.2">
      <c r="A41" s="57">
        <v>37164</v>
      </c>
      <c r="C41" s="15"/>
      <c r="D41" s="545">
        <v>21453</v>
      </c>
    </row>
    <row r="42" spans="1:4" x14ac:dyDescent="0.2">
      <c r="A42" s="57">
        <v>37193</v>
      </c>
      <c r="C42" s="48"/>
      <c r="D42" s="24">
        <f>+D41+D39</f>
        <v>16716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154</v>
      </c>
      <c r="B46" s="32"/>
      <c r="C46" s="32"/>
      <c r="D46" s="32"/>
    </row>
    <row r="47" spans="1:4" x14ac:dyDescent="0.2">
      <c r="A47" s="49">
        <f>+A41</f>
        <v>37164</v>
      </c>
      <c r="B47" s="32"/>
      <c r="C47" s="32"/>
      <c r="D47" s="543">
        <v>394424</v>
      </c>
    </row>
    <row r="48" spans="1:4" x14ac:dyDescent="0.2">
      <c r="A48" s="49">
        <f>+A42</f>
        <v>37193</v>
      </c>
      <c r="B48" s="32"/>
      <c r="C48" s="32"/>
      <c r="D48" s="399">
        <f>+D39*summary!H4</f>
        <v>-9805.59</v>
      </c>
    </row>
    <row r="49" spans="1:4" x14ac:dyDescent="0.2">
      <c r="A49" s="32"/>
      <c r="B49" s="32"/>
      <c r="C49" s="32"/>
      <c r="D49" s="202">
        <f>+D48+D47</f>
        <v>384618.41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/>
    <sheetView topLeftCell="A26" workbookViewId="1"/>
    <sheetView topLeftCell="A26" workbookViewId="2">
      <selection activeCell="D34" sqref="D34"/>
    </sheetView>
    <sheetView topLeftCell="A31" workbookViewId="3">
      <selection activeCell="C31" sqref="C3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133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">
      <c r="A6" s="10">
        <v>1</v>
      </c>
      <c r="B6" s="11">
        <v>-79121</v>
      </c>
      <c r="C6" s="11">
        <v>-82685</v>
      </c>
      <c r="D6" s="25">
        <f>+C6-B6</f>
        <v>-3564</v>
      </c>
      <c r="G6" s="118"/>
      <c r="H6" s="34"/>
      <c r="I6" s="34"/>
      <c r="J6" s="189"/>
      <c r="K6" s="440" t="s">
        <v>58</v>
      </c>
      <c r="L6" s="189"/>
      <c r="M6" s="2"/>
      <c r="N6" s="34"/>
    </row>
    <row r="7" spans="1:14" x14ac:dyDescent="0.2">
      <c r="A7" s="10">
        <v>2</v>
      </c>
      <c r="B7" s="11">
        <v>-79608</v>
      </c>
      <c r="C7" s="11">
        <v>-84439</v>
      </c>
      <c r="D7" s="25">
        <f t="shared" ref="D7:D36" si="0">+C7-B7</f>
        <v>-4831</v>
      </c>
      <c r="G7" s="118" t="s">
        <v>40</v>
      </c>
      <c r="H7" s="441" t="s">
        <v>20</v>
      </c>
      <c r="I7" s="441" t="s">
        <v>21</v>
      </c>
      <c r="J7" s="442" t="s">
        <v>50</v>
      </c>
      <c r="K7" s="440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-81303</v>
      </c>
      <c r="C8" s="11">
        <v>-80243</v>
      </c>
      <c r="D8" s="25">
        <f t="shared" si="0"/>
        <v>1060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40">
        <v>5.62</v>
      </c>
      <c r="L8" s="44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-70269</v>
      </c>
      <c r="C9" s="11">
        <v>-82368</v>
      </c>
      <c r="D9" s="25">
        <f t="shared" si="0"/>
        <v>-12099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40">
        <v>4.9800000000000004</v>
      </c>
      <c r="L9" s="44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-28400</v>
      </c>
      <c r="C10" s="11">
        <v>-30650</v>
      </c>
      <c r="D10" s="25">
        <f t="shared" si="0"/>
        <v>-2250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40">
        <v>4.87</v>
      </c>
      <c r="L10" s="44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-42570</v>
      </c>
      <c r="C11" s="11">
        <v>-41999</v>
      </c>
      <c r="D11" s="25">
        <f t="shared" si="0"/>
        <v>571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40">
        <v>3.82</v>
      </c>
      <c r="L11" s="44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-42054</v>
      </c>
      <c r="C12" s="11">
        <v>-41999</v>
      </c>
      <c r="D12" s="25">
        <f t="shared" si="0"/>
        <v>55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40">
        <v>3.2</v>
      </c>
      <c r="L12" s="44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-50726</v>
      </c>
      <c r="C13" s="11">
        <v>-49999</v>
      </c>
      <c r="D13" s="25">
        <f t="shared" si="0"/>
        <v>727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40">
        <v>2.77</v>
      </c>
      <c r="L13" s="44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-79745</v>
      </c>
      <c r="C14" s="11">
        <v>-78260</v>
      </c>
      <c r="D14" s="25">
        <f t="shared" si="0"/>
        <v>1485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40">
        <v>2.77</v>
      </c>
      <c r="L14" s="44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-83191</v>
      </c>
      <c r="C15" s="11">
        <v>-80299</v>
      </c>
      <c r="D15" s="25">
        <f t="shared" si="0"/>
        <v>2892</v>
      </c>
      <c r="G15" s="478"/>
      <c r="H15" s="119"/>
      <c r="I15" s="119"/>
      <c r="J15" s="119"/>
      <c r="K15" s="440"/>
      <c r="L15" s="445"/>
      <c r="M15" s="104"/>
      <c r="N15" s="34"/>
    </row>
    <row r="16" spans="1:14" ht="15" customHeight="1" x14ac:dyDescent="0.2">
      <c r="A16" s="10">
        <v>11</v>
      </c>
      <c r="B16" s="11">
        <v>-83787</v>
      </c>
      <c r="C16" s="11">
        <v>-80299</v>
      </c>
      <c r="D16" s="25">
        <f t="shared" si="0"/>
        <v>3488</v>
      </c>
      <c r="G16" s="479"/>
      <c r="H16" s="34"/>
      <c r="I16" s="34"/>
      <c r="J16" s="189"/>
      <c r="K16" s="440"/>
      <c r="L16" s="189"/>
      <c r="M16" s="2"/>
      <c r="N16" s="34"/>
    </row>
    <row r="17" spans="1:14" ht="15" customHeight="1" x14ac:dyDescent="0.2">
      <c r="A17" s="10">
        <v>12</v>
      </c>
      <c r="B17" s="11">
        <v>-83744</v>
      </c>
      <c r="C17" s="11">
        <v>-85299</v>
      </c>
      <c r="D17" s="25">
        <f t="shared" si="0"/>
        <v>-1555</v>
      </c>
      <c r="G17" s="479"/>
      <c r="H17" s="34"/>
      <c r="I17" s="34"/>
      <c r="J17" s="319">
        <f>SUM(J8:J16)</f>
        <v>130492</v>
      </c>
      <c r="K17" s="44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-79676</v>
      </c>
      <c r="C18" s="11">
        <v>-83300</v>
      </c>
      <c r="D18" s="25">
        <f t="shared" si="0"/>
        <v>-3624</v>
      </c>
      <c r="G18" s="34"/>
      <c r="H18" s="34"/>
      <c r="I18" s="34"/>
      <c r="J18" s="189"/>
      <c r="K18" s="440"/>
      <c r="L18" s="189"/>
      <c r="M18" s="2"/>
      <c r="N18" s="34"/>
    </row>
    <row r="19" spans="1:14" x14ac:dyDescent="0.2">
      <c r="A19" s="10">
        <v>14</v>
      </c>
      <c r="B19" s="11">
        <v>-81902</v>
      </c>
      <c r="C19" s="11">
        <v>-80858</v>
      </c>
      <c r="D19" s="25">
        <f t="shared" si="0"/>
        <v>1044</v>
      </c>
      <c r="G19" s="118" t="s">
        <v>194</v>
      </c>
      <c r="H19" s="119">
        <f>+B37</f>
        <v>-1828500</v>
      </c>
      <c r="I19" s="119">
        <f>+C37</f>
        <v>-1866945</v>
      </c>
      <c r="J19" s="119">
        <f>+I19-H19</f>
        <v>-38445</v>
      </c>
      <c r="K19" s="440">
        <f>+D38</f>
        <v>2.0699999999999998</v>
      </c>
      <c r="L19" s="445">
        <f>+K19*J19</f>
        <v>-79581.149999999994</v>
      </c>
      <c r="M19" s="2"/>
      <c r="N19" s="34"/>
    </row>
    <row r="20" spans="1:14" x14ac:dyDescent="0.2">
      <c r="A20" s="10">
        <v>15</v>
      </c>
      <c r="B20" s="11">
        <v>-57815</v>
      </c>
      <c r="C20" s="11">
        <v>-71800</v>
      </c>
      <c r="D20" s="25">
        <f t="shared" si="0"/>
        <v>-13985</v>
      </c>
      <c r="G20" s="118"/>
      <c r="H20" s="119"/>
      <c r="I20" s="119"/>
      <c r="J20" s="119"/>
      <c r="K20" s="440"/>
      <c r="L20" s="445"/>
      <c r="M20" s="2"/>
      <c r="N20" s="34"/>
    </row>
    <row r="21" spans="1:14" x14ac:dyDescent="0.2">
      <c r="A21" s="10">
        <v>16</v>
      </c>
      <c r="B21" s="11">
        <v>-82501</v>
      </c>
      <c r="C21" s="11">
        <v>-80300</v>
      </c>
      <c r="D21" s="25">
        <f t="shared" si="0"/>
        <v>2201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-81016</v>
      </c>
      <c r="C22" s="11">
        <v>-80059</v>
      </c>
      <c r="D22" s="25">
        <f t="shared" si="0"/>
        <v>957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-81689</v>
      </c>
      <c r="C23" s="11">
        <v>-85252</v>
      </c>
      <c r="D23" s="25">
        <f t="shared" si="0"/>
        <v>-3563</v>
      </c>
      <c r="G23" s="101"/>
      <c r="H23" s="24"/>
      <c r="I23" s="24"/>
      <c r="J23" s="110"/>
      <c r="K23" s="436"/>
      <c r="L23" s="110"/>
      <c r="M23" s="2"/>
      <c r="N23" s="34"/>
    </row>
    <row r="24" spans="1:14" x14ac:dyDescent="0.2">
      <c r="A24" s="10">
        <v>19</v>
      </c>
      <c r="B24" s="129">
        <v>-82517</v>
      </c>
      <c r="C24" s="11">
        <v>-77299</v>
      </c>
      <c r="D24" s="25">
        <f t="shared" si="0"/>
        <v>5218</v>
      </c>
      <c r="G24" s="2" t="s">
        <v>195</v>
      </c>
      <c r="H24" s="24"/>
      <c r="I24" s="24"/>
      <c r="J24" s="24">
        <f>+J19+J17</f>
        <v>92047</v>
      </c>
      <c r="K24" s="436"/>
      <c r="L24" s="110">
        <f>+L19+L17</f>
        <v>2103.949999999837</v>
      </c>
      <c r="M24" s="2"/>
      <c r="N24" s="34"/>
    </row>
    <row r="25" spans="1:14" x14ac:dyDescent="0.2">
      <c r="A25" s="10">
        <v>20</v>
      </c>
      <c r="B25" s="129">
        <v>-81543</v>
      </c>
      <c r="C25" s="11">
        <v>-80299</v>
      </c>
      <c r="D25" s="25">
        <f t="shared" si="0"/>
        <v>1244</v>
      </c>
      <c r="G25" s="2"/>
      <c r="H25" s="24"/>
      <c r="I25" s="24"/>
      <c r="J25" s="110"/>
      <c r="K25" s="436"/>
      <c r="L25" s="110"/>
      <c r="M25" s="2"/>
      <c r="N25" s="34"/>
    </row>
    <row r="26" spans="1:14" x14ac:dyDescent="0.2">
      <c r="A26" s="10">
        <v>21</v>
      </c>
      <c r="B26" s="129">
        <v>-81725</v>
      </c>
      <c r="C26" s="11">
        <v>-80299</v>
      </c>
      <c r="D26" s="25">
        <f t="shared" si="0"/>
        <v>1426</v>
      </c>
      <c r="G26" s="2" t="s">
        <v>196</v>
      </c>
      <c r="H26" s="24"/>
      <c r="I26" s="24"/>
      <c r="J26" s="110"/>
      <c r="K26" s="436"/>
      <c r="L26" s="24">
        <f>+L24/K19</f>
        <v>1016.4009661834962</v>
      </c>
    </row>
    <row r="27" spans="1:14" x14ac:dyDescent="0.2">
      <c r="A27" s="10">
        <v>22</v>
      </c>
      <c r="B27" s="129">
        <v>-83122</v>
      </c>
      <c r="C27" s="11">
        <v>-80250</v>
      </c>
      <c r="D27" s="25">
        <f t="shared" si="0"/>
        <v>2872</v>
      </c>
      <c r="G27" s="32"/>
      <c r="H27" s="24"/>
      <c r="I27" s="24"/>
      <c r="J27" s="110"/>
      <c r="K27" s="436"/>
      <c r="L27" s="110"/>
    </row>
    <row r="28" spans="1:14" x14ac:dyDescent="0.2">
      <c r="A28" s="10">
        <v>23</v>
      </c>
      <c r="B28" s="129">
        <v>-82157</v>
      </c>
      <c r="C28" s="11">
        <v>-77841</v>
      </c>
      <c r="D28" s="25">
        <f t="shared" si="0"/>
        <v>4316</v>
      </c>
      <c r="G28" s="32"/>
      <c r="H28" s="24"/>
      <c r="I28" s="24"/>
      <c r="J28" s="110"/>
      <c r="K28" s="436"/>
      <c r="L28" s="110"/>
    </row>
    <row r="29" spans="1:14" x14ac:dyDescent="0.2">
      <c r="A29" s="10">
        <v>24</v>
      </c>
      <c r="B29" s="129">
        <v>-79511</v>
      </c>
      <c r="C29" s="11">
        <v>-80299</v>
      </c>
      <c r="D29" s="25">
        <f t="shared" si="0"/>
        <v>-788</v>
      </c>
    </row>
    <row r="30" spans="1:14" x14ac:dyDescent="0.2">
      <c r="A30" s="10">
        <v>25</v>
      </c>
      <c r="B30" s="129">
        <v>-45836</v>
      </c>
      <c r="C30" s="11">
        <v>-46836</v>
      </c>
      <c r="D30" s="25">
        <f t="shared" si="0"/>
        <v>-1000</v>
      </c>
    </row>
    <row r="31" spans="1:14" x14ac:dyDescent="0.2">
      <c r="A31" s="10">
        <v>26</v>
      </c>
      <c r="B31" s="129">
        <v>-22972</v>
      </c>
      <c r="C31" s="11">
        <v>-43714</v>
      </c>
      <c r="D31" s="25">
        <f t="shared" si="0"/>
        <v>-20742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-1828500</v>
      </c>
      <c r="C37" s="11">
        <f>SUM(C6:C36)</f>
        <v>-1866945</v>
      </c>
      <c r="D37" s="25">
        <f>SUM(D6:D36)</f>
        <v>-38445</v>
      </c>
    </row>
    <row r="38" spans="1:4" x14ac:dyDescent="0.2">
      <c r="A38" s="26"/>
      <c r="C38" s="14"/>
      <c r="D38" s="341">
        <f>+summary!H4</f>
        <v>2.0699999999999998</v>
      </c>
    </row>
    <row r="39" spans="1:4" x14ac:dyDescent="0.2">
      <c r="D39" s="138">
        <f>+D38*D37</f>
        <v>-79581.149999999994</v>
      </c>
    </row>
    <row r="40" spans="1:4" x14ac:dyDescent="0.2">
      <c r="A40" s="57">
        <v>37164</v>
      </c>
      <c r="C40" s="15"/>
      <c r="D40" s="520">
        <v>66282.259999999995</v>
      </c>
    </row>
    <row r="41" spans="1:4" x14ac:dyDescent="0.2">
      <c r="A41" s="57">
        <v>37193</v>
      </c>
      <c r="C41" s="48"/>
      <c r="D41" s="138">
        <f>+D40+D39</f>
        <v>-13298.89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522">
        <v>122299</v>
      </c>
    </row>
    <row r="46" spans="1:4" x14ac:dyDescent="0.2">
      <c r="A46" s="49">
        <f>+A41</f>
        <v>37193</v>
      </c>
      <c r="B46" s="32"/>
      <c r="C46" s="32"/>
      <c r="D46" s="370">
        <f>+D37</f>
        <v>-38445</v>
      </c>
    </row>
    <row r="47" spans="1:4" x14ac:dyDescent="0.2">
      <c r="A47" s="32"/>
      <c r="B47" s="32"/>
      <c r="C47" s="32"/>
      <c r="D47" s="14">
        <f>+D46+D45</f>
        <v>83854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  <sheetView workbookViewId="1"/>
    <sheetView tabSelected="1" workbookViewId="2">
      <selection activeCell="C17" sqref="C17"/>
    </sheetView>
    <sheetView topLeftCell="A11" workbookViewId="3">
      <selection activeCell="A16" sqref="A16"/>
    </sheetView>
  </sheetViews>
  <sheetFormatPr defaultRowHeight="12.75" x14ac:dyDescent="0.2"/>
  <cols>
    <col min="1" max="1" width="22.140625" style="302" bestFit="1" customWidth="1"/>
    <col min="2" max="2" width="11.5703125" style="302" bestFit="1" customWidth="1"/>
    <col min="3" max="3" width="10.28515625" style="302" customWidth="1"/>
    <col min="4" max="4" width="11.42578125" style="302" bestFit="1" customWidth="1"/>
    <col min="5" max="5" width="11.85546875" style="302" bestFit="1" customWidth="1"/>
    <col min="6" max="7" width="11" style="302" bestFit="1" customWidth="1"/>
    <col min="8" max="10" width="11.28515625" style="302" bestFit="1" customWidth="1"/>
    <col min="11" max="11" width="13.140625" style="302" bestFit="1" customWidth="1"/>
    <col min="12" max="12" width="11.140625" style="302" bestFit="1" customWidth="1"/>
    <col min="13" max="13" width="9.5703125" style="302" bestFit="1" customWidth="1"/>
    <col min="14" max="14" width="10" style="302" bestFit="1" customWidth="1"/>
    <col min="15" max="16384" width="9.140625" style="302"/>
  </cols>
  <sheetData>
    <row r="3" spans="1:50" x14ac:dyDescent="0.2">
      <c r="A3" s="483" t="s">
        <v>170</v>
      </c>
      <c r="B3" s="484"/>
      <c r="C3" s="485"/>
      <c r="E3" s="149"/>
    </row>
    <row r="4" spans="1:50" x14ac:dyDescent="0.2">
      <c r="A4" s="206"/>
      <c r="B4" s="486"/>
      <c r="C4" s="486"/>
      <c r="D4" s="486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87" t="s">
        <v>90</v>
      </c>
      <c r="B5" s="488">
        <v>36861</v>
      </c>
      <c r="C5" s="488">
        <v>36892</v>
      </c>
      <c r="D5" s="489">
        <v>36923</v>
      </c>
      <c r="E5" s="489">
        <v>36951</v>
      </c>
      <c r="F5" s="489">
        <v>36982</v>
      </c>
      <c r="G5" s="489">
        <v>37012</v>
      </c>
      <c r="H5" s="495">
        <v>37043</v>
      </c>
      <c r="I5" s="490">
        <v>37073</v>
      </c>
      <c r="J5" s="490">
        <v>37104</v>
      </c>
      <c r="K5" s="490">
        <v>37135</v>
      </c>
      <c r="L5" s="550">
        <f>+Mojave!A40</f>
        <v>37193</v>
      </c>
      <c r="M5" s="491"/>
      <c r="N5" s="492"/>
      <c r="O5" s="491"/>
      <c r="P5" s="491"/>
      <c r="Q5" s="491"/>
      <c r="R5" s="491"/>
      <c r="S5" s="491"/>
      <c r="T5" s="492"/>
      <c r="U5" s="492"/>
      <c r="V5" s="492"/>
      <c r="W5" s="492"/>
      <c r="X5" s="492"/>
      <c r="Y5" s="492"/>
      <c r="Z5" s="492"/>
      <c r="AA5" s="492"/>
      <c r="AB5" s="492"/>
      <c r="AC5" s="492"/>
      <c r="AD5" s="492"/>
      <c r="AE5" s="492"/>
      <c r="AF5" s="492"/>
      <c r="AG5" s="492"/>
    </row>
    <row r="6" spans="1:50" x14ac:dyDescent="0.2">
      <c r="A6" s="493"/>
      <c r="B6" s="497"/>
      <c r="C6" s="497"/>
      <c r="D6" s="497"/>
      <c r="E6" s="497"/>
      <c r="F6" s="497"/>
      <c r="G6" s="497"/>
      <c r="H6" s="501"/>
      <c r="I6" s="501"/>
      <c r="J6" s="501"/>
      <c r="K6" s="501"/>
      <c r="L6" s="501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7"/>
      <c r="AA6" s="497"/>
      <c r="AB6" s="497"/>
      <c r="AC6" s="497"/>
      <c r="AD6" s="497"/>
      <c r="AE6" s="497"/>
      <c r="AF6" s="497"/>
      <c r="AG6" s="497"/>
      <c r="AH6" s="497"/>
    </row>
    <row r="7" spans="1:50" x14ac:dyDescent="0.2">
      <c r="A7" s="206" t="s">
        <v>95</v>
      </c>
      <c r="B7" s="497">
        <v>75659</v>
      </c>
      <c r="C7" s="496">
        <v>63393</v>
      </c>
      <c r="D7" s="497">
        <v>41052</v>
      </c>
      <c r="E7" s="497">
        <v>3829</v>
      </c>
      <c r="F7" s="497">
        <v>26482</v>
      </c>
      <c r="G7" s="498">
        <v>3949</v>
      </c>
      <c r="H7" s="497">
        <v>133095</v>
      </c>
      <c r="I7" s="497">
        <v>135803</v>
      </c>
      <c r="J7" s="497">
        <v>151464</v>
      </c>
      <c r="K7" s="497">
        <v>134900.51</v>
      </c>
      <c r="L7" s="497">
        <f>+Mojave!D40</f>
        <v>166696</v>
      </c>
      <c r="M7" s="497"/>
      <c r="N7" s="497"/>
      <c r="O7" s="497"/>
      <c r="P7" s="497"/>
      <c r="Q7" s="497"/>
      <c r="R7" s="497"/>
      <c r="S7" s="497"/>
      <c r="T7" s="497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7"/>
      <c r="AF7" s="497"/>
      <c r="AG7" s="497"/>
      <c r="AH7" s="497"/>
      <c r="AI7" s="499"/>
      <c r="AJ7" s="499"/>
      <c r="AK7" s="499"/>
      <c r="AL7" s="499"/>
      <c r="AM7" s="499"/>
      <c r="AN7" s="499"/>
      <c r="AO7" s="499"/>
      <c r="AP7" s="499"/>
      <c r="AQ7" s="499"/>
      <c r="AR7" s="499"/>
      <c r="AS7" s="499"/>
      <c r="AT7" s="499"/>
      <c r="AU7" s="499"/>
      <c r="AV7" s="499"/>
      <c r="AW7" s="499"/>
      <c r="AX7" s="499"/>
    </row>
    <row r="8" spans="1:50" x14ac:dyDescent="0.2">
      <c r="A8" s="206" t="s">
        <v>33</v>
      </c>
      <c r="B8" s="497">
        <v>-42847</v>
      </c>
      <c r="C8" s="496">
        <v>-2392</v>
      </c>
      <c r="D8" s="497">
        <v>-1948</v>
      </c>
      <c r="E8" s="497">
        <v>47976</v>
      </c>
      <c r="F8" s="497">
        <v>39224</v>
      </c>
      <c r="G8" s="498">
        <v>-21565</v>
      </c>
      <c r="H8" s="497">
        <v>123192</v>
      </c>
      <c r="I8" s="497">
        <v>145102</v>
      </c>
      <c r="J8" s="497">
        <v>151133</v>
      </c>
      <c r="K8" s="497">
        <v>294649</v>
      </c>
      <c r="L8" s="497">
        <f>+SoCal!F40</f>
        <v>298318</v>
      </c>
      <c r="M8" s="497"/>
      <c r="N8" s="497"/>
      <c r="O8" s="497"/>
      <c r="P8" s="497"/>
      <c r="Q8" s="497"/>
      <c r="R8" s="497"/>
      <c r="S8" s="497"/>
      <c r="T8" s="497"/>
      <c r="U8" s="497"/>
      <c r="V8" s="497"/>
      <c r="W8" s="497"/>
      <c r="X8" s="497"/>
      <c r="Y8" s="497"/>
      <c r="Z8" s="497"/>
      <c r="AA8" s="497"/>
      <c r="AB8" s="497"/>
      <c r="AC8" s="497"/>
      <c r="AD8" s="497"/>
      <c r="AE8" s="497"/>
      <c r="AF8" s="497"/>
      <c r="AG8" s="497"/>
      <c r="AH8" s="497"/>
      <c r="AI8" s="499"/>
      <c r="AJ8" s="499"/>
      <c r="AK8" s="499"/>
      <c r="AL8" s="499"/>
      <c r="AM8" s="499"/>
      <c r="AN8" s="499"/>
      <c r="AO8" s="499"/>
      <c r="AP8" s="499"/>
      <c r="AQ8" s="499"/>
      <c r="AR8" s="499"/>
      <c r="AS8" s="499"/>
      <c r="AT8" s="499"/>
      <c r="AU8" s="499"/>
      <c r="AV8" s="499"/>
      <c r="AW8" s="499"/>
      <c r="AX8" s="499"/>
    </row>
    <row r="9" spans="1:50" x14ac:dyDescent="0.2">
      <c r="A9" s="206" t="s">
        <v>115</v>
      </c>
      <c r="B9" s="497">
        <v>147492</v>
      </c>
      <c r="C9" s="496">
        <v>59676</v>
      </c>
      <c r="D9" s="497">
        <v>69410</v>
      </c>
      <c r="E9" s="497">
        <v>93592</v>
      </c>
      <c r="F9" s="497">
        <v>38770</v>
      </c>
      <c r="G9" s="498">
        <v>-10045</v>
      </c>
      <c r="H9" s="497">
        <v>-12760</v>
      </c>
      <c r="I9" s="497">
        <v>24900</v>
      </c>
      <c r="J9" s="497">
        <v>43542</v>
      </c>
      <c r="K9" s="497">
        <v>73067</v>
      </c>
      <c r="L9" s="497">
        <f>+'PG&amp;E'!D40</f>
        <v>86058</v>
      </c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7"/>
      <c r="AI9" s="499"/>
      <c r="AJ9" s="499"/>
      <c r="AK9" s="499"/>
      <c r="AL9" s="499"/>
      <c r="AM9" s="499"/>
      <c r="AN9" s="499"/>
      <c r="AO9" s="499"/>
      <c r="AP9" s="499"/>
      <c r="AQ9" s="499"/>
      <c r="AR9" s="499"/>
      <c r="AS9" s="499"/>
      <c r="AT9" s="499"/>
      <c r="AU9" s="499"/>
      <c r="AV9" s="499"/>
      <c r="AW9" s="499"/>
      <c r="AX9" s="499"/>
    </row>
    <row r="10" spans="1:50" x14ac:dyDescent="0.2">
      <c r="A10" s="206" t="s">
        <v>188</v>
      </c>
      <c r="B10" s="497">
        <v>-7121</v>
      </c>
      <c r="C10" s="497">
        <v>-7121</v>
      </c>
      <c r="D10" s="497">
        <v>-7121</v>
      </c>
      <c r="E10" s="497">
        <v>23739</v>
      </c>
      <c r="F10" s="497">
        <v>47545</v>
      </c>
      <c r="G10" s="497">
        <v>47545</v>
      </c>
      <c r="H10" s="497">
        <v>50521</v>
      </c>
      <c r="I10" s="497">
        <v>64269</v>
      </c>
      <c r="J10" s="497">
        <v>64269</v>
      </c>
      <c r="K10" s="497">
        <v>64269</v>
      </c>
      <c r="L10" s="497">
        <f>+'El Paso'!C39</f>
        <v>64269</v>
      </c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9"/>
      <c r="AJ10" s="499"/>
      <c r="AK10" s="499"/>
      <c r="AL10" s="499"/>
      <c r="AM10" s="499"/>
      <c r="AN10" s="499"/>
      <c r="AO10" s="499"/>
      <c r="AP10" s="499"/>
      <c r="AQ10" s="499"/>
      <c r="AR10" s="499"/>
      <c r="AS10" s="499"/>
      <c r="AT10" s="499"/>
      <c r="AU10" s="499"/>
      <c r="AV10" s="499"/>
      <c r="AW10" s="499"/>
      <c r="AX10" s="499"/>
    </row>
    <row r="11" spans="1:50" x14ac:dyDescent="0.2">
      <c r="A11" s="206" t="s">
        <v>211</v>
      </c>
      <c r="B11" s="497">
        <v>-32074</v>
      </c>
      <c r="C11" s="496">
        <v>-32074</v>
      </c>
      <c r="D11" s="497">
        <v>-25783</v>
      </c>
      <c r="E11" s="497">
        <v>-25783</v>
      </c>
      <c r="F11" s="497">
        <v>19880</v>
      </c>
      <c r="G11" s="498">
        <v>37616</v>
      </c>
      <c r="H11" s="498">
        <v>72277</v>
      </c>
      <c r="I11" s="497">
        <v>30271</v>
      </c>
      <c r="J11" s="497">
        <v>12393</v>
      </c>
      <c r="K11" s="497">
        <v>8222</v>
      </c>
      <c r="L11" s="497">
        <f>+NGPL!C34-NGPL!B34+volvalue!K11</f>
        <v>13595</v>
      </c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497"/>
      <c r="X11" s="497"/>
      <c r="Y11" s="497"/>
      <c r="Z11" s="497"/>
      <c r="AA11" s="497"/>
      <c r="AB11" s="497"/>
      <c r="AC11" s="497"/>
      <c r="AD11" s="497"/>
      <c r="AE11" s="497"/>
      <c r="AF11" s="497"/>
      <c r="AG11" s="497"/>
      <c r="AH11" s="497"/>
      <c r="AI11" s="499"/>
      <c r="AJ11" s="499"/>
      <c r="AK11" s="499"/>
      <c r="AL11" s="499"/>
      <c r="AM11" s="499"/>
      <c r="AN11" s="499"/>
      <c r="AO11" s="499"/>
      <c r="AP11" s="499"/>
      <c r="AQ11" s="499"/>
      <c r="AR11" s="499"/>
      <c r="AS11" s="499"/>
      <c r="AT11" s="499"/>
      <c r="AU11" s="499"/>
      <c r="AV11" s="499"/>
      <c r="AW11" s="499"/>
      <c r="AX11" s="499"/>
    </row>
    <row r="12" spans="1:50" x14ac:dyDescent="0.2">
      <c r="A12" s="502" t="s">
        <v>212</v>
      </c>
      <c r="B12" s="503">
        <v>81654</v>
      </c>
      <c r="C12" s="505">
        <v>79650</v>
      </c>
      <c r="D12" s="503">
        <v>30618</v>
      </c>
      <c r="E12" s="503">
        <v>43969</v>
      </c>
      <c r="F12" s="503">
        <v>37185</v>
      </c>
      <c r="G12" s="504">
        <v>54911</v>
      </c>
      <c r="H12" s="504">
        <v>120061</v>
      </c>
      <c r="I12" s="503">
        <v>120061</v>
      </c>
      <c r="J12" s="503">
        <v>127284</v>
      </c>
      <c r="K12" s="503">
        <v>107975</v>
      </c>
      <c r="L12" s="511">
        <f>+NGPL!E34-NGPL!D34+volvalue!K12</f>
        <v>129098</v>
      </c>
      <c r="N12" s="497"/>
      <c r="O12" s="497"/>
      <c r="P12" s="497"/>
      <c r="Q12" s="497"/>
      <c r="R12" s="497"/>
      <c r="S12" s="497"/>
      <c r="T12" s="497"/>
      <c r="U12" s="497"/>
      <c r="V12" s="497"/>
      <c r="W12" s="497"/>
      <c r="X12" s="497"/>
      <c r="Y12" s="497"/>
      <c r="Z12" s="497"/>
      <c r="AA12" s="497"/>
      <c r="AB12" s="497"/>
      <c r="AC12" s="497"/>
      <c r="AD12" s="497"/>
      <c r="AE12" s="497"/>
      <c r="AF12" s="497"/>
      <c r="AG12" s="497"/>
      <c r="AH12" s="497"/>
      <c r="AI12" s="499"/>
      <c r="AJ12" s="499"/>
      <c r="AK12" s="499"/>
      <c r="AL12" s="499"/>
      <c r="AM12" s="499"/>
      <c r="AN12" s="499"/>
      <c r="AO12" s="499"/>
      <c r="AP12" s="499"/>
      <c r="AQ12" s="499"/>
      <c r="AR12" s="499"/>
      <c r="AS12" s="499"/>
      <c r="AT12" s="499"/>
      <c r="AU12" s="499"/>
      <c r="AV12" s="499"/>
      <c r="AW12" s="499"/>
      <c r="AX12" s="499"/>
    </row>
    <row r="13" spans="1:50" x14ac:dyDescent="0.2">
      <c r="A13" s="206" t="s">
        <v>145</v>
      </c>
      <c r="B13" s="497">
        <v>11018</v>
      </c>
      <c r="C13" s="496">
        <v>12567</v>
      </c>
      <c r="D13" s="500">
        <v>19121</v>
      </c>
      <c r="E13" s="497">
        <v>30904</v>
      </c>
      <c r="F13" s="497">
        <v>33216</v>
      </c>
      <c r="G13" s="498">
        <v>27926</v>
      </c>
      <c r="H13" s="497">
        <v>95102</v>
      </c>
      <c r="I13" s="497">
        <v>76325</v>
      </c>
      <c r="J13" s="497">
        <v>48988</v>
      </c>
      <c r="K13" s="497">
        <v>-29618</v>
      </c>
      <c r="L13" s="497">
        <f>+PEPL!D41</f>
        <v>-27477</v>
      </c>
      <c r="M13" s="497"/>
      <c r="N13" s="497"/>
      <c r="O13" s="497"/>
      <c r="P13" s="497"/>
      <c r="Q13" s="497"/>
      <c r="R13" s="497"/>
      <c r="S13" s="497"/>
      <c r="T13" s="497"/>
      <c r="U13" s="497"/>
      <c r="V13" s="497"/>
      <c r="W13" s="497"/>
      <c r="X13" s="497"/>
      <c r="Y13" s="497"/>
      <c r="Z13" s="497"/>
      <c r="AA13" s="497"/>
      <c r="AB13" s="497"/>
      <c r="AC13" s="497"/>
      <c r="AD13" s="497"/>
      <c r="AE13" s="497"/>
      <c r="AF13" s="497"/>
      <c r="AG13" s="497"/>
      <c r="AH13" s="497"/>
      <c r="AI13" s="499"/>
      <c r="AJ13" s="499"/>
      <c r="AK13" s="499"/>
      <c r="AL13" s="499"/>
      <c r="AM13" s="499"/>
      <c r="AN13" s="499"/>
      <c r="AO13" s="499"/>
      <c r="AP13" s="499"/>
      <c r="AQ13" s="499"/>
      <c r="AR13" s="499"/>
      <c r="AS13" s="499"/>
      <c r="AT13" s="499"/>
      <c r="AU13" s="499"/>
      <c r="AV13" s="499"/>
      <c r="AW13" s="499"/>
      <c r="AX13" s="499"/>
    </row>
    <row r="14" spans="1:50" x14ac:dyDescent="0.2">
      <c r="A14" s="206" t="s">
        <v>7</v>
      </c>
      <c r="B14" s="497">
        <v>70928</v>
      </c>
      <c r="C14" s="496">
        <v>24533</v>
      </c>
      <c r="D14" s="497">
        <v>29886</v>
      </c>
      <c r="E14" s="497">
        <v>22591</v>
      </c>
      <c r="F14" s="497">
        <v>45729</v>
      </c>
      <c r="G14" s="498">
        <v>1307</v>
      </c>
      <c r="H14" s="497">
        <v>28278</v>
      </c>
      <c r="I14" s="497">
        <v>34979</v>
      </c>
      <c r="J14" s="497">
        <v>47553</v>
      </c>
      <c r="K14" s="497">
        <v>58685</v>
      </c>
      <c r="L14" s="497">
        <f>+Oasis!D40</f>
        <v>47677</v>
      </c>
      <c r="M14" s="497"/>
      <c r="N14" s="497"/>
      <c r="O14" s="497"/>
      <c r="P14" s="497"/>
      <c r="Q14" s="497"/>
      <c r="R14" s="497"/>
      <c r="S14" s="497"/>
      <c r="T14" s="497"/>
      <c r="U14" s="497"/>
      <c r="V14" s="497"/>
      <c r="W14" s="497"/>
      <c r="X14" s="497"/>
      <c r="Y14" s="497"/>
      <c r="Z14" s="497"/>
      <c r="AA14" s="497"/>
      <c r="AB14" s="497"/>
      <c r="AC14" s="497"/>
      <c r="AD14" s="497"/>
      <c r="AE14" s="497"/>
      <c r="AF14" s="497"/>
      <c r="AG14" s="497"/>
      <c r="AH14" s="497"/>
      <c r="AI14" s="499"/>
      <c r="AJ14" s="499"/>
      <c r="AK14" s="499"/>
      <c r="AL14" s="499"/>
      <c r="AM14" s="499"/>
      <c r="AN14" s="499"/>
      <c r="AO14" s="499"/>
      <c r="AP14" s="499"/>
      <c r="AQ14" s="499"/>
      <c r="AR14" s="499"/>
      <c r="AS14" s="499"/>
      <c r="AT14" s="499"/>
      <c r="AU14" s="499"/>
      <c r="AV14" s="499"/>
      <c r="AW14" s="499"/>
      <c r="AX14" s="499"/>
    </row>
    <row r="15" spans="1:50" x14ac:dyDescent="0.2">
      <c r="A15" s="206" t="s">
        <v>32</v>
      </c>
      <c r="B15" s="497">
        <v>-7752</v>
      </c>
      <c r="C15" s="496">
        <v>3487</v>
      </c>
      <c r="D15" s="497">
        <v>3487</v>
      </c>
      <c r="E15" s="497">
        <v>6729</v>
      </c>
      <c r="F15" s="497">
        <v>54217</v>
      </c>
      <c r="G15" s="498">
        <v>61895</v>
      </c>
      <c r="H15" s="497">
        <v>69314</v>
      </c>
      <c r="I15" s="497">
        <v>36339</v>
      </c>
      <c r="J15" s="497">
        <v>73003</v>
      </c>
      <c r="K15" s="497">
        <v>69880</v>
      </c>
      <c r="L15" s="497">
        <f>+Lonestar!F42</f>
        <v>176</v>
      </c>
      <c r="M15" s="497"/>
      <c r="N15" s="497"/>
      <c r="O15" s="497"/>
      <c r="P15" s="497"/>
      <c r="Q15" s="497"/>
      <c r="R15" s="497"/>
      <c r="S15" s="497"/>
      <c r="T15" s="497"/>
      <c r="U15" s="497"/>
      <c r="V15" s="497"/>
      <c r="W15" s="497"/>
      <c r="X15" s="497"/>
      <c r="Y15" s="497"/>
      <c r="Z15" s="497"/>
      <c r="AA15" s="497"/>
      <c r="AB15" s="497"/>
      <c r="AC15" s="497"/>
      <c r="AD15" s="497"/>
      <c r="AE15" s="497"/>
      <c r="AF15" s="497"/>
      <c r="AG15" s="497"/>
      <c r="AH15" s="497"/>
      <c r="AI15" s="499"/>
      <c r="AJ15" s="499"/>
      <c r="AK15" s="499"/>
      <c r="AL15" s="499"/>
      <c r="AM15" s="499"/>
      <c r="AN15" s="499"/>
      <c r="AO15" s="499"/>
      <c r="AP15" s="499"/>
      <c r="AQ15" s="499"/>
      <c r="AR15" s="499"/>
      <c r="AS15" s="499"/>
      <c r="AT15" s="499"/>
      <c r="AU15" s="499"/>
      <c r="AV15" s="499"/>
      <c r="AW15" s="499"/>
      <c r="AX15" s="499"/>
    </row>
    <row r="16" spans="1:50" x14ac:dyDescent="0.2">
      <c r="A16" s="206"/>
      <c r="B16" s="497">
        <f>SUM(B7:B15)</f>
        <v>296957</v>
      </c>
      <c r="C16" s="497">
        <f>SUM(C7:C15)</f>
        <v>201719</v>
      </c>
      <c r="D16" s="497">
        <f t="shared" ref="D16:L16" si="0">SUM(D7:D15)</f>
        <v>158722</v>
      </c>
      <c r="E16" s="497">
        <f t="shared" si="0"/>
        <v>247546</v>
      </c>
      <c r="F16" s="497">
        <f t="shared" si="0"/>
        <v>342248</v>
      </c>
      <c r="G16" s="497">
        <f t="shared" si="0"/>
        <v>203539</v>
      </c>
      <c r="H16" s="497">
        <f t="shared" si="0"/>
        <v>679080</v>
      </c>
      <c r="I16" s="497">
        <f t="shared" si="0"/>
        <v>668049</v>
      </c>
      <c r="J16" s="497">
        <f t="shared" si="0"/>
        <v>719629</v>
      </c>
      <c r="K16" s="497">
        <f t="shared" si="0"/>
        <v>782029.51</v>
      </c>
      <c r="L16" s="497">
        <f t="shared" si="0"/>
        <v>778410</v>
      </c>
      <c r="M16" s="497"/>
      <c r="N16" s="497"/>
      <c r="O16" s="497"/>
      <c r="P16" s="497"/>
      <c r="Q16" s="497"/>
      <c r="R16" s="497"/>
      <c r="S16" s="497"/>
      <c r="T16" s="497"/>
      <c r="U16" s="497"/>
      <c r="V16" s="497"/>
      <c r="W16" s="497"/>
      <c r="X16" s="497"/>
      <c r="Y16" s="497"/>
      <c r="Z16" s="497"/>
      <c r="AA16" s="497"/>
      <c r="AB16" s="497"/>
      <c r="AC16" s="497"/>
      <c r="AD16" s="497"/>
      <c r="AE16" s="497"/>
      <c r="AF16" s="497"/>
      <c r="AG16" s="497"/>
      <c r="AH16" s="497"/>
      <c r="AI16" s="499"/>
      <c r="AJ16" s="499"/>
      <c r="AK16" s="499"/>
      <c r="AL16" s="499"/>
      <c r="AM16" s="499"/>
      <c r="AN16" s="499"/>
      <c r="AO16" s="499"/>
      <c r="AP16" s="499"/>
      <c r="AQ16" s="499"/>
      <c r="AR16" s="499"/>
      <c r="AS16" s="499"/>
      <c r="AT16" s="499"/>
      <c r="AU16" s="499"/>
      <c r="AV16" s="499"/>
      <c r="AW16" s="499"/>
      <c r="AX16" s="499"/>
    </row>
    <row r="18" spans="1:50" x14ac:dyDescent="0.2">
      <c r="A18" s="506" t="s">
        <v>213</v>
      </c>
      <c r="B18" s="507"/>
      <c r="C18" s="507">
        <v>8.2100000000000009</v>
      </c>
      <c r="D18" s="507">
        <v>5.62</v>
      </c>
      <c r="E18" s="507">
        <v>4.9800000000000004</v>
      </c>
      <c r="F18" s="507">
        <v>4.87</v>
      </c>
      <c r="G18" s="507">
        <v>3.82</v>
      </c>
      <c r="H18" s="507">
        <v>3.2</v>
      </c>
      <c r="I18" s="507">
        <v>2.77</v>
      </c>
      <c r="J18" s="507">
        <v>2.77</v>
      </c>
      <c r="K18" s="507">
        <v>1.88</v>
      </c>
      <c r="L18" s="507">
        <f>+'[1]1001'!$M$39</f>
        <v>2.0699999999999998</v>
      </c>
      <c r="M18" s="507"/>
      <c r="N18" s="507"/>
      <c r="O18" s="497"/>
      <c r="P18" s="497"/>
      <c r="Q18" s="497"/>
      <c r="R18" s="497"/>
      <c r="S18" s="497"/>
      <c r="T18" s="497"/>
      <c r="U18" s="497"/>
      <c r="V18" s="497"/>
      <c r="W18" s="497"/>
      <c r="X18" s="497"/>
      <c r="Y18" s="497"/>
      <c r="Z18" s="497"/>
      <c r="AA18" s="497"/>
      <c r="AB18" s="497"/>
      <c r="AC18" s="497"/>
      <c r="AD18" s="497"/>
      <c r="AE18" s="497"/>
      <c r="AF18" s="497"/>
      <c r="AG18" s="497"/>
      <c r="AH18" s="497"/>
      <c r="AI18" s="499"/>
      <c r="AJ18" s="499"/>
      <c r="AK18" s="499"/>
      <c r="AL18" s="499"/>
      <c r="AM18" s="499"/>
      <c r="AN18" s="499"/>
      <c r="AO18" s="499"/>
      <c r="AP18" s="499"/>
      <c r="AQ18" s="499"/>
      <c r="AR18" s="499"/>
      <c r="AS18" s="499"/>
      <c r="AT18" s="499"/>
      <c r="AU18" s="499"/>
      <c r="AV18" s="499"/>
      <c r="AW18" s="499"/>
      <c r="AX18" s="499"/>
    </row>
    <row r="19" spans="1:50" s="494" customFormat="1" x14ac:dyDescent="0.2">
      <c r="A19" s="366"/>
      <c r="B19" s="508"/>
      <c r="C19" s="509">
        <f t="shared" ref="C19:L19" si="1">+C18*B16</f>
        <v>2438016.9700000002</v>
      </c>
      <c r="D19" s="509">
        <f t="shared" si="1"/>
        <v>1133660.78</v>
      </c>
      <c r="E19" s="509">
        <f t="shared" si="1"/>
        <v>790435.56</v>
      </c>
      <c r="F19" s="509">
        <f t="shared" si="1"/>
        <v>1205549.02</v>
      </c>
      <c r="G19" s="509">
        <f t="shared" si="1"/>
        <v>1307387.3599999999</v>
      </c>
      <c r="H19" s="509">
        <f t="shared" si="1"/>
        <v>651324.80000000005</v>
      </c>
      <c r="I19" s="509">
        <f t="shared" si="1"/>
        <v>1881051.6</v>
      </c>
      <c r="J19" s="509">
        <f t="shared" si="1"/>
        <v>1850495.73</v>
      </c>
      <c r="K19" s="509">
        <f t="shared" si="1"/>
        <v>1352902.52</v>
      </c>
      <c r="L19" s="509">
        <f t="shared" si="1"/>
        <v>1618801.0856999999</v>
      </c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10"/>
      <c r="AJ19" s="510"/>
      <c r="AK19" s="510"/>
      <c r="AL19" s="510"/>
      <c r="AM19" s="510"/>
      <c r="AN19" s="510"/>
      <c r="AO19" s="510"/>
      <c r="AP19" s="510"/>
      <c r="AQ19" s="510"/>
      <c r="AR19" s="510"/>
      <c r="AS19" s="510"/>
      <c r="AT19" s="510"/>
      <c r="AU19" s="510"/>
      <c r="AV19" s="510"/>
      <c r="AW19" s="510"/>
      <c r="AX19" s="510"/>
    </row>
    <row r="20" spans="1:50" s="494" customFormat="1" x14ac:dyDescent="0.2">
      <c r="A20" s="366"/>
      <c r="B20" s="508"/>
      <c r="C20" s="509"/>
      <c r="D20" s="509">
        <f t="shared" ref="D20:L20" si="2">+D19-C19</f>
        <v>-1304356.1900000002</v>
      </c>
      <c r="E20" s="509">
        <f t="shared" si="2"/>
        <v>-343225.22</v>
      </c>
      <c r="F20" s="509">
        <f t="shared" si="2"/>
        <v>415113.45999999996</v>
      </c>
      <c r="G20" s="509">
        <f t="shared" si="2"/>
        <v>101838.33999999985</v>
      </c>
      <c r="H20" s="509">
        <f t="shared" si="2"/>
        <v>-656062.55999999982</v>
      </c>
      <c r="I20" s="509">
        <f t="shared" si="2"/>
        <v>1229726.8</v>
      </c>
      <c r="J20" s="509">
        <f t="shared" si="2"/>
        <v>-30555.870000000112</v>
      </c>
      <c r="K20" s="509">
        <f t="shared" si="2"/>
        <v>-497593.20999999996</v>
      </c>
      <c r="L20" s="509">
        <f t="shared" si="2"/>
        <v>265898.56569999992</v>
      </c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10"/>
      <c r="AJ20" s="510"/>
      <c r="AK20" s="510"/>
      <c r="AL20" s="510"/>
      <c r="AM20" s="510"/>
      <c r="AN20" s="510"/>
      <c r="AO20" s="510"/>
      <c r="AP20" s="510"/>
      <c r="AQ20" s="510"/>
      <c r="AR20" s="510"/>
      <c r="AS20" s="510"/>
      <c r="AT20" s="510"/>
      <c r="AU20" s="510"/>
      <c r="AV20" s="510"/>
      <c r="AW20" s="510"/>
      <c r="AX20" s="510"/>
    </row>
    <row r="21" spans="1:50" s="494" customFormat="1" x14ac:dyDescent="0.2">
      <c r="A21" s="366"/>
      <c r="B21" s="508"/>
      <c r="C21" s="509"/>
      <c r="D21" s="509"/>
      <c r="E21" s="509"/>
      <c r="F21" s="509"/>
      <c r="G21" s="509"/>
      <c r="H21" s="509"/>
      <c r="I21" s="509"/>
      <c r="J21" s="509"/>
      <c r="K21" s="509"/>
      <c r="L21" s="509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10"/>
      <c r="AJ21" s="510"/>
      <c r="AK21" s="510"/>
      <c r="AL21" s="510"/>
      <c r="AM21" s="510"/>
      <c r="AN21" s="510"/>
      <c r="AO21" s="510"/>
      <c r="AP21" s="510"/>
      <c r="AQ21" s="510"/>
      <c r="AR21" s="510"/>
      <c r="AS21" s="510"/>
      <c r="AT21" s="510"/>
      <c r="AU21" s="510"/>
      <c r="AV21" s="510"/>
      <c r="AW21" s="510"/>
      <c r="AX21" s="510"/>
    </row>
    <row r="22" spans="1:50" x14ac:dyDescent="0.2">
      <c r="R22" s="497"/>
      <c r="S22" s="497"/>
      <c r="T22" s="497"/>
      <c r="U22" s="497"/>
      <c r="V22" s="497"/>
      <c r="W22" s="497"/>
      <c r="X22" s="497"/>
      <c r="Y22" s="497"/>
      <c r="Z22" s="497"/>
      <c r="AA22" s="497"/>
      <c r="AB22" s="497"/>
      <c r="AC22" s="497"/>
      <c r="AD22" s="497"/>
      <c r="AE22" s="497"/>
      <c r="AF22" s="497"/>
      <c r="AG22" s="497"/>
      <c r="AH22" s="497"/>
      <c r="AI22" s="499"/>
      <c r="AJ22" s="499"/>
      <c r="AK22" s="499"/>
      <c r="AL22" s="499"/>
      <c r="AM22" s="499"/>
      <c r="AN22" s="499"/>
      <c r="AO22" s="499"/>
      <c r="AP22" s="499"/>
      <c r="AQ22" s="499"/>
      <c r="AR22" s="499"/>
      <c r="AS22" s="499"/>
      <c r="AT22" s="499"/>
      <c r="AU22" s="499"/>
      <c r="AV22" s="499"/>
      <c r="AW22" s="499"/>
      <c r="AX22" s="499"/>
    </row>
    <row r="23" spans="1:50" ht="13.5" customHeight="1" x14ac:dyDescent="0.2">
      <c r="A23" s="206" t="s">
        <v>29</v>
      </c>
      <c r="B23" s="497">
        <v>-70145</v>
      </c>
      <c r="C23" s="496">
        <v>-44467</v>
      </c>
      <c r="D23" s="497">
        <v>-9747</v>
      </c>
      <c r="E23" s="497">
        <v>30129</v>
      </c>
      <c r="F23" s="497">
        <v>121747</v>
      </c>
      <c r="G23" s="498">
        <v>278779</v>
      </c>
      <c r="H23" s="498">
        <v>286331</v>
      </c>
      <c r="I23" s="497">
        <v>310267</v>
      </c>
      <c r="J23" s="497">
        <v>275390</v>
      </c>
      <c r="K23" s="497">
        <v>230460</v>
      </c>
      <c r="L23" s="497">
        <f>+williams!J40</f>
        <v>162658</v>
      </c>
      <c r="M23" s="497"/>
      <c r="N23" s="497"/>
      <c r="O23" s="497"/>
      <c r="P23" s="497"/>
      <c r="Q23" s="497"/>
      <c r="R23" s="497"/>
      <c r="S23" s="497"/>
      <c r="T23" s="497"/>
      <c r="U23" s="497"/>
      <c r="V23" s="497"/>
      <c r="W23" s="497"/>
      <c r="X23" s="497"/>
      <c r="Y23" s="497"/>
      <c r="Z23" s="497"/>
      <c r="AA23" s="497"/>
      <c r="AB23" s="497"/>
      <c r="AC23" s="497"/>
      <c r="AD23" s="497"/>
      <c r="AE23" s="497"/>
      <c r="AF23" s="497"/>
      <c r="AG23" s="497"/>
      <c r="AH23" s="497"/>
      <c r="AI23" s="499"/>
      <c r="AJ23" s="499"/>
      <c r="AK23" s="499"/>
      <c r="AL23" s="499"/>
      <c r="AM23" s="499"/>
      <c r="AN23" s="499"/>
      <c r="AO23" s="499"/>
      <c r="AP23" s="499"/>
      <c r="AQ23" s="499"/>
      <c r="AR23" s="499"/>
      <c r="AS23" s="499"/>
      <c r="AT23" s="499"/>
      <c r="AU23" s="499"/>
      <c r="AV23" s="499"/>
      <c r="AW23" s="499"/>
      <c r="AX23" s="499"/>
    </row>
    <row r="24" spans="1:50" x14ac:dyDescent="0.2">
      <c r="A24" s="206" t="s">
        <v>210</v>
      </c>
      <c r="B24" s="497">
        <v>-55807</v>
      </c>
      <c r="C24" s="496">
        <v>-32211</v>
      </c>
      <c r="D24" s="497">
        <v>-38475</v>
      </c>
      <c r="E24" s="497">
        <v>-32230</v>
      </c>
      <c r="F24" s="497">
        <v>82528</v>
      </c>
      <c r="G24" s="498">
        <v>94855</v>
      </c>
      <c r="H24" s="498">
        <v>59179</v>
      </c>
      <c r="I24" s="497">
        <v>54883</v>
      </c>
      <c r="J24" s="497">
        <v>87070</v>
      </c>
      <c r="K24" s="497">
        <v>50022</v>
      </c>
      <c r="L24" s="497">
        <f>+Amoco!D40</f>
        <v>-5807</v>
      </c>
      <c r="M24" s="512"/>
      <c r="N24" s="512"/>
      <c r="O24" s="497"/>
      <c r="P24" s="497"/>
      <c r="Q24" s="497"/>
      <c r="R24" s="497"/>
      <c r="S24" s="497"/>
      <c r="T24" s="497"/>
      <c r="U24" s="497"/>
      <c r="V24" s="497"/>
      <c r="W24" s="497"/>
      <c r="X24" s="497"/>
      <c r="Y24" s="497"/>
      <c r="Z24" s="497"/>
      <c r="AA24" s="497"/>
      <c r="AB24" s="497"/>
      <c r="AC24" s="497"/>
      <c r="AD24" s="497"/>
      <c r="AE24" s="497"/>
      <c r="AF24" s="497"/>
      <c r="AG24" s="497"/>
      <c r="AH24" s="497"/>
      <c r="AI24" s="499"/>
      <c r="AJ24" s="499"/>
      <c r="AK24" s="499"/>
      <c r="AL24" s="499"/>
      <c r="AM24" s="499"/>
      <c r="AN24" s="499"/>
      <c r="AO24" s="499"/>
      <c r="AP24" s="499"/>
      <c r="AQ24" s="499"/>
      <c r="AR24" s="499"/>
      <c r="AS24" s="499"/>
      <c r="AT24" s="499"/>
      <c r="AU24" s="499"/>
      <c r="AV24" s="499"/>
      <c r="AW24" s="499"/>
      <c r="AX24" s="499"/>
    </row>
    <row r="25" spans="1:50" x14ac:dyDescent="0.2">
      <c r="A25" s="206" t="s">
        <v>189</v>
      </c>
      <c r="B25" s="497">
        <v>268892</v>
      </c>
      <c r="C25" s="496">
        <v>198073</v>
      </c>
      <c r="D25" s="497">
        <v>173680</v>
      </c>
      <c r="E25" s="497">
        <v>168646</v>
      </c>
      <c r="F25" s="497">
        <v>255346</v>
      </c>
      <c r="G25" s="498">
        <v>300960</v>
      </c>
      <c r="H25" s="498">
        <v>170528</v>
      </c>
      <c r="I25" s="497">
        <v>27596</v>
      </c>
      <c r="J25" s="497">
        <v>-65974</v>
      </c>
      <c r="K25" s="497">
        <v>-75692</v>
      </c>
      <c r="L25" s="497">
        <f>+'El Paso'!E39</f>
        <v>-94569</v>
      </c>
      <c r="M25" s="497"/>
      <c r="N25" s="497"/>
      <c r="O25" s="497"/>
      <c r="P25" s="497"/>
      <c r="Q25" s="497"/>
      <c r="R25" s="497"/>
      <c r="S25" s="497"/>
      <c r="T25" s="497"/>
      <c r="U25" s="497"/>
      <c r="V25" s="497"/>
      <c r="W25" s="497"/>
      <c r="X25" s="497"/>
      <c r="Y25" s="497"/>
      <c r="Z25" s="497"/>
      <c r="AA25" s="497"/>
      <c r="AB25" s="497"/>
      <c r="AC25" s="497"/>
      <c r="AD25" s="497"/>
      <c r="AE25" s="497"/>
      <c r="AF25" s="497"/>
      <c r="AG25" s="497"/>
      <c r="AH25" s="497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</row>
    <row r="26" spans="1:50" x14ac:dyDescent="0.2">
      <c r="A26" s="206" t="s">
        <v>1</v>
      </c>
      <c r="B26" s="497">
        <v>-119838</v>
      </c>
      <c r="C26" s="496">
        <v>-60187</v>
      </c>
      <c r="D26" s="497">
        <v>6957</v>
      </c>
      <c r="E26" s="497">
        <v>-37371</v>
      </c>
      <c r="F26" s="497">
        <v>-18982</v>
      </c>
      <c r="G26" s="498">
        <v>-386</v>
      </c>
      <c r="H26" s="498">
        <v>11234</v>
      </c>
      <c r="I26" s="497">
        <v>5110</v>
      </c>
      <c r="J26" s="497">
        <v>70754</v>
      </c>
      <c r="K26" s="497">
        <v>51156</v>
      </c>
      <c r="L26" s="497">
        <f>+NW!F41</f>
        <v>46543</v>
      </c>
      <c r="M26" s="497"/>
      <c r="N26" s="497"/>
      <c r="O26" s="497"/>
      <c r="P26" s="497"/>
      <c r="Q26" s="497"/>
      <c r="R26" s="497"/>
      <c r="S26" s="497"/>
      <c r="T26" s="497"/>
      <c r="U26" s="497"/>
      <c r="V26" s="497"/>
      <c r="W26" s="497"/>
      <c r="X26" s="497"/>
      <c r="Y26" s="497"/>
      <c r="Z26" s="497"/>
      <c r="AA26" s="497"/>
      <c r="AB26" s="497"/>
      <c r="AC26" s="497"/>
      <c r="AD26" s="497"/>
      <c r="AE26" s="497"/>
      <c r="AF26" s="497"/>
      <c r="AG26" s="497"/>
      <c r="AH26" s="497"/>
      <c r="AI26" s="499"/>
      <c r="AJ26" s="499"/>
      <c r="AK26" s="499"/>
      <c r="AL26" s="499"/>
      <c r="AM26" s="499"/>
      <c r="AN26" s="499"/>
      <c r="AO26" s="499"/>
      <c r="AP26" s="499"/>
      <c r="AQ26" s="499"/>
      <c r="AR26" s="499"/>
      <c r="AS26" s="499"/>
      <c r="AT26" s="499"/>
      <c r="AU26" s="499"/>
      <c r="AV26" s="499"/>
      <c r="AW26" s="499"/>
      <c r="AX26" s="499"/>
    </row>
    <row r="27" spans="1:50" x14ac:dyDescent="0.2">
      <c r="A27" s="206"/>
      <c r="B27" s="497">
        <f t="shared" ref="B27:L27" si="3">SUM(B23:B26)</f>
        <v>23102</v>
      </c>
      <c r="C27" s="497">
        <f t="shared" si="3"/>
        <v>61208</v>
      </c>
      <c r="D27" s="497">
        <f t="shared" si="3"/>
        <v>132415</v>
      </c>
      <c r="E27" s="497">
        <f t="shared" si="3"/>
        <v>129174</v>
      </c>
      <c r="F27" s="497">
        <f t="shared" si="3"/>
        <v>440639</v>
      </c>
      <c r="G27" s="497">
        <f t="shared" si="3"/>
        <v>674208</v>
      </c>
      <c r="H27" s="497">
        <f t="shared" si="3"/>
        <v>527272</v>
      </c>
      <c r="I27" s="497">
        <f t="shared" si="3"/>
        <v>397856</v>
      </c>
      <c r="J27" s="497">
        <f t="shared" si="3"/>
        <v>367240</v>
      </c>
      <c r="K27" s="497">
        <f t="shared" si="3"/>
        <v>255946</v>
      </c>
      <c r="L27" s="497">
        <f t="shared" si="3"/>
        <v>108825</v>
      </c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7"/>
      <c r="X27" s="497"/>
      <c r="Y27" s="497"/>
      <c r="Z27" s="497"/>
      <c r="AA27" s="497"/>
      <c r="AB27" s="497"/>
      <c r="AC27" s="497"/>
      <c r="AD27" s="497"/>
      <c r="AE27" s="497"/>
      <c r="AF27" s="497"/>
      <c r="AG27" s="497"/>
      <c r="AH27" s="497"/>
      <c r="AI27" s="499"/>
      <c r="AJ27" s="499"/>
      <c r="AK27" s="499"/>
      <c r="AL27" s="499"/>
      <c r="AM27" s="499"/>
      <c r="AN27" s="499"/>
      <c r="AO27" s="499"/>
      <c r="AP27" s="499"/>
      <c r="AQ27" s="499"/>
      <c r="AR27" s="499"/>
      <c r="AS27" s="499"/>
      <c r="AT27" s="499"/>
      <c r="AU27" s="499"/>
      <c r="AV27" s="499"/>
      <c r="AW27" s="499"/>
      <c r="AX27" s="499"/>
    </row>
    <row r="29" spans="1:50" x14ac:dyDescent="0.2">
      <c r="A29" s="506" t="s">
        <v>214</v>
      </c>
      <c r="B29" s="507"/>
      <c r="C29" s="507">
        <v>8.1</v>
      </c>
      <c r="D29" s="507">
        <v>5.61</v>
      </c>
      <c r="E29" s="507">
        <v>4.87</v>
      </c>
      <c r="F29" s="507">
        <v>4.62</v>
      </c>
      <c r="G29" s="507">
        <v>3.44</v>
      </c>
      <c r="H29" s="507">
        <v>2.58</v>
      </c>
      <c r="I29" s="507">
        <v>2.4500000000000002</v>
      </c>
      <c r="J29" s="507">
        <v>2.61</v>
      </c>
      <c r="K29" s="507">
        <v>1.73</v>
      </c>
      <c r="L29" s="507">
        <f>+'[1]1001'!$K$39</f>
        <v>2</v>
      </c>
      <c r="M29" s="507"/>
      <c r="N29" s="50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497"/>
      <c r="AA29" s="497"/>
      <c r="AB29" s="497"/>
      <c r="AC29" s="497"/>
      <c r="AD29" s="497"/>
      <c r="AE29" s="497"/>
      <c r="AF29" s="497"/>
      <c r="AG29" s="497"/>
      <c r="AH29" s="497"/>
      <c r="AI29" s="499"/>
      <c r="AJ29" s="499"/>
      <c r="AK29" s="499"/>
      <c r="AL29" s="499"/>
      <c r="AM29" s="499"/>
      <c r="AN29" s="499"/>
      <c r="AO29" s="499"/>
      <c r="AP29" s="499"/>
      <c r="AQ29" s="499"/>
      <c r="AR29" s="499"/>
      <c r="AS29" s="499"/>
      <c r="AT29" s="499"/>
      <c r="AU29" s="499"/>
      <c r="AV29" s="499"/>
      <c r="AW29" s="499"/>
      <c r="AX29" s="499"/>
    </row>
    <row r="30" spans="1:50" x14ac:dyDescent="0.2">
      <c r="A30" s="206"/>
      <c r="B30" s="497"/>
      <c r="C30" s="497">
        <f t="shared" ref="C30:J30" si="4">+C29*B27</f>
        <v>187126.19999999998</v>
      </c>
      <c r="D30" s="497">
        <f t="shared" si="4"/>
        <v>343376.88</v>
      </c>
      <c r="E30" s="497">
        <f t="shared" si="4"/>
        <v>644861.05000000005</v>
      </c>
      <c r="F30" s="497">
        <f t="shared" si="4"/>
        <v>596783.88</v>
      </c>
      <c r="G30" s="497">
        <f t="shared" si="4"/>
        <v>1515798.16</v>
      </c>
      <c r="H30" s="497">
        <f t="shared" si="4"/>
        <v>1739456.6400000001</v>
      </c>
      <c r="I30" s="497">
        <f t="shared" si="4"/>
        <v>1291816.4000000001</v>
      </c>
      <c r="J30" s="497">
        <f t="shared" si="4"/>
        <v>1038404.1599999999</v>
      </c>
      <c r="K30" s="497">
        <f>+J27*K29</f>
        <v>635325.19999999995</v>
      </c>
      <c r="L30" s="497">
        <f>+K27*L29</f>
        <v>511892</v>
      </c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497"/>
      <c r="AB30" s="497"/>
      <c r="AC30" s="497"/>
      <c r="AD30" s="497"/>
      <c r="AE30" s="497"/>
      <c r="AF30" s="497"/>
      <c r="AG30" s="497"/>
      <c r="AH30" s="497"/>
      <c r="AI30" s="499"/>
      <c r="AJ30" s="499"/>
      <c r="AK30" s="499"/>
      <c r="AL30" s="499"/>
      <c r="AM30" s="499"/>
      <c r="AN30" s="499"/>
      <c r="AO30" s="499"/>
      <c r="AP30" s="499"/>
      <c r="AQ30" s="499"/>
      <c r="AR30" s="499"/>
      <c r="AS30" s="499"/>
      <c r="AT30" s="499"/>
      <c r="AU30" s="499"/>
      <c r="AV30" s="499"/>
      <c r="AW30" s="499"/>
      <c r="AX30" s="499"/>
    </row>
    <row r="31" spans="1:50" s="499" customFormat="1" ht="12" x14ac:dyDescent="0.2">
      <c r="D31" s="511">
        <f t="shared" ref="D31:L31" si="5">+D30-C30</f>
        <v>156250.68000000002</v>
      </c>
      <c r="E31" s="511">
        <f t="shared" si="5"/>
        <v>301484.17000000004</v>
      </c>
      <c r="F31" s="511">
        <f t="shared" si="5"/>
        <v>-48077.170000000042</v>
      </c>
      <c r="G31" s="511">
        <f t="shared" si="5"/>
        <v>919014.27999999991</v>
      </c>
      <c r="H31" s="511">
        <f t="shared" si="5"/>
        <v>223658.48000000021</v>
      </c>
      <c r="I31" s="511">
        <f t="shared" si="5"/>
        <v>-447640.24</v>
      </c>
      <c r="J31" s="511">
        <f t="shared" si="5"/>
        <v>-253412.24000000022</v>
      </c>
      <c r="K31" s="511">
        <f t="shared" si="5"/>
        <v>-403078.95999999996</v>
      </c>
      <c r="L31" s="511">
        <f t="shared" si="5"/>
        <v>-123433.19999999995</v>
      </c>
    </row>
    <row r="32" spans="1:50" s="499" customFormat="1" ht="12" x14ac:dyDescent="0.2">
      <c r="B32" s="507"/>
      <c r="C32" s="507"/>
      <c r="D32" s="507"/>
      <c r="E32" s="507"/>
      <c r="F32" s="507"/>
      <c r="G32" s="507"/>
      <c r="H32" s="507"/>
      <c r="I32" s="507"/>
      <c r="J32" s="507"/>
      <c r="K32" s="507"/>
      <c r="L32" s="507"/>
      <c r="M32" s="507"/>
      <c r="N32" s="507"/>
      <c r="O32" s="497"/>
      <c r="P32" s="497"/>
      <c r="Q32" s="497"/>
      <c r="R32" s="497"/>
      <c r="S32" s="497"/>
      <c r="T32" s="497"/>
      <c r="U32" s="497"/>
      <c r="V32" s="497"/>
      <c r="W32" s="497"/>
      <c r="X32" s="497"/>
      <c r="Y32" s="497"/>
      <c r="Z32" s="497"/>
      <c r="AA32" s="497"/>
      <c r="AB32" s="497"/>
      <c r="AC32" s="497"/>
      <c r="AD32" s="497"/>
      <c r="AE32" s="497"/>
      <c r="AF32" s="497"/>
      <c r="AG32" s="497"/>
      <c r="AH32" s="497"/>
    </row>
    <row r="33" spans="1:50" s="499" customFormat="1" ht="12" x14ac:dyDescent="0.2">
      <c r="B33" s="507"/>
      <c r="C33" s="507"/>
      <c r="D33" s="507"/>
      <c r="E33" s="507"/>
      <c r="F33" s="507"/>
      <c r="G33" s="507"/>
      <c r="H33" s="507"/>
      <c r="I33" s="507"/>
      <c r="J33" s="507"/>
      <c r="K33" s="507"/>
      <c r="L33" s="507"/>
      <c r="M33" s="507"/>
      <c r="N33" s="507"/>
      <c r="O33" s="497"/>
      <c r="P33" s="497"/>
      <c r="Q33" s="497"/>
      <c r="R33" s="497"/>
      <c r="S33" s="497"/>
      <c r="T33" s="497"/>
      <c r="U33" s="497"/>
      <c r="V33" s="497"/>
      <c r="W33" s="497"/>
      <c r="X33" s="497"/>
      <c r="Y33" s="497"/>
      <c r="Z33" s="497"/>
      <c r="AA33" s="497"/>
      <c r="AB33" s="497"/>
      <c r="AC33" s="497"/>
      <c r="AD33" s="497"/>
      <c r="AE33" s="497"/>
      <c r="AF33" s="497"/>
      <c r="AG33" s="497"/>
      <c r="AH33" s="497"/>
    </row>
    <row r="34" spans="1:50" s="494" customFormat="1" x14ac:dyDescent="0.2">
      <c r="A34" s="366"/>
      <c r="B34" s="508"/>
      <c r="C34" s="508"/>
      <c r="D34" s="508">
        <f t="shared" ref="D34:L34" si="6">+D31+D20</f>
        <v>-1148105.5100000002</v>
      </c>
      <c r="E34" s="508">
        <f t="shared" si="6"/>
        <v>-41741.04999999993</v>
      </c>
      <c r="F34" s="508">
        <f t="shared" si="6"/>
        <v>367036.28999999992</v>
      </c>
      <c r="G34" s="508">
        <f t="shared" si="6"/>
        <v>1020852.6199999998</v>
      </c>
      <c r="H34" s="508">
        <f t="shared" si="6"/>
        <v>-432404.07999999961</v>
      </c>
      <c r="I34" s="508">
        <f t="shared" si="6"/>
        <v>782086.56</v>
      </c>
      <c r="J34" s="508">
        <f t="shared" si="6"/>
        <v>-283968.11000000034</v>
      </c>
      <c r="K34" s="508">
        <f t="shared" si="6"/>
        <v>-900672.16999999993</v>
      </c>
      <c r="L34" s="508">
        <f t="shared" si="6"/>
        <v>142465.36569999997</v>
      </c>
      <c r="M34" s="508"/>
      <c r="N34" s="508"/>
      <c r="O34" s="508"/>
      <c r="P34" s="508"/>
      <c r="Q34" s="508"/>
      <c r="R34" s="508"/>
      <c r="S34" s="508"/>
      <c r="T34" s="508"/>
      <c r="U34" s="508"/>
      <c r="V34" s="508"/>
      <c r="W34" s="508"/>
      <c r="X34" s="508"/>
      <c r="Y34" s="508"/>
      <c r="Z34" s="508"/>
      <c r="AA34" s="508"/>
      <c r="AB34" s="508"/>
      <c r="AC34" s="508"/>
      <c r="AD34" s="508"/>
      <c r="AE34" s="508"/>
      <c r="AF34" s="508"/>
      <c r="AG34" s="508"/>
      <c r="AH34" s="508"/>
      <c r="AI34" s="510"/>
      <c r="AJ34" s="510"/>
      <c r="AK34" s="510"/>
      <c r="AL34" s="510"/>
      <c r="AM34" s="510"/>
      <c r="AN34" s="510"/>
      <c r="AO34" s="510"/>
      <c r="AP34" s="510"/>
      <c r="AQ34" s="510"/>
      <c r="AR34" s="510"/>
      <c r="AS34" s="510"/>
      <c r="AT34" s="510"/>
      <c r="AU34" s="510"/>
      <c r="AV34" s="510"/>
      <c r="AW34" s="510"/>
      <c r="AX34" s="510"/>
    </row>
    <row r="35" spans="1:50" x14ac:dyDescent="0.2">
      <c r="A35" s="206"/>
      <c r="B35" s="507"/>
      <c r="C35" s="507"/>
      <c r="D35" s="507"/>
      <c r="E35" s="507"/>
      <c r="F35" s="507"/>
      <c r="G35" s="507"/>
      <c r="H35" s="507"/>
      <c r="I35" s="507"/>
      <c r="J35" s="507"/>
      <c r="K35" s="507"/>
      <c r="L35" s="507"/>
      <c r="M35" s="507"/>
      <c r="N35" s="507"/>
      <c r="O35" s="497"/>
      <c r="P35" s="497"/>
      <c r="Q35" s="497"/>
      <c r="R35" s="497"/>
      <c r="S35" s="497"/>
      <c r="T35" s="497"/>
      <c r="U35" s="497"/>
      <c r="V35" s="497"/>
      <c r="W35" s="497"/>
      <c r="X35" s="497"/>
      <c r="Y35" s="497"/>
      <c r="Z35" s="497"/>
      <c r="AA35" s="497"/>
      <c r="AB35" s="497"/>
      <c r="AC35" s="497"/>
      <c r="AD35" s="497"/>
      <c r="AE35" s="497"/>
      <c r="AF35" s="497"/>
      <c r="AG35" s="497"/>
      <c r="AH35" s="497"/>
      <c r="AI35" s="499"/>
      <c r="AJ35" s="499"/>
      <c r="AK35" s="499"/>
      <c r="AL35" s="499"/>
      <c r="AM35" s="499"/>
      <c r="AN35" s="499"/>
      <c r="AO35" s="499"/>
      <c r="AP35" s="499"/>
      <c r="AQ35" s="499"/>
      <c r="AR35" s="499"/>
      <c r="AS35" s="499"/>
      <c r="AT35" s="499"/>
      <c r="AU35" s="499"/>
      <c r="AV35" s="499"/>
      <c r="AW35" s="499"/>
      <c r="AX35" s="499"/>
    </row>
    <row r="36" spans="1:50" x14ac:dyDescent="0.2">
      <c r="A36" s="206"/>
      <c r="B36" s="497"/>
      <c r="C36" s="497"/>
      <c r="D36" s="497"/>
      <c r="E36" s="497"/>
      <c r="F36" s="497"/>
      <c r="G36" s="497"/>
      <c r="H36" s="497"/>
      <c r="I36" s="497"/>
      <c r="J36" s="497"/>
      <c r="K36" s="497"/>
      <c r="L36" s="497"/>
      <c r="M36" s="497"/>
      <c r="N36" s="497"/>
      <c r="O36" s="497"/>
      <c r="P36" s="497"/>
      <c r="Q36" s="497"/>
      <c r="R36" s="497"/>
      <c r="S36" s="497"/>
      <c r="T36" s="497"/>
      <c r="U36" s="497"/>
      <c r="V36" s="497"/>
      <c r="W36" s="497"/>
      <c r="X36" s="497"/>
      <c r="Y36" s="497"/>
      <c r="Z36" s="497"/>
      <c r="AA36" s="497"/>
      <c r="AB36" s="497"/>
      <c r="AC36" s="497"/>
      <c r="AD36" s="497"/>
      <c r="AE36" s="497"/>
      <c r="AF36" s="497"/>
      <c r="AG36" s="497"/>
      <c r="AH36" s="497"/>
      <c r="AI36" s="499"/>
      <c r="AJ36" s="499"/>
      <c r="AK36" s="499"/>
      <c r="AL36" s="499"/>
      <c r="AM36" s="499"/>
      <c r="AN36" s="499"/>
      <c r="AO36" s="499"/>
      <c r="AP36" s="499"/>
      <c r="AQ36" s="499"/>
      <c r="AR36" s="499"/>
      <c r="AS36" s="499"/>
      <c r="AT36" s="499"/>
      <c r="AU36" s="499"/>
      <c r="AV36" s="499"/>
      <c r="AW36" s="499"/>
      <c r="AX36" s="499"/>
    </row>
    <row r="37" spans="1:50" x14ac:dyDescent="0.2">
      <c r="A37" s="206"/>
      <c r="B37" s="497"/>
      <c r="C37" s="497"/>
      <c r="D37" s="497"/>
      <c r="E37" s="497"/>
      <c r="F37" s="497"/>
      <c r="G37" s="497"/>
      <c r="H37" s="497"/>
      <c r="I37" s="497"/>
      <c r="J37" s="497"/>
      <c r="K37" s="497"/>
      <c r="L37" s="497"/>
      <c r="M37" s="497"/>
      <c r="N37" s="497"/>
      <c r="O37" s="497"/>
      <c r="P37" s="497"/>
      <c r="Q37" s="497"/>
      <c r="R37" s="497"/>
      <c r="S37" s="497"/>
      <c r="T37" s="497"/>
      <c r="U37" s="497"/>
      <c r="V37" s="497"/>
      <c r="W37" s="497"/>
      <c r="X37" s="497"/>
      <c r="Y37" s="497"/>
      <c r="Z37" s="497"/>
      <c r="AA37" s="497"/>
      <c r="AB37" s="497"/>
      <c r="AC37" s="497"/>
      <c r="AD37" s="497"/>
      <c r="AE37" s="497"/>
      <c r="AF37" s="497"/>
      <c r="AG37" s="497"/>
      <c r="AH37" s="497"/>
      <c r="AI37" s="499"/>
      <c r="AJ37" s="499"/>
      <c r="AK37" s="499"/>
      <c r="AL37" s="499"/>
      <c r="AM37" s="499"/>
      <c r="AN37" s="499"/>
      <c r="AO37" s="499"/>
      <c r="AP37" s="499"/>
      <c r="AQ37" s="499"/>
      <c r="AR37" s="499"/>
      <c r="AS37" s="499"/>
      <c r="AT37" s="499"/>
      <c r="AU37" s="499"/>
      <c r="AV37" s="499"/>
      <c r="AW37" s="499"/>
      <c r="AX37" s="499"/>
    </row>
    <row r="38" spans="1:50" x14ac:dyDescent="0.2">
      <c r="A38" s="206"/>
      <c r="B38" s="497"/>
      <c r="C38" s="497"/>
      <c r="D38" s="497"/>
      <c r="E38" s="497"/>
      <c r="F38" s="497"/>
      <c r="G38" s="497"/>
      <c r="H38" s="497">
        <f>+H27+H16</f>
        <v>1206352</v>
      </c>
      <c r="I38" s="497">
        <f>+I27+I16</f>
        <v>1065905</v>
      </c>
      <c r="J38" s="497">
        <f>+J27+J16</f>
        <v>1086869</v>
      </c>
      <c r="K38" s="497">
        <f>+K27+K16</f>
        <v>1037975.51</v>
      </c>
      <c r="L38" s="497">
        <f>+L27+L16</f>
        <v>887235</v>
      </c>
      <c r="M38" s="497"/>
      <c r="N38" s="497"/>
      <c r="O38" s="497"/>
      <c r="P38" s="497"/>
      <c r="Q38" s="497"/>
      <c r="R38" s="497"/>
      <c r="S38" s="497"/>
      <c r="T38" s="497"/>
      <c r="U38" s="497"/>
      <c r="V38" s="497"/>
      <c r="W38" s="497"/>
      <c r="X38" s="497"/>
      <c r="Y38" s="497"/>
      <c r="Z38" s="497"/>
      <c r="AA38" s="497"/>
      <c r="AB38" s="497"/>
      <c r="AC38" s="497"/>
      <c r="AD38" s="497"/>
      <c r="AE38" s="497"/>
      <c r="AF38" s="497"/>
      <c r="AG38" s="497"/>
      <c r="AH38" s="497"/>
      <c r="AI38" s="499"/>
      <c r="AJ38" s="499"/>
      <c r="AK38" s="499"/>
      <c r="AL38" s="499"/>
      <c r="AM38" s="499"/>
      <c r="AN38" s="499"/>
      <c r="AO38" s="499"/>
      <c r="AP38" s="499"/>
      <c r="AQ38" s="499"/>
      <c r="AR38" s="499"/>
      <c r="AS38" s="499"/>
      <c r="AT38" s="499"/>
      <c r="AU38" s="499"/>
      <c r="AV38" s="499"/>
      <c r="AW38" s="499"/>
      <c r="AX38" s="499"/>
    </row>
    <row r="39" spans="1:50" x14ac:dyDescent="0.2">
      <c r="A39" s="206"/>
      <c r="B39" s="497"/>
      <c r="C39" s="497"/>
      <c r="D39" s="497"/>
      <c r="E39" s="497"/>
      <c r="F39" s="497"/>
      <c r="G39" s="497"/>
      <c r="H39" s="497"/>
      <c r="I39" s="497"/>
      <c r="J39" s="497"/>
      <c r="K39" s="497"/>
      <c r="L39" s="497"/>
      <c r="M39" s="497"/>
      <c r="N39" s="497"/>
      <c r="O39" s="497"/>
      <c r="P39" s="497"/>
      <c r="Q39" s="497"/>
      <c r="R39" s="497"/>
      <c r="S39" s="497"/>
      <c r="T39" s="497"/>
      <c r="U39" s="497"/>
      <c r="V39" s="497"/>
      <c r="W39" s="497"/>
      <c r="X39" s="497"/>
      <c r="Y39" s="497"/>
      <c r="Z39" s="497"/>
      <c r="AA39" s="497"/>
      <c r="AB39" s="497"/>
      <c r="AC39" s="497"/>
      <c r="AD39" s="497"/>
      <c r="AE39" s="497"/>
      <c r="AF39" s="497"/>
      <c r="AG39" s="497"/>
      <c r="AH39" s="497"/>
      <c r="AI39" s="499"/>
      <c r="AJ39" s="499"/>
      <c r="AK39" s="499"/>
      <c r="AL39" s="499"/>
      <c r="AM39" s="499"/>
      <c r="AN39" s="499"/>
      <c r="AO39" s="499"/>
      <c r="AP39" s="499"/>
      <c r="AQ39" s="499"/>
      <c r="AR39" s="499"/>
      <c r="AS39" s="499"/>
      <c r="AT39" s="499"/>
      <c r="AU39" s="499"/>
      <c r="AV39" s="499"/>
      <c r="AW39" s="499"/>
      <c r="AX39" s="499"/>
    </row>
    <row r="40" spans="1:50" x14ac:dyDescent="0.2">
      <c r="A40" s="206"/>
      <c r="B40" s="497"/>
      <c r="C40" s="497"/>
      <c r="D40" s="497"/>
      <c r="E40" s="497"/>
      <c r="F40" s="497"/>
      <c r="G40" s="497"/>
      <c r="H40" s="497">
        <f>+H30+H19</f>
        <v>2390781.4400000004</v>
      </c>
      <c r="I40" s="497">
        <f>+I30+I19</f>
        <v>3172868</v>
      </c>
      <c r="J40" s="497">
        <f>+J30+J19</f>
        <v>2888899.8899999997</v>
      </c>
      <c r="K40" s="497">
        <f>+K30+K19</f>
        <v>1988227.72</v>
      </c>
      <c r="L40" s="497"/>
      <c r="M40" s="497"/>
      <c r="N40" s="497"/>
      <c r="O40" s="497"/>
      <c r="P40" s="497"/>
      <c r="Q40" s="497"/>
      <c r="R40" s="497"/>
      <c r="S40" s="497"/>
      <c r="T40" s="497"/>
      <c r="U40" s="497"/>
      <c r="V40" s="497"/>
      <c r="W40" s="497"/>
      <c r="X40" s="497"/>
      <c r="Y40" s="497"/>
      <c r="Z40" s="497"/>
      <c r="AA40" s="497"/>
      <c r="AB40" s="497"/>
      <c r="AC40" s="497"/>
      <c r="AD40" s="497"/>
      <c r="AE40" s="497"/>
      <c r="AF40" s="497"/>
      <c r="AG40" s="497"/>
      <c r="AH40" s="497"/>
      <c r="AI40" s="499"/>
      <c r="AJ40" s="499"/>
      <c r="AK40" s="499"/>
      <c r="AL40" s="499"/>
      <c r="AM40" s="499"/>
      <c r="AN40" s="499"/>
      <c r="AO40" s="499"/>
      <c r="AP40" s="499"/>
      <c r="AQ40" s="499"/>
      <c r="AR40" s="499"/>
      <c r="AS40" s="499"/>
      <c r="AT40" s="499"/>
      <c r="AU40" s="499"/>
      <c r="AV40" s="499"/>
      <c r="AW40" s="499"/>
      <c r="AX40" s="499"/>
    </row>
    <row r="41" spans="1:50" x14ac:dyDescent="0.2">
      <c r="A41" s="206"/>
      <c r="B41" s="497"/>
      <c r="C41" s="497"/>
      <c r="D41" s="497"/>
      <c r="E41" s="497"/>
      <c r="F41" s="497"/>
      <c r="G41" s="497"/>
      <c r="H41" s="497"/>
      <c r="I41" s="497"/>
      <c r="J41" s="497"/>
      <c r="K41" s="497">
        <v>2037075.88</v>
      </c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7"/>
      <c r="X41" s="497"/>
      <c r="Y41" s="497"/>
      <c r="Z41" s="497"/>
      <c r="AA41" s="497"/>
      <c r="AB41" s="497"/>
      <c r="AC41" s="497"/>
      <c r="AD41" s="497"/>
      <c r="AE41" s="497"/>
      <c r="AF41" s="497"/>
      <c r="AG41" s="497"/>
      <c r="AH41" s="497"/>
      <c r="AI41" s="499"/>
      <c r="AJ41" s="499"/>
      <c r="AK41" s="499"/>
      <c r="AL41" s="499"/>
      <c r="AM41" s="499"/>
      <c r="AN41" s="499"/>
      <c r="AO41" s="499"/>
      <c r="AP41" s="499"/>
      <c r="AQ41" s="499"/>
      <c r="AR41" s="499"/>
      <c r="AS41" s="499"/>
      <c r="AT41" s="499"/>
      <c r="AU41" s="499"/>
      <c r="AV41" s="499"/>
      <c r="AW41" s="499"/>
      <c r="AX41" s="499"/>
    </row>
    <row r="42" spans="1:50" x14ac:dyDescent="0.2">
      <c r="A42" s="206"/>
      <c r="B42" s="497"/>
      <c r="C42" s="497"/>
      <c r="D42" s="497"/>
      <c r="E42" s="497"/>
      <c r="F42" s="497"/>
      <c r="G42" s="497"/>
      <c r="H42" s="497"/>
      <c r="I42" s="497"/>
      <c r="J42" s="497"/>
      <c r="K42" s="497">
        <f>+K40-K41</f>
        <v>-48848.159999999916</v>
      </c>
      <c r="L42" s="497"/>
      <c r="M42" s="497"/>
      <c r="N42" s="497"/>
      <c r="O42" s="497"/>
      <c r="P42" s="497"/>
      <c r="Q42" s="497"/>
      <c r="R42" s="497"/>
      <c r="S42" s="497"/>
      <c r="T42" s="497"/>
      <c r="U42" s="497"/>
      <c r="V42" s="497"/>
      <c r="W42" s="497"/>
      <c r="X42" s="497"/>
      <c r="Y42" s="497"/>
      <c r="Z42" s="497"/>
      <c r="AA42" s="497"/>
      <c r="AB42" s="497"/>
      <c r="AC42" s="497"/>
      <c r="AD42" s="497"/>
      <c r="AE42" s="497"/>
      <c r="AF42" s="497"/>
      <c r="AG42" s="497"/>
      <c r="AH42" s="497"/>
      <c r="AI42" s="499"/>
      <c r="AJ42" s="499"/>
      <c r="AK42" s="499"/>
      <c r="AL42" s="499"/>
      <c r="AM42" s="499"/>
      <c r="AN42" s="499"/>
      <c r="AO42" s="499"/>
      <c r="AP42" s="499"/>
      <c r="AQ42" s="499"/>
      <c r="AR42" s="499"/>
      <c r="AS42" s="499"/>
      <c r="AT42" s="499"/>
      <c r="AU42" s="499"/>
      <c r="AV42" s="499"/>
      <c r="AW42" s="499"/>
      <c r="AX42" s="499"/>
    </row>
    <row r="43" spans="1:50" x14ac:dyDescent="0.2">
      <c r="A43" s="206"/>
      <c r="B43" s="497"/>
      <c r="C43" s="497"/>
      <c r="D43" s="497"/>
      <c r="E43" s="497"/>
      <c r="F43" s="497"/>
      <c r="G43" s="497"/>
      <c r="H43" s="497"/>
      <c r="I43" s="497"/>
      <c r="J43" s="497"/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  <c r="X43" s="497"/>
      <c r="Y43" s="497"/>
      <c r="Z43" s="497"/>
      <c r="AA43" s="497"/>
      <c r="AB43" s="497"/>
      <c r="AC43" s="497"/>
      <c r="AD43" s="497"/>
      <c r="AE43" s="497"/>
      <c r="AF43" s="497"/>
      <c r="AG43" s="497"/>
      <c r="AH43" s="497"/>
      <c r="AI43" s="499"/>
      <c r="AJ43" s="499"/>
      <c r="AK43" s="499"/>
      <c r="AL43" s="499"/>
      <c r="AM43" s="499"/>
      <c r="AN43" s="499"/>
      <c r="AO43" s="499"/>
      <c r="AP43" s="499"/>
      <c r="AQ43" s="499"/>
      <c r="AR43" s="499"/>
      <c r="AS43" s="499"/>
      <c r="AT43" s="499"/>
      <c r="AU43" s="499"/>
      <c r="AV43" s="499"/>
      <c r="AW43" s="499"/>
      <c r="AX43" s="499"/>
    </row>
    <row r="44" spans="1:50" x14ac:dyDescent="0.2">
      <c r="A44" s="206"/>
      <c r="B44" s="497"/>
      <c r="C44" s="497"/>
      <c r="D44" s="497"/>
      <c r="E44" s="497"/>
      <c r="F44" s="497"/>
      <c r="G44" s="497"/>
      <c r="H44" s="497"/>
      <c r="I44" s="497"/>
      <c r="J44" s="497"/>
      <c r="K44" s="497"/>
      <c r="L44" s="497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7"/>
      <c r="X44" s="497"/>
      <c r="Y44" s="497"/>
      <c r="Z44" s="497"/>
      <c r="AA44" s="497"/>
      <c r="AB44" s="497"/>
      <c r="AC44" s="497"/>
      <c r="AD44" s="497"/>
      <c r="AE44" s="497"/>
      <c r="AF44" s="497"/>
      <c r="AG44" s="497"/>
      <c r="AH44" s="497"/>
      <c r="AI44" s="499"/>
      <c r="AJ44" s="499"/>
      <c r="AK44" s="499"/>
      <c r="AL44" s="499"/>
      <c r="AM44" s="499"/>
      <c r="AN44" s="499"/>
      <c r="AO44" s="499"/>
      <c r="AP44" s="499"/>
      <c r="AQ44" s="499"/>
      <c r="AR44" s="499"/>
      <c r="AS44" s="499"/>
      <c r="AT44" s="499"/>
      <c r="AU44" s="499"/>
      <c r="AV44" s="499"/>
      <c r="AW44" s="499"/>
      <c r="AX44" s="499"/>
    </row>
    <row r="45" spans="1:50" x14ac:dyDescent="0.2">
      <c r="A45" s="206"/>
      <c r="B45" s="497"/>
      <c r="C45" s="497"/>
      <c r="D45" s="497"/>
      <c r="E45" s="497"/>
      <c r="F45" s="497"/>
      <c r="G45" s="497"/>
      <c r="H45" s="497"/>
      <c r="I45" s="497"/>
      <c r="J45" s="497"/>
      <c r="K45" s="497"/>
      <c r="L45" s="497"/>
      <c r="M45" s="497"/>
      <c r="N45" s="497"/>
      <c r="O45" s="497"/>
      <c r="P45" s="497"/>
      <c r="Q45" s="497"/>
      <c r="R45" s="497"/>
      <c r="S45" s="497"/>
      <c r="T45" s="497"/>
      <c r="U45" s="497"/>
      <c r="V45" s="497"/>
      <c r="W45" s="497"/>
      <c r="X45" s="497"/>
      <c r="Y45" s="497"/>
      <c r="Z45" s="497"/>
      <c r="AA45" s="497"/>
      <c r="AB45" s="497"/>
      <c r="AC45" s="497"/>
      <c r="AD45" s="497"/>
      <c r="AE45" s="497"/>
      <c r="AF45" s="497"/>
      <c r="AG45" s="497"/>
      <c r="AH45" s="497"/>
      <c r="AI45" s="499"/>
      <c r="AJ45" s="499"/>
      <c r="AK45" s="499"/>
      <c r="AL45" s="499"/>
      <c r="AM45" s="499"/>
      <c r="AN45" s="499"/>
      <c r="AO45" s="499"/>
      <c r="AP45" s="499"/>
      <c r="AQ45" s="499"/>
      <c r="AR45" s="499"/>
      <c r="AS45" s="499"/>
      <c r="AT45" s="499"/>
      <c r="AU45" s="499"/>
      <c r="AV45" s="499"/>
      <c r="AW45" s="499"/>
      <c r="AX45" s="499"/>
    </row>
    <row r="46" spans="1:50" x14ac:dyDescent="0.2">
      <c r="A46" s="206"/>
      <c r="B46" s="497"/>
      <c r="C46" s="497"/>
      <c r="D46" s="497"/>
      <c r="E46" s="497"/>
      <c r="F46" s="497"/>
      <c r="G46" s="497"/>
      <c r="H46" s="497"/>
      <c r="I46" s="497"/>
      <c r="J46" s="497"/>
      <c r="K46" s="497"/>
      <c r="L46" s="497"/>
      <c r="M46" s="497"/>
      <c r="N46" s="497"/>
      <c r="O46" s="497"/>
      <c r="P46" s="497"/>
      <c r="Q46" s="497"/>
      <c r="R46" s="497"/>
      <c r="S46" s="497"/>
      <c r="T46" s="497"/>
      <c r="U46" s="497"/>
      <c r="V46" s="497"/>
      <c r="W46" s="497"/>
      <c r="X46" s="497"/>
      <c r="Y46" s="497"/>
      <c r="Z46" s="497"/>
      <c r="AA46" s="497"/>
      <c r="AB46" s="497"/>
      <c r="AC46" s="497"/>
      <c r="AD46" s="497"/>
      <c r="AE46" s="497"/>
      <c r="AF46" s="497"/>
      <c r="AG46" s="497"/>
      <c r="AH46" s="497"/>
      <c r="AI46" s="499"/>
      <c r="AJ46" s="499"/>
      <c r="AK46" s="499"/>
      <c r="AL46" s="499"/>
      <c r="AM46" s="499"/>
      <c r="AN46" s="499"/>
      <c r="AO46" s="499"/>
      <c r="AP46" s="499"/>
      <c r="AQ46" s="499"/>
      <c r="AR46" s="499"/>
      <c r="AS46" s="499"/>
      <c r="AT46" s="499"/>
      <c r="AU46" s="499"/>
      <c r="AV46" s="499"/>
      <c r="AW46" s="499"/>
      <c r="AX46" s="499"/>
    </row>
    <row r="47" spans="1:50" x14ac:dyDescent="0.2">
      <c r="A47" s="206" t="s">
        <v>24</v>
      </c>
      <c r="B47" s="497">
        <v>3246</v>
      </c>
      <c r="C47" s="496">
        <v>30877</v>
      </c>
      <c r="D47" s="500">
        <v>40063</v>
      </c>
      <c r="E47" s="497">
        <v>48379</v>
      </c>
      <c r="F47" s="497">
        <v>80516</v>
      </c>
      <c r="G47" s="498">
        <v>96175</v>
      </c>
      <c r="H47" s="498">
        <v>140689</v>
      </c>
      <c r="I47" s="497">
        <v>147133</v>
      </c>
      <c r="J47" s="497">
        <v>143078</v>
      </c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97"/>
      <c r="Z47" s="497"/>
      <c r="AA47" s="497"/>
      <c r="AB47" s="497"/>
      <c r="AC47" s="497"/>
      <c r="AD47" s="497"/>
      <c r="AE47" s="497"/>
      <c r="AF47" s="497"/>
      <c r="AG47" s="497"/>
      <c r="AH47" s="497"/>
      <c r="AI47" s="499"/>
      <c r="AJ47" s="499"/>
      <c r="AK47" s="499"/>
      <c r="AL47" s="499"/>
      <c r="AM47" s="499"/>
      <c r="AN47" s="499"/>
      <c r="AO47" s="499"/>
      <c r="AP47" s="499"/>
      <c r="AQ47" s="499"/>
      <c r="AR47" s="499"/>
      <c r="AS47" s="499"/>
      <c r="AT47" s="499"/>
      <c r="AU47" s="499"/>
      <c r="AV47" s="499"/>
      <c r="AW47" s="499"/>
      <c r="AX47" s="499"/>
    </row>
    <row r="48" spans="1:50" x14ac:dyDescent="0.2">
      <c r="A48" s="206"/>
      <c r="B48" s="497"/>
      <c r="C48" s="497"/>
      <c r="D48" s="497"/>
      <c r="E48" s="497"/>
      <c r="F48" s="497"/>
      <c r="G48" s="497"/>
      <c r="H48" s="497"/>
      <c r="I48" s="497"/>
      <c r="J48" s="497"/>
      <c r="K48" s="497"/>
      <c r="L48" s="497"/>
      <c r="M48" s="497"/>
      <c r="N48" s="497"/>
      <c r="O48" s="497"/>
      <c r="P48" s="497"/>
      <c r="Q48" s="497"/>
      <c r="R48" s="497"/>
      <c r="S48" s="497"/>
      <c r="T48" s="497"/>
      <c r="U48" s="497"/>
      <c r="V48" s="497"/>
      <c r="W48" s="497"/>
      <c r="X48" s="497"/>
      <c r="Y48" s="497"/>
      <c r="Z48" s="497"/>
      <c r="AA48" s="497"/>
      <c r="AB48" s="497"/>
      <c r="AC48" s="497"/>
      <c r="AD48" s="497"/>
      <c r="AE48" s="497"/>
      <c r="AF48" s="497"/>
      <c r="AG48" s="497"/>
      <c r="AH48" s="497"/>
      <c r="AI48" s="499"/>
      <c r="AJ48" s="499"/>
      <c r="AK48" s="499"/>
      <c r="AL48" s="499"/>
      <c r="AM48" s="499"/>
      <c r="AN48" s="499"/>
      <c r="AO48" s="499"/>
      <c r="AP48" s="499"/>
      <c r="AQ48" s="499"/>
      <c r="AR48" s="499"/>
      <c r="AS48" s="499"/>
      <c r="AT48" s="499"/>
      <c r="AU48" s="499"/>
      <c r="AV48" s="499"/>
      <c r="AW48" s="499"/>
      <c r="AX48" s="499"/>
    </row>
    <row r="49" spans="1:50" x14ac:dyDescent="0.2">
      <c r="A49" s="206"/>
      <c r="B49" s="497"/>
      <c r="C49" s="497"/>
      <c r="D49" s="497"/>
      <c r="E49" s="497"/>
      <c r="F49" s="497"/>
      <c r="G49" s="497"/>
      <c r="H49" s="497"/>
      <c r="I49" s="497"/>
      <c r="J49" s="497"/>
      <c r="K49" s="497"/>
      <c r="L49" s="497"/>
      <c r="M49" s="497"/>
      <c r="N49" s="497"/>
      <c r="O49" s="497"/>
      <c r="P49" s="497"/>
      <c r="Q49" s="497"/>
      <c r="R49" s="497"/>
      <c r="S49" s="497"/>
      <c r="T49" s="497"/>
      <c r="U49" s="497"/>
      <c r="V49" s="497"/>
      <c r="W49" s="497"/>
      <c r="X49" s="497"/>
      <c r="Y49" s="497"/>
      <c r="Z49" s="497"/>
      <c r="AA49" s="497"/>
      <c r="AB49" s="497"/>
      <c r="AC49" s="497"/>
      <c r="AD49" s="497"/>
      <c r="AE49" s="497"/>
      <c r="AF49" s="497"/>
      <c r="AG49" s="497"/>
      <c r="AH49" s="497"/>
      <c r="AI49" s="499"/>
      <c r="AJ49" s="499"/>
      <c r="AK49" s="499"/>
      <c r="AL49" s="499"/>
      <c r="AM49" s="499"/>
      <c r="AN49" s="499"/>
      <c r="AO49" s="499"/>
      <c r="AP49" s="499"/>
      <c r="AQ49" s="499"/>
      <c r="AR49" s="499"/>
      <c r="AS49" s="499"/>
      <c r="AT49" s="499"/>
      <c r="AU49" s="499"/>
      <c r="AV49" s="499"/>
      <c r="AW49" s="499"/>
      <c r="AX49" s="499"/>
    </row>
    <row r="50" spans="1:50" x14ac:dyDescent="0.2">
      <c r="A50" s="206"/>
      <c r="B50" s="497"/>
      <c r="C50" s="497"/>
      <c r="D50" s="497"/>
      <c r="E50" s="497"/>
      <c r="F50" s="497"/>
      <c r="G50" s="497"/>
      <c r="H50" s="497"/>
      <c r="I50" s="497"/>
      <c r="J50" s="497"/>
      <c r="K50" s="497"/>
      <c r="L50" s="497"/>
      <c r="M50" s="497"/>
      <c r="N50" s="497"/>
      <c r="O50" s="497"/>
      <c r="P50" s="497"/>
      <c r="Q50" s="497"/>
      <c r="R50" s="497"/>
      <c r="S50" s="497"/>
      <c r="T50" s="497"/>
      <c r="U50" s="497"/>
      <c r="V50" s="497"/>
      <c r="W50" s="497"/>
      <c r="X50" s="497"/>
      <c r="Y50" s="497"/>
      <c r="Z50" s="497"/>
      <c r="AA50" s="497"/>
      <c r="AB50" s="497"/>
      <c r="AC50" s="497"/>
      <c r="AD50" s="497"/>
      <c r="AE50" s="497"/>
      <c r="AF50" s="497"/>
      <c r="AG50" s="497"/>
      <c r="AH50" s="497"/>
      <c r="AI50" s="499"/>
      <c r="AJ50" s="499"/>
      <c r="AK50" s="499"/>
      <c r="AL50" s="499"/>
      <c r="AM50" s="499"/>
      <c r="AN50" s="499"/>
      <c r="AO50" s="499"/>
      <c r="AP50" s="499"/>
      <c r="AQ50" s="499"/>
      <c r="AR50" s="499"/>
      <c r="AS50" s="499"/>
      <c r="AT50" s="499"/>
      <c r="AU50" s="499"/>
      <c r="AV50" s="499"/>
      <c r="AW50" s="499"/>
      <c r="AX50" s="499"/>
    </row>
    <row r="51" spans="1:50" x14ac:dyDescent="0.2">
      <c r="A51" s="206"/>
      <c r="B51" s="497"/>
      <c r="C51" s="497"/>
      <c r="D51" s="497"/>
      <c r="E51" s="497"/>
      <c r="F51" s="497"/>
      <c r="G51" s="497"/>
      <c r="H51" s="497"/>
      <c r="I51" s="497"/>
      <c r="J51" s="497"/>
      <c r="K51" s="497"/>
      <c r="L51" s="497"/>
      <c r="M51" s="497"/>
      <c r="N51" s="497"/>
      <c r="O51" s="497"/>
      <c r="P51" s="497"/>
      <c r="Q51" s="497"/>
      <c r="R51" s="497"/>
      <c r="S51" s="497"/>
      <c r="T51" s="497"/>
      <c r="U51" s="497"/>
      <c r="V51" s="497"/>
      <c r="W51" s="497"/>
      <c r="X51" s="497"/>
      <c r="Y51" s="497"/>
      <c r="Z51" s="497"/>
      <c r="AA51" s="497"/>
      <c r="AB51" s="497"/>
      <c r="AC51" s="497"/>
      <c r="AD51" s="497"/>
      <c r="AE51" s="497"/>
      <c r="AF51" s="497"/>
      <c r="AG51" s="497"/>
      <c r="AH51" s="497"/>
      <c r="AI51" s="499"/>
      <c r="AJ51" s="499"/>
      <c r="AK51" s="499"/>
      <c r="AL51" s="499"/>
      <c r="AM51" s="499"/>
      <c r="AN51" s="499"/>
      <c r="AO51" s="499"/>
      <c r="AP51" s="499"/>
      <c r="AQ51" s="499"/>
      <c r="AR51" s="499"/>
      <c r="AS51" s="499"/>
      <c r="AT51" s="499"/>
      <c r="AU51" s="499"/>
      <c r="AV51" s="499"/>
      <c r="AW51" s="499"/>
      <c r="AX51" s="499"/>
    </row>
    <row r="52" spans="1:50" x14ac:dyDescent="0.2">
      <c r="A52" s="206"/>
      <c r="B52" s="497"/>
      <c r="C52" s="497"/>
      <c r="D52" s="497"/>
      <c r="E52" s="497"/>
      <c r="F52" s="497"/>
      <c r="G52" s="497"/>
      <c r="H52" s="497"/>
      <c r="I52" s="497"/>
      <c r="J52" s="497"/>
      <c r="K52" s="497"/>
      <c r="L52" s="497"/>
      <c r="M52" s="497"/>
      <c r="N52" s="497"/>
      <c r="O52" s="497"/>
      <c r="P52" s="497"/>
      <c r="Q52" s="497"/>
      <c r="R52" s="497"/>
      <c r="S52" s="497"/>
      <c r="T52" s="497"/>
      <c r="U52" s="497"/>
      <c r="V52" s="497"/>
      <c r="W52" s="497"/>
      <c r="X52" s="497"/>
      <c r="Y52" s="497"/>
      <c r="Z52" s="497"/>
      <c r="AA52" s="497"/>
      <c r="AB52" s="497"/>
      <c r="AC52" s="497"/>
      <c r="AD52" s="497"/>
      <c r="AE52" s="497"/>
      <c r="AF52" s="497"/>
      <c r="AG52" s="497"/>
      <c r="AH52" s="497"/>
      <c r="AI52" s="499"/>
      <c r="AJ52" s="499"/>
      <c r="AK52" s="499"/>
      <c r="AL52" s="499"/>
      <c r="AM52" s="499"/>
      <c r="AN52" s="499"/>
      <c r="AO52" s="499"/>
      <c r="AP52" s="499"/>
      <c r="AQ52" s="499"/>
      <c r="AR52" s="499"/>
      <c r="AS52" s="499"/>
      <c r="AT52" s="499"/>
      <c r="AU52" s="499"/>
      <c r="AV52" s="499"/>
      <c r="AW52" s="499"/>
      <c r="AX52" s="499"/>
    </row>
    <row r="53" spans="1:50" x14ac:dyDescent="0.2">
      <c r="A53" s="206"/>
      <c r="B53" s="497"/>
      <c r="C53" s="497"/>
      <c r="D53" s="497"/>
      <c r="E53" s="497"/>
      <c r="F53" s="497"/>
      <c r="G53" s="497"/>
      <c r="H53" s="497"/>
      <c r="I53" s="497"/>
      <c r="J53" s="497"/>
      <c r="K53" s="497"/>
      <c r="L53" s="497"/>
      <c r="M53" s="497"/>
      <c r="N53" s="497"/>
      <c r="O53" s="497"/>
      <c r="P53" s="497"/>
      <c r="Q53" s="497"/>
      <c r="R53" s="497"/>
      <c r="S53" s="497"/>
      <c r="T53" s="497"/>
      <c r="U53" s="497"/>
      <c r="V53" s="497"/>
      <c r="W53" s="497"/>
      <c r="X53" s="497"/>
      <c r="Y53" s="497"/>
      <c r="Z53" s="497"/>
      <c r="AA53" s="497"/>
      <c r="AB53" s="497"/>
      <c r="AC53" s="497"/>
      <c r="AD53" s="497"/>
      <c r="AE53" s="497"/>
      <c r="AF53" s="497"/>
      <c r="AG53" s="497"/>
      <c r="AH53" s="497"/>
      <c r="AI53" s="499"/>
      <c r="AJ53" s="499"/>
      <c r="AK53" s="499"/>
      <c r="AL53" s="499"/>
      <c r="AM53" s="499"/>
      <c r="AN53" s="499"/>
      <c r="AO53" s="499"/>
      <c r="AP53" s="499"/>
      <c r="AQ53" s="499"/>
      <c r="AR53" s="499"/>
      <c r="AS53" s="499"/>
      <c r="AT53" s="499"/>
      <c r="AU53" s="499"/>
      <c r="AV53" s="499"/>
      <c r="AW53" s="499"/>
      <c r="AX53" s="499"/>
    </row>
    <row r="54" spans="1:50" x14ac:dyDescent="0.2">
      <c r="A54" s="206"/>
      <c r="B54" s="497"/>
      <c r="C54" s="497"/>
      <c r="D54" s="497"/>
      <c r="E54" s="497"/>
      <c r="F54" s="497"/>
      <c r="G54" s="497"/>
      <c r="H54" s="497"/>
      <c r="I54" s="497"/>
      <c r="J54" s="497"/>
      <c r="K54" s="497"/>
      <c r="L54" s="497"/>
      <c r="M54" s="497"/>
      <c r="N54" s="497"/>
      <c r="O54" s="497"/>
      <c r="P54" s="497"/>
      <c r="Q54" s="497"/>
      <c r="R54" s="497"/>
      <c r="S54" s="497"/>
      <c r="T54" s="497"/>
      <c r="U54" s="497"/>
      <c r="V54" s="497"/>
      <c r="W54" s="497"/>
      <c r="X54" s="497"/>
      <c r="Y54" s="497"/>
      <c r="Z54" s="497"/>
      <c r="AA54" s="497"/>
      <c r="AB54" s="497"/>
      <c r="AC54" s="497"/>
      <c r="AD54" s="497"/>
      <c r="AE54" s="497"/>
      <c r="AF54" s="497"/>
      <c r="AG54" s="497"/>
      <c r="AH54" s="497"/>
      <c r="AI54" s="499"/>
      <c r="AJ54" s="499"/>
      <c r="AK54" s="499"/>
      <c r="AL54" s="499"/>
      <c r="AM54" s="499"/>
      <c r="AN54" s="499"/>
      <c r="AO54" s="499"/>
      <c r="AP54" s="499"/>
      <c r="AQ54" s="499"/>
      <c r="AR54" s="499"/>
      <c r="AS54" s="499"/>
      <c r="AT54" s="499"/>
      <c r="AU54" s="499"/>
      <c r="AV54" s="499"/>
      <c r="AW54" s="499"/>
      <c r="AX54" s="499"/>
    </row>
    <row r="55" spans="1:50" x14ac:dyDescent="0.2">
      <c r="A55" s="206"/>
      <c r="B55" s="497"/>
      <c r="C55" s="497"/>
      <c r="D55" s="497"/>
      <c r="E55" s="497"/>
      <c r="F55" s="497"/>
      <c r="G55" s="497"/>
      <c r="H55" s="497"/>
      <c r="I55" s="497"/>
      <c r="J55" s="497"/>
      <c r="K55" s="497"/>
      <c r="L55" s="497"/>
      <c r="M55" s="497"/>
      <c r="N55" s="497"/>
      <c r="O55" s="497"/>
      <c r="P55" s="497"/>
      <c r="Q55" s="497"/>
      <c r="R55" s="497"/>
      <c r="S55" s="497"/>
      <c r="T55" s="497"/>
      <c r="U55" s="497"/>
      <c r="V55" s="497"/>
      <c r="W55" s="497"/>
      <c r="X55" s="497"/>
      <c r="Y55" s="497"/>
      <c r="Z55" s="497"/>
      <c r="AA55" s="497"/>
      <c r="AB55" s="497"/>
      <c r="AC55" s="497"/>
      <c r="AD55" s="497"/>
      <c r="AE55" s="497"/>
      <c r="AF55" s="497"/>
      <c r="AG55" s="497"/>
      <c r="AH55" s="497"/>
      <c r="AI55" s="499"/>
      <c r="AJ55" s="499"/>
      <c r="AK55" s="499"/>
      <c r="AL55" s="499"/>
      <c r="AM55" s="499"/>
      <c r="AN55" s="499"/>
      <c r="AO55" s="499"/>
      <c r="AP55" s="499"/>
      <c r="AQ55" s="499"/>
      <c r="AR55" s="499"/>
      <c r="AS55" s="499"/>
      <c r="AT55" s="499"/>
      <c r="AU55" s="499"/>
      <c r="AV55" s="499"/>
      <c r="AW55" s="499"/>
      <c r="AX55" s="499"/>
    </row>
    <row r="56" spans="1:50" x14ac:dyDescent="0.2">
      <c r="A56" s="206"/>
      <c r="B56" s="497"/>
      <c r="C56" s="497"/>
      <c r="D56" s="497"/>
      <c r="E56" s="497"/>
      <c r="F56" s="497"/>
      <c r="G56" s="497"/>
      <c r="H56" s="497"/>
      <c r="I56" s="497"/>
      <c r="J56" s="497"/>
      <c r="K56" s="497"/>
      <c r="L56" s="497"/>
      <c r="M56" s="497"/>
      <c r="N56" s="497"/>
      <c r="O56" s="497"/>
      <c r="P56" s="497"/>
      <c r="Q56" s="497"/>
      <c r="R56" s="497"/>
      <c r="S56" s="497"/>
      <c r="T56" s="497"/>
      <c r="U56" s="497"/>
      <c r="V56" s="497"/>
      <c r="W56" s="497"/>
      <c r="X56" s="497"/>
      <c r="Y56" s="497"/>
      <c r="Z56" s="497"/>
      <c r="AA56" s="497"/>
      <c r="AB56" s="497"/>
      <c r="AC56" s="497"/>
      <c r="AD56" s="497"/>
      <c r="AE56" s="497"/>
      <c r="AF56" s="497"/>
      <c r="AG56" s="497"/>
      <c r="AH56" s="497"/>
      <c r="AI56" s="499"/>
      <c r="AJ56" s="499"/>
      <c r="AK56" s="499"/>
      <c r="AL56" s="499"/>
      <c r="AM56" s="499"/>
      <c r="AN56" s="499"/>
      <c r="AO56" s="499"/>
      <c r="AP56" s="499"/>
      <c r="AQ56" s="499"/>
      <c r="AR56" s="499"/>
      <c r="AS56" s="499"/>
      <c r="AT56" s="499"/>
      <c r="AU56" s="499"/>
      <c r="AV56" s="499"/>
      <c r="AW56" s="499"/>
      <c r="AX56" s="499"/>
    </row>
    <row r="57" spans="1:50" x14ac:dyDescent="0.2">
      <c r="A57" s="206"/>
      <c r="B57" s="497"/>
      <c r="C57" s="497"/>
      <c r="D57" s="497"/>
      <c r="E57" s="497"/>
      <c r="F57" s="497"/>
      <c r="G57" s="497"/>
      <c r="H57" s="497"/>
      <c r="I57" s="497"/>
      <c r="J57" s="497"/>
      <c r="K57" s="497"/>
      <c r="L57" s="497"/>
      <c r="M57" s="497"/>
      <c r="N57" s="497"/>
      <c r="O57" s="497"/>
      <c r="P57" s="497"/>
      <c r="Q57" s="497"/>
      <c r="R57" s="497"/>
      <c r="S57" s="497"/>
      <c r="T57" s="497"/>
      <c r="U57" s="497"/>
      <c r="V57" s="497"/>
      <c r="W57" s="497"/>
      <c r="X57" s="497"/>
      <c r="Y57" s="497"/>
      <c r="Z57" s="497"/>
      <c r="AA57" s="497"/>
      <c r="AB57" s="497"/>
      <c r="AC57" s="497"/>
      <c r="AD57" s="497"/>
      <c r="AE57" s="497"/>
      <c r="AF57" s="497"/>
      <c r="AG57" s="497"/>
      <c r="AH57" s="497"/>
      <c r="AI57" s="499"/>
      <c r="AJ57" s="499"/>
      <c r="AK57" s="499"/>
      <c r="AL57" s="499"/>
      <c r="AM57" s="499"/>
      <c r="AN57" s="499"/>
      <c r="AO57" s="499"/>
      <c r="AP57" s="499"/>
      <c r="AQ57" s="499"/>
      <c r="AR57" s="499"/>
      <c r="AS57" s="499"/>
      <c r="AT57" s="499"/>
      <c r="AU57" s="499"/>
      <c r="AV57" s="499"/>
      <c r="AW57" s="499"/>
      <c r="AX57" s="499"/>
    </row>
    <row r="58" spans="1:50" x14ac:dyDescent="0.2">
      <c r="A58" s="206"/>
      <c r="B58" s="497"/>
      <c r="C58" s="497"/>
      <c r="D58" s="497"/>
      <c r="E58" s="497"/>
      <c r="F58" s="497"/>
      <c r="G58" s="497"/>
      <c r="H58" s="497"/>
      <c r="I58" s="497"/>
      <c r="J58" s="497"/>
      <c r="K58" s="497"/>
      <c r="L58" s="497"/>
      <c r="M58" s="497"/>
      <c r="N58" s="497"/>
      <c r="O58" s="497"/>
      <c r="P58" s="497"/>
      <c r="Q58" s="497"/>
      <c r="R58" s="497"/>
      <c r="S58" s="497"/>
      <c r="T58" s="497"/>
      <c r="U58" s="497"/>
      <c r="V58" s="497"/>
      <c r="W58" s="497"/>
      <c r="X58" s="497"/>
      <c r="Y58" s="497"/>
      <c r="Z58" s="497"/>
      <c r="AA58" s="497"/>
      <c r="AB58" s="497"/>
      <c r="AC58" s="497"/>
      <c r="AD58" s="497"/>
      <c r="AE58" s="497"/>
      <c r="AF58" s="497"/>
      <c r="AG58" s="497"/>
      <c r="AH58" s="497"/>
      <c r="AI58" s="499"/>
      <c r="AJ58" s="499"/>
      <c r="AK58" s="499"/>
      <c r="AL58" s="499"/>
      <c r="AM58" s="499"/>
      <c r="AN58" s="499"/>
      <c r="AO58" s="499"/>
      <c r="AP58" s="499"/>
      <c r="AQ58" s="499"/>
      <c r="AR58" s="499"/>
      <c r="AS58" s="499"/>
      <c r="AT58" s="499"/>
      <c r="AU58" s="499"/>
      <c r="AV58" s="499"/>
      <c r="AW58" s="499"/>
      <c r="AX58" s="499"/>
    </row>
    <row r="59" spans="1:50" x14ac:dyDescent="0.2">
      <c r="A59" s="206"/>
      <c r="B59" s="497"/>
      <c r="C59" s="497"/>
      <c r="D59" s="497"/>
      <c r="E59" s="497"/>
      <c r="F59" s="497"/>
      <c r="G59" s="497"/>
      <c r="H59" s="497"/>
      <c r="I59" s="497"/>
      <c r="J59" s="497"/>
      <c r="K59" s="497"/>
      <c r="L59" s="497"/>
      <c r="M59" s="497"/>
      <c r="N59" s="497"/>
      <c r="O59" s="497"/>
      <c r="P59" s="497"/>
      <c r="Q59" s="497"/>
      <c r="R59" s="497"/>
      <c r="S59" s="497"/>
      <c r="T59" s="497"/>
      <c r="U59" s="497"/>
      <c r="V59" s="497"/>
      <c r="W59" s="497"/>
      <c r="X59" s="497"/>
      <c r="Y59" s="497"/>
      <c r="Z59" s="497"/>
      <c r="AA59" s="497"/>
      <c r="AB59" s="497"/>
      <c r="AC59" s="497"/>
      <c r="AD59" s="497"/>
      <c r="AE59" s="497"/>
      <c r="AF59" s="497"/>
      <c r="AG59" s="497"/>
      <c r="AH59" s="497"/>
      <c r="AI59" s="499"/>
      <c r="AJ59" s="499"/>
      <c r="AK59" s="499"/>
      <c r="AL59" s="499"/>
      <c r="AM59" s="499"/>
      <c r="AN59" s="499"/>
      <c r="AO59" s="499"/>
      <c r="AP59" s="499"/>
      <c r="AQ59" s="499"/>
      <c r="AR59" s="499"/>
      <c r="AS59" s="499"/>
      <c r="AT59" s="499"/>
      <c r="AU59" s="499"/>
      <c r="AV59" s="499"/>
      <c r="AW59" s="499"/>
      <c r="AX59" s="499"/>
    </row>
    <row r="60" spans="1:50" x14ac:dyDescent="0.2">
      <c r="A60" s="206"/>
      <c r="B60" s="497"/>
      <c r="C60" s="497"/>
      <c r="D60" s="497"/>
      <c r="E60" s="497"/>
      <c r="F60" s="497"/>
      <c r="G60" s="497"/>
      <c r="H60" s="497"/>
      <c r="I60" s="497"/>
      <c r="J60" s="497"/>
      <c r="K60" s="497"/>
      <c r="L60" s="497"/>
      <c r="M60" s="497"/>
      <c r="N60" s="497"/>
      <c r="O60" s="497"/>
      <c r="P60" s="497"/>
      <c r="Q60" s="497"/>
      <c r="R60" s="497"/>
      <c r="S60" s="497"/>
      <c r="T60" s="497"/>
      <c r="U60" s="497"/>
      <c r="V60" s="497"/>
      <c r="W60" s="497"/>
      <c r="X60" s="497"/>
      <c r="Y60" s="497"/>
      <c r="Z60" s="497"/>
      <c r="AA60" s="497"/>
      <c r="AB60" s="497"/>
      <c r="AC60" s="497"/>
      <c r="AD60" s="497"/>
      <c r="AE60" s="497"/>
      <c r="AF60" s="497"/>
      <c r="AG60" s="497"/>
      <c r="AH60" s="497"/>
      <c r="AI60" s="499"/>
      <c r="AJ60" s="499"/>
      <c r="AK60" s="499"/>
      <c r="AL60" s="499"/>
      <c r="AM60" s="499"/>
      <c r="AN60" s="499"/>
      <c r="AO60" s="499"/>
      <c r="AP60" s="499"/>
      <c r="AQ60" s="499"/>
      <c r="AR60" s="499"/>
      <c r="AS60" s="499"/>
      <c r="AT60" s="499"/>
      <c r="AU60" s="499"/>
      <c r="AV60" s="499"/>
      <c r="AW60" s="499"/>
      <c r="AX60" s="499"/>
    </row>
    <row r="61" spans="1:50" x14ac:dyDescent="0.2">
      <c r="A61" s="206"/>
      <c r="B61" s="497"/>
      <c r="C61" s="497"/>
      <c r="D61" s="497"/>
      <c r="E61" s="497"/>
      <c r="F61" s="497"/>
      <c r="G61" s="497"/>
      <c r="H61" s="497"/>
      <c r="I61" s="497"/>
      <c r="J61" s="497"/>
      <c r="K61" s="497"/>
      <c r="L61" s="497"/>
      <c r="M61" s="497"/>
      <c r="N61" s="497"/>
      <c r="O61" s="497"/>
      <c r="P61" s="497"/>
      <c r="Q61" s="497"/>
      <c r="R61" s="497"/>
      <c r="S61" s="497"/>
      <c r="T61" s="497"/>
      <c r="U61" s="497"/>
      <c r="V61" s="497"/>
      <c r="W61" s="497"/>
      <c r="X61" s="497"/>
      <c r="Y61" s="497"/>
      <c r="Z61" s="497"/>
      <c r="AA61" s="497"/>
      <c r="AB61" s="497"/>
      <c r="AC61" s="497"/>
      <c r="AD61" s="497"/>
      <c r="AE61" s="497"/>
      <c r="AF61" s="497"/>
      <c r="AG61" s="497"/>
      <c r="AH61" s="497"/>
      <c r="AI61" s="499"/>
      <c r="AJ61" s="499"/>
      <c r="AK61" s="499"/>
      <c r="AL61" s="499"/>
      <c r="AM61" s="499"/>
      <c r="AN61" s="499"/>
      <c r="AO61" s="499"/>
      <c r="AP61" s="499"/>
      <c r="AQ61" s="499"/>
      <c r="AR61" s="499"/>
      <c r="AS61" s="499"/>
      <c r="AT61" s="499"/>
      <c r="AU61" s="499"/>
      <c r="AV61" s="499"/>
      <c r="AW61" s="499"/>
      <c r="AX61" s="499"/>
    </row>
    <row r="62" spans="1:50" x14ac:dyDescent="0.2">
      <c r="A62" s="206"/>
      <c r="B62" s="497"/>
      <c r="C62" s="497"/>
      <c r="D62" s="497"/>
      <c r="E62" s="497"/>
      <c r="F62" s="497"/>
      <c r="G62" s="497"/>
      <c r="H62" s="497"/>
      <c r="I62" s="497"/>
      <c r="J62" s="497"/>
      <c r="K62" s="497"/>
      <c r="L62" s="497"/>
      <c r="M62" s="497"/>
      <c r="N62" s="497"/>
      <c r="O62" s="497"/>
      <c r="P62" s="497"/>
      <c r="Q62" s="497"/>
      <c r="R62" s="497"/>
      <c r="S62" s="497"/>
      <c r="T62" s="497"/>
      <c r="U62" s="497"/>
      <c r="V62" s="497"/>
      <c r="W62" s="497"/>
      <c r="X62" s="497"/>
      <c r="Y62" s="497"/>
      <c r="Z62" s="497"/>
      <c r="AA62" s="497"/>
      <c r="AB62" s="497"/>
      <c r="AC62" s="497"/>
      <c r="AD62" s="497"/>
      <c r="AE62" s="497"/>
      <c r="AF62" s="497"/>
      <c r="AG62" s="497"/>
      <c r="AH62" s="497"/>
      <c r="AI62" s="499"/>
      <c r="AJ62" s="499"/>
      <c r="AK62" s="499"/>
      <c r="AL62" s="499"/>
      <c r="AM62" s="499"/>
      <c r="AN62" s="499"/>
      <c r="AO62" s="499"/>
      <c r="AP62" s="499"/>
      <c r="AQ62" s="499"/>
      <c r="AR62" s="499"/>
      <c r="AS62" s="499"/>
      <c r="AT62" s="499"/>
      <c r="AU62" s="499"/>
      <c r="AV62" s="499"/>
      <c r="AW62" s="499"/>
      <c r="AX62" s="499"/>
    </row>
    <row r="63" spans="1:50" x14ac:dyDescent="0.2">
      <c r="A63" s="206"/>
      <c r="B63" s="497"/>
      <c r="C63" s="497"/>
      <c r="D63" s="497"/>
      <c r="E63" s="497"/>
      <c r="F63" s="497"/>
      <c r="G63" s="497"/>
      <c r="H63" s="497"/>
      <c r="I63" s="497"/>
      <c r="J63" s="497"/>
      <c r="K63" s="497"/>
      <c r="L63" s="497"/>
      <c r="M63" s="497"/>
      <c r="N63" s="497"/>
      <c r="O63" s="497"/>
      <c r="P63" s="497"/>
      <c r="Q63" s="497"/>
      <c r="R63" s="497"/>
      <c r="S63" s="497"/>
      <c r="T63" s="497"/>
      <c r="U63" s="497"/>
      <c r="V63" s="497"/>
      <c r="W63" s="497"/>
      <c r="X63" s="497"/>
      <c r="Y63" s="497"/>
      <c r="Z63" s="497"/>
      <c r="AA63" s="497"/>
      <c r="AB63" s="497"/>
      <c r="AC63" s="497"/>
      <c r="AD63" s="497"/>
      <c r="AE63" s="497"/>
      <c r="AF63" s="497"/>
      <c r="AG63" s="497"/>
      <c r="AH63" s="497"/>
      <c r="AI63" s="499"/>
      <c r="AJ63" s="499"/>
      <c r="AK63" s="499"/>
      <c r="AL63" s="499"/>
      <c r="AM63" s="499"/>
      <c r="AN63" s="499"/>
      <c r="AO63" s="499"/>
      <c r="AP63" s="499"/>
      <c r="AQ63" s="499"/>
      <c r="AR63" s="499"/>
      <c r="AS63" s="499"/>
      <c r="AT63" s="499"/>
      <c r="AU63" s="499"/>
      <c r="AV63" s="499"/>
      <c r="AW63" s="499"/>
      <c r="AX63" s="499"/>
    </row>
    <row r="64" spans="1:50" x14ac:dyDescent="0.2">
      <c r="A64" s="206"/>
      <c r="B64" s="497"/>
      <c r="C64" s="497"/>
      <c r="D64" s="497"/>
      <c r="E64" s="497"/>
      <c r="F64" s="497"/>
      <c r="G64" s="497"/>
      <c r="H64" s="497"/>
      <c r="I64" s="497"/>
      <c r="J64" s="497"/>
      <c r="K64" s="497"/>
      <c r="L64" s="497"/>
      <c r="M64" s="497"/>
      <c r="N64" s="497"/>
      <c r="O64" s="497"/>
      <c r="P64" s="497"/>
      <c r="Q64" s="497"/>
      <c r="R64" s="497"/>
      <c r="S64" s="497"/>
      <c r="T64" s="497"/>
      <c r="U64" s="497"/>
      <c r="V64" s="497"/>
      <c r="W64" s="497"/>
      <c r="X64" s="497"/>
      <c r="Y64" s="497"/>
      <c r="Z64" s="497"/>
      <c r="AA64" s="497"/>
      <c r="AB64" s="497"/>
      <c r="AC64" s="497"/>
      <c r="AD64" s="497"/>
      <c r="AE64" s="497"/>
      <c r="AF64" s="497"/>
      <c r="AG64" s="497"/>
      <c r="AH64" s="497"/>
      <c r="AI64" s="499"/>
      <c r="AJ64" s="499"/>
      <c r="AK64" s="499"/>
      <c r="AL64" s="499"/>
      <c r="AM64" s="499"/>
      <c r="AN64" s="499"/>
      <c r="AO64" s="499"/>
      <c r="AP64" s="499"/>
      <c r="AQ64" s="499"/>
      <c r="AR64" s="499"/>
      <c r="AS64" s="499"/>
      <c r="AT64" s="499"/>
      <c r="AU64" s="499"/>
      <c r="AV64" s="499"/>
      <c r="AW64" s="499"/>
      <c r="AX64" s="499"/>
    </row>
    <row r="65" spans="1:50" x14ac:dyDescent="0.2">
      <c r="A65" s="206"/>
      <c r="B65" s="497"/>
      <c r="C65" s="497"/>
      <c r="D65" s="497"/>
      <c r="E65" s="497"/>
      <c r="F65" s="497"/>
      <c r="G65" s="497"/>
      <c r="H65" s="497"/>
      <c r="I65" s="497"/>
      <c r="J65" s="497"/>
      <c r="K65" s="497"/>
      <c r="L65" s="497"/>
      <c r="M65" s="497"/>
      <c r="N65" s="497"/>
      <c r="O65" s="497"/>
      <c r="P65" s="497"/>
      <c r="Q65" s="497"/>
      <c r="R65" s="497"/>
      <c r="S65" s="497"/>
      <c r="T65" s="497"/>
      <c r="U65" s="497"/>
      <c r="V65" s="497"/>
      <c r="W65" s="497"/>
      <c r="X65" s="497"/>
      <c r="Y65" s="497"/>
      <c r="Z65" s="497"/>
      <c r="AA65" s="497"/>
      <c r="AB65" s="497"/>
      <c r="AC65" s="497"/>
      <c r="AD65" s="497"/>
      <c r="AE65" s="497"/>
      <c r="AF65" s="497"/>
      <c r="AG65" s="497"/>
      <c r="AH65" s="497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</row>
    <row r="66" spans="1:50" x14ac:dyDescent="0.2">
      <c r="A66" s="206"/>
      <c r="B66" s="497"/>
      <c r="C66" s="497"/>
      <c r="D66" s="497"/>
      <c r="E66" s="497"/>
      <c r="F66" s="497"/>
      <c r="G66" s="497"/>
      <c r="H66" s="497"/>
      <c r="I66" s="497"/>
      <c r="J66" s="497"/>
      <c r="K66" s="497"/>
      <c r="L66" s="497"/>
      <c r="M66" s="497"/>
      <c r="N66" s="497"/>
      <c r="O66" s="497"/>
      <c r="P66" s="497"/>
      <c r="Q66" s="497"/>
      <c r="R66" s="497"/>
      <c r="S66" s="497"/>
      <c r="T66" s="497"/>
      <c r="U66" s="497"/>
      <c r="V66" s="497"/>
      <c r="W66" s="497"/>
      <c r="X66" s="497"/>
      <c r="Y66" s="497"/>
      <c r="Z66" s="497"/>
      <c r="AA66" s="497"/>
      <c r="AB66" s="497"/>
      <c r="AC66" s="497"/>
      <c r="AD66" s="497"/>
      <c r="AE66" s="497"/>
      <c r="AF66" s="497"/>
      <c r="AG66" s="497"/>
      <c r="AH66" s="497"/>
      <c r="AI66" s="499"/>
      <c r="AJ66" s="499"/>
      <c r="AK66" s="499"/>
      <c r="AL66" s="499"/>
      <c r="AM66" s="499"/>
      <c r="AN66" s="499"/>
      <c r="AO66" s="499"/>
      <c r="AP66" s="499"/>
      <c r="AQ66" s="499"/>
      <c r="AR66" s="499"/>
      <c r="AS66" s="499"/>
      <c r="AT66" s="499"/>
      <c r="AU66" s="499"/>
      <c r="AV66" s="499"/>
      <c r="AW66" s="499"/>
      <c r="AX66" s="499"/>
    </row>
    <row r="67" spans="1:50" x14ac:dyDescent="0.2">
      <c r="A67" s="206"/>
      <c r="B67" s="497"/>
      <c r="C67" s="497"/>
      <c r="D67" s="497"/>
      <c r="E67" s="497"/>
      <c r="F67" s="497"/>
      <c r="G67" s="497"/>
      <c r="H67" s="497"/>
      <c r="I67" s="497"/>
      <c r="J67" s="497"/>
      <c r="K67" s="497"/>
      <c r="L67" s="497"/>
      <c r="M67" s="497"/>
      <c r="N67" s="497"/>
      <c r="O67" s="497"/>
      <c r="P67" s="497"/>
      <c r="Q67" s="497"/>
      <c r="R67" s="497"/>
      <c r="S67" s="497"/>
      <c r="T67" s="497"/>
      <c r="U67" s="497"/>
      <c r="V67" s="497"/>
      <c r="W67" s="497"/>
      <c r="X67" s="497"/>
      <c r="Y67" s="497"/>
      <c r="Z67" s="497"/>
      <c r="AA67" s="497"/>
      <c r="AB67" s="497"/>
      <c r="AC67" s="497"/>
      <c r="AD67" s="497"/>
      <c r="AE67" s="497"/>
      <c r="AF67" s="497"/>
      <c r="AG67" s="497"/>
      <c r="AH67" s="497"/>
      <c r="AI67" s="499"/>
      <c r="AJ67" s="499"/>
      <c r="AK67" s="499"/>
      <c r="AL67" s="499"/>
      <c r="AM67" s="499"/>
      <c r="AN67" s="499"/>
      <c r="AO67" s="499"/>
      <c r="AP67" s="499"/>
      <c r="AQ67" s="499"/>
      <c r="AR67" s="499"/>
      <c r="AS67" s="499"/>
      <c r="AT67" s="499"/>
      <c r="AU67" s="499"/>
      <c r="AV67" s="499"/>
      <c r="AW67" s="499"/>
      <c r="AX67" s="499"/>
    </row>
    <row r="68" spans="1:50" x14ac:dyDescent="0.2">
      <c r="A68" s="206"/>
      <c r="B68" s="497"/>
      <c r="C68" s="497"/>
      <c r="D68" s="497"/>
      <c r="E68" s="497"/>
      <c r="F68" s="497"/>
      <c r="G68" s="497"/>
      <c r="H68" s="497"/>
      <c r="I68" s="497"/>
      <c r="J68" s="497"/>
      <c r="K68" s="497"/>
      <c r="L68" s="497"/>
      <c r="M68" s="497"/>
      <c r="N68" s="497"/>
      <c r="O68" s="497"/>
      <c r="P68" s="497"/>
      <c r="Q68" s="497"/>
      <c r="R68" s="497"/>
      <c r="S68" s="497"/>
      <c r="T68" s="497"/>
      <c r="U68" s="497"/>
      <c r="V68" s="497"/>
      <c r="W68" s="497"/>
      <c r="X68" s="497"/>
      <c r="Y68" s="497"/>
      <c r="Z68" s="497"/>
      <c r="AA68" s="497"/>
      <c r="AB68" s="497"/>
      <c r="AC68" s="497"/>
      <c r="AD68" s="497"/>
      <c r="AE68" s="497"/>
      <c r="AF68" s="497"/>
      <c r="AG68" s="497"/>
      <c r="AH68" s="497"/>
    </row>
    <row r="69" spans="1:50" x14ac:dyDescent="0.2">
      <c r="A69" s="206"/>
      <c r="B69" s="497"/>
      <c r="C69" s="497"/>
      <c r="D69" s="497"/>
      <c r="E69" s="497"/>
      <c r="F69" s="497"/>
      <c r="G69" s="497"/>
      <c r="H69" s="497"/>
      <c r="I69" s="497"/>
      <c r="J69" s="497"/>
      <c r="K69" s="497"/>
      <c r="L69" s="497"/>
      <c r="M69" s="497"/>
      <c r="N69" s="497"/>
      <c r="O69" s="497"/>
      <c r="P69" s="497"/>
      <c r="Q69" s="497"/>
      <c r="R69" s="497"/>
      <c r="S69" s="497"/>
      <c r="T69" s="497"/>
      <c r="U69" s="497"/>
      <c r="V69" s="497"/>
      <c r="W69" s="497"/>
      <c r="X69" s="497"/>
      <c r="Y69" s="497"/>
      <c r="Z69" s="497"/>
      <c r="AA69" s="497"/>
      <c r="AB69" s="497"/>
      <c r="AC69" s="497"/>
      <c r="AD69" s="497"/>
      <c r="AE69" s="497"/>
      <c r="AF69" s="497"/>
      <c r="AG69" s="497"/>
      <c r="AH69" s="497"/>
    </row>
    <row r="70" spans="1:50" x14ac:dyDescent="0.2">
      <c r="A70" s="206"/>
      <c r="B70" s="497"/>
      <c r="C70" s="497"/>
      <c r="D70" s="497"/>
      <c r="E70" s="497"/>
      <c r="F70" s="497"/>
      <c r="G70" s="497"/>
      <c r="H70" s="497"/>
      <c r="I70" s="497"/>
      <c r="J70" s="497"/>
      <c r="K70" s="497"/>
      <c r="L70" s="497"/>
      <c r="M70" s="497"/>
      <c r="N70" s="497"/>
      <c r="O70" s="497"/>
      <c r="P70" s="497"/>
      <c r="Q70" s="497"/>
      <c r="R70" s="497"/>
      <c r="S70" s="497"/>
      <c r="T70" s="497"/>
      <c r="U70" s="497"/>
      <c r="V70" s="497"/>
      <c r="W70" s="497"/>
      <c r="X70" s="497"/>
      <c r="Y70" s="497"/>
      <c r="Z70" s="497"/>
      <c r="AA70" s="497"/>
      <c r="AB70" s="497"/>
      <c r="AC70" s="497"/>
      <c r="AD70" s="497"/>
      <c r="AE70" s="497"/>
      <c r="AF70" s="497"/>
      <c r="AG70" s="497"/>
      <c r="AH70" s="497"/>
    </row>
    <row r="71" spans="1:50" x14ac:dyDescent="0.2">
      <c r="A71" s="206"/>
      <c r="B71" s="497"/>
      <c r="C71" s="497"/>
      <c r="D71" s="497"/>
      <c r="E71" s="497"/>
      <c r="F71" s="497"/>
      <c r="G71" s="497"/>
      <c r="H71" s="497"/>
      <c r="I71" s="497"/>
      <c r="J71" s="497"/>
      <c r="K71" s="497"/>
      <c r="L71" s="497"/>
      <c r="M71" s="497"/>
      <c r="N71" s="497"/>
      <c r="O71" s="497"/>
      <c r="P71" s="497"/>
      <c r="Q71" s="497"/>
      <c r="R71" s="497"/>
      <c r="S71" s="497"/>
      <c r="T71" s="497"/>
      <c r="U71" s="497"/>
      <c r="V71" s="497"/>
      <c r="W71" s="497"/>
      <c r="X71" s="497"/>
      <c r="Y71" s="497"/>
      <c r="Z71" s="497"/>
      <c r="AA71" s="497"/>
      <c r="AB71" s="497"/>
      <c r="AC71" s="497"/>
      <c r="AD71" s="497"/>
      <c r="AE71" s="497"/>
      <c r="AF71" s="497"/>
      <c r="AG71" s="497"/>
      <c r="AH71" s="497"/>
    </row>
    <row r="72" spans="1:50" x14ac:dyDescent="0.2">
      <c r="A72" s="493"/>
      <c r="B72" s="497"/>
      <c r="C72" s="497"/>
      <c r="D72" s="497"/>
      <c r="E72" s="497"/>
      <c r="F72" s="497"/>
      <c r="G72" s="497"/>
      <c r="H72" s="497"/>
      <c r="I72" s="497"/>
      <c r="J72" s="497"/>
      <c r="K72" s="497"/>
      <c r="L72" s="497"/>
      <c r="M72" s="497"/>
      <c r="N72" s="497"/>
      <c r="O72" s="497"/>
      <c r="P72" s="497"/>
      <c r="Q72" s="497"/>
      <c r="R72" s="497"/>
      <c r="S72" s="497"/>
      <c r="T72" s="497"/>
      <c r="U72" s="497"/>
      <c r="V72" s="497"/>
      <c r="W72" s="497"/>
      <c r="X72" s="497"/>
      <c r="Y72" s="497"/>
      <c r="Z72" s="497"/>
      <c r="AA72" s="497"/>
      <c r="AB72" s="497"/>
      <c r="AC72" s="497"/>
      <c r="AD72" s="497"/>
      <c r="AE72" s="497"/>
      <c r="AF72" s="497"/>
      <c r="AG72" s="497"/>
      <c r="AH72" s="497"/>
    </row>
    <row r="73" spans="1:50" x14ac:dyDescent="0.2">
      <c r="A73" s="493"/>
      <c r="B73" s="497"/>
      <c r="C73" s="497"/>
      <c r="D73" s="497"/>
      <c r="E73" s="497"/>
      <c r="F73" s="497"/>
      <c r="G73" s="497"/>
      <c r="H73" s="497"/>
      <c r="I73" s="497"/>
      <c r="J73" s="497"/>
      <c r="K73" s="497"/>
      <c r="L73" s="497"/>
      <c r="M73" s="497"/>
      <c r="N73" s="497"/>
      <c r="O73" s="497"/>
      <c r="P73" s="497"/>
      <c r="Q73" s="497"/>
      <c r="R73" s="497"/>
      <c r="S73" s="497"/>
      <c r="T73" s="497"/>
      <c r="U73" s="497"/>
      <c r="V73" s="497"/>
      <c r="W73" s="497"/>
      <c r="X73" s="497"/>
      <c r="Y73" s="497"/>
      <c r="Z73" s="497"/>
      <c r="AA73" s="497"/>
      <c r="AB73" s="497"/>
      <c r="AC73" s="497"/>
      <c r="AD73" s="497"/>
      <c r="AE73" s="497"/>
      <c r="AF73" s="497"/>
      <c r="AG73" s="497"/>
      <c r="AH73" s="497"/>
    </row>
    <row r="74" spans="1:50" x14ac:dyDescent="0.2">
      <c r="A74" s="493"/>
      <c r="B74" s="497"/>
      <c r="C74" s="497"/>
      <c r="D74" s="497"/>
      <c r="E74" s="497"/>
      <c r="F74" s="497"/>
      <c r="G74" s="497"/>
      <c r="H74" s="497"/>
      <c r="I74" s="497"/>
      <c r="J74" s="497"/>
      <c r="K74" s="497"/>
      <c r="L74" s="497"/>
      <c r="M74" s="497"/>
      <c r="N74" s="497"/>
      <c r="O74" s="497"/>
      <c r="P74" s="497"/>
      <c r="Q74" s="497"/>
      <c r="R74" s="497"/>
      <c r="S74" s="497"/>
      <c r="T74" s="497"/>
      <c r="U74" s="497"/>
      <c r="V74" s="497"/>
      <c r="W74" s="497"/>
      <c r="X74" s="497"/>
      <c r="Y74" s="497"/>
      <c r="Z74" s="497"/>
      <c r="AA74" s="497"/>
      <c r="AB74" s="497"/>
      <c r="AC74" s="497"/>
      <c r="AD74" s="497"/>
      <c r="AE74" s="497"/>
      <c r="AF74" s="497"/>
      <c r="AG74" s="497"/>
      <c r="AH74" s="497"/>
    </row>
    <row r="75" spans="1:50" x14ac:dyDescent="0.2">
      <c r="A75" s="493"/>
      <c r="B75" s="497"/>
      <c r="C75" s="497"/>
      <c r="D75" s="497"/>
      <c r="E75" s="497"/>
      <c r="F75" s="497"/>
      <c r="G75" s="497"/>
      <c r="H75" s="497"/>
      <c r="I75" s="497"/>
      <c r="J75" s="497"/>
      <c r="K75" s="497"/>
      <c r="L75" s="497"/>
      <c r="M75" s="497"/>
      <c r="N75" s="497"/>
      <c r="O75" s="497"/>
      <c r="P75" s="497"/>
      <c r="Q75" s="497"/>
      <c r="R75" s="497"/>
      <c r="S75" s="497"/>
      <c r="T75" s="497"/>
      <c r="U75" s="497"/>
      <c r="V75" s="497"/>
      <c r="W75" s="497"/>
      <c r="X75" s="497"/>
      <c r="Y75" s="497"/>
      <c r="Z75" s="497"/>
      <c r="AA75" s="497"/>
      <c r="AB75" s="497"/>
      <c r="AC75" s="497"/>
      <c r="AD75" s="497"/>
      <c r="AE75" s="497"/>
      <c r="AF75" s="497"/>
      <c r="AG75" s="497"/>
      <c r="AH75" s="497"/>
    </row>
    <row r="76" spans="1:50" x14ac:dyDescent="0.2">
      <c r="A76" s="493"/>
      <c r="B76" s="497"/>
      <c r="C76" s="497"/>
      <c r="D76" s="497"/>
      <c r="E76" s="497"/>
      <c r="F76" s="497"/>
      <c r="G76" s="497"/>
      <c r="H76" s="497"/>
      <c r="I76" s="497"/>
      <c r="J76" s="497"/>
      <c r="K76" s="497"/>
      <c r="L76" s="497"/>
      <c r="M76" s="497"/>
      <c r="N76" s="497"/>
      <c r="O76" s="497"/>
      <c r="P76" s="497"/>
      <c r="Q76" s="497"/>
      <c r="R76" s="497"/>
      <c r="S76" s="497"/>
      <c r="T76" s="497"/>
      <c r="U76" s="497"/>
      <c r="V76" s="497"/>
      <c r="W76" s="497"/>
      <c r="X76" s="497"/>
      <c r="Y76" s="497"/>
      <c r="Z76" s="497"/>
      <c r="AA76" s="497"/>
      <c r="AB76" s="497"/>
      <c r="AC76" s="497"/>
      <c r="AD76" s="497"/>
      <c r="AE76" s="497"/>
      <c r="AF76" s="497"/>
      <c r="AG76" s="497"/>
      <c r="AH76" s="497"/>
    </row>
    <row r="77" spans="1:50" x14ac:dyDescent="0.2">
      <c r="A77" s="493"/>
      <c r="B77" s="497"/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7"/>
      <c r="O77" s="497"/>
      <c r="P77" s="497"/>
      <c r="Q77" s="497"/>
      <c r="R77" s="497"/>
      <c r="S77" s="497"/>
      <c r="T77" s="497"/>
      <c r="U77" s="497"/>
      <c r="V77" s="497"/>
      <c r="W77" s="497"/>
      <c r="X77" s="497"/>
      <c r="Y77" s="497"/>
      <c r="Z77" s="497"/>
      <c r="AA77" s="497"/>
      <c r="AB77" s="497"/>
      <c r="AC77" s="497"/>
      <c r="AD77" s="497"/>
      <c r="AE77" s="497"/>
      <c r="AF77" s="497"/>
      <c r="AG77" s="497"/>
      <c r="AH77" s="497"/>
    </row>
    <row r="78" spans="1:50" x14ac:dyDescent="0.2">
      <c r="A78" s="493"/>
      <c r="B78" s="497"/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  <c r="O78" s="497"/>
      <c r="P78" s="497"/>
      <c r="Q78" s="497"/>
      <c r="R78" s="497"/>
      <c r="S78" s="497"/>
      <c r="T78" s="497"/>
      <c r="U78" s="497"/>
      <c r="V78" s="497"/>
      <c r="W78" s="497"/>
      <c r="X78" s="497"/>
      <c r="Y78" s="497"/>
      <c r="Z78" s="497"/>
      <c r="AA78" s="497"/>
      <c r="AB78" s="497"/>
      <c r="AC78" s="497"/>
      <c r="AD78" s="497"/>
      <c r="AE78" s="497"/>
      <c r="AF78" s="497"/>
      <c r="AG78" s="497"/>
      <c r="AH78" s="497"/>
    </row>
    <row r="79" spans="1:50" x14ac:dyDescent="0.2">
      <c r="A79" s="493"/>
      <c r="B79" s="497"/>
      <c r="C79" s="497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</row>
    <row r="80" spans="1:50" x14ac:dyDescent="0.2">
      <c r="A80" s="493"/>
      <c r="B80" s="497"/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7"/>
      <c r="P80" s="497"/>
      <c r="Q80" s="497"/>
      <c r="R80" s="497"/>
      <c r="S80" s="497"/>
      <c r="T80" s="497"/>
      <c r="U80" s="497"/>
      <c r="V80" s="497"/>
      <c r="W80" s="497"/>
      <c r="X80" s="497"/>
      <c r="Y80" s="497"/>
      <c r="Z80" s="497"/>
      <c r="AA80" s="497"/>
      <c r="AB80" s="497"/>
      <c r="AC80" s="497"/>
      <c r="AD80" s="497"/>
      <c r="AE80" s="497"/>
      <c r="AF80" s="497"/>
      <c r="AG80" s="497"/>
      <c r="AH80" s="497"/>
    </row>
    <row r="81" spans="1:34" x14ac:dyDescent="0.2">
      <c r="A81" s="493"/>
      <c r="B81" s="497"/>
      <c r="C81" s="497"/>
      <c r="D81" s="497"/>
      <c r="E81" s="497"/>
      <c r="F81" s="497"/>
      <c r="G81" s="497"/>
      <c r="H81" s="497"/>
      <c r="I81" s="497"/>
      <c r="J81" s="497"/>
      <c r="K81" s="497"/>
      <c r="L81" s="497"/>
      <c r="M81" s="497"/>
      <c r="N81" s="497"/>
      <c r="O81" s="497"/>
      <c r="P81" s="497"/>
      <c r="Q81" s="497"/>
      <c r="R81" s="497"/>
      <c r="S81" s="497"/>
      <c r="T81" s="497"/>
      <c r="U81" s="497"/>
      <c r="V81" s="497"/>
      <c r="W81" s="497"/>
      <c r="X81" s="497"/>
      <c r="Y81" s="497"/>
      <c r="Z81" s="497"/>
      <c r="AA81" s="497"/>
      <c r="AB81" s="497"/>
      <c r="AC81" s="497"/>
      <c r="AD81" s="497"/>
      <c r="AE81" s="497"/>
      <c r="AF81" s="497"/>
      <c r="AG81" s="497"/>
      <c r="AH81" s="497"/>
    </row>
    <row r="82" spans="1:34" x14ac:dyDescent="0.2">
      <c r="A82" s="493"/>
      <c r="B82" s="497"/>
      <c r="C82" s="497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</row>
    <row r="83" spans="1:34" x14ac:dyDescent="0.2">
      <c r="A83" s="493"/>
      <c r="B83" s="497"/>
      <c r="C83" s="497"/>
      <c r="D83" s="497"/>
      <c r="E83" s="497"/>
      <c r="F83" s="497"/>
      <c r="G83" s="497"/>
      <c r="H83" s="497"/>
      <c r="I83" s="497"/>
      <c r="J83" s="497"/>
      <c r="K83" s="497"/>
      <c r="L83" s="497"/>
      <c r="M83" s="497"/>
      <c r="N83" s="497"/>
      <c r="O83" s="497"/>
      <c r="P83" s="497"/>
      <c r="Q83" s="497"/>
      <c r="R83" s="497"/>
      <c r="S83" s="497"/>
      <c r="T83" s="497"/>
      <c r="U83" s="497"/>
      <c r="V83" s="497"/>
      <c r="W83" s="497"/>
      <c r="X83" s="497"/>
      <c r="Y83" s="497"/>
      <c r="Z83" s="497"/>
      <c r="AA83" s="497"/>
      <c r="AB83" s="497"/>
      <c r="AC83" s="497"/>
      <c r="AD83" s="497"/>
      <c r="AE83" s="497"/>
      <c r="AF83" s="497"/>
      <c r="AG83" s="497"/>
      <c r="AH83" s="497"/>
    </row>
    <row r="84" spans="1:34" x14ac:dyDescent="0.2">
      <c r="A84" s="493"/>
      <c r="B84" s="497"/>
      <c r="C84" s="497"/>
      <c r="D84" s="497"/>
      <c r="E84" s="497"/>
      <c r="F84" s="497"/>
      <c r="G84" s="497"/>
      <c r="H84" s="497"/>
      <c r="I84" s="497"/>
      <c r="J84" s="497"/>
      <c r="K84" s="497"/>
      <c r="L84" s="497"/>
      <c r="M84" s="497"/>
      <c r="N84" s="497"/>
      <c r="O84" s="497"/>
      <c r="P84" s="497"/>
      <c r="Q84" s="497"/>
      <c r="R84" s="497"/>
      <c r="S84" s="497"/>
      <c r="T84" s="497"/>
      <c r="U84" s="497"/>
      <c r="V84" s="497"/>
      <c r="W84" s="497"/>
      <c r="X84" s="497"/>
      <c r="Y84" s="497"/>
      <c r="Z84" s="497"/>
      <c r="AA84" s="497"/>
      <c r="AB84" s="497"/>
      <c r="AC84" s="497"/>
      <c r="AD84" s="497"/>
      <c r="AE84" s="497"/>
      <c r="AF84" s="497"/>
      <c r="AG84" s="497"/>
      <c r="AH84" s="497"/>
    </row>
    <row r="85" spans="1:34" x14ac:dyDescent="0.2">
      <c r="A85" s="493"/>
      <c r="B85" s="497"/>
      <c r="C85" s="497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</row>
    <row r="86" spans="1:34" x14ac:dyDescent="0.2">
      <c r="A86" s="493"/>
      <c r="B86" s="497"/>
      <c r="C86" s="497"/>
      <c r="D86" s="497"/>
      <c r="E86" s="497"/>
      <c r="F86" s="497"/>
      <c r="G86" s="497"/>
      <c r="H86" s="497"/>
      <c r="I86" s="497"/>
      <c r="J86" s="497"/>
      <c r="K86" s="497"/>
      <c r="L86" s="497"/>
      <c r="M86" s="497"/>
      <c r="N86" s="497"/>
      <c r="O86" s="497"/>
      <c r="P86" s="497"/>
      <c r="Q86" s="497"/>
      <c r="R86" s="497"/>
      <c r="S86" s="497"/>
      <c r="T86" s="497"/>
      <c r="U86" s="497"/>
      <c r="V86" s="497"/>
      <c r="W86" s="497"/>
      <c r="X86" s="497"/>
      <c r="Y86" s="497"/>
      <c r="Z86" s="497"/>
      <c r="AA86" s="497"/>
      <c r="AB86" s="497"/>
      <c r="AC86" s="497"/>
      <c r="AD86" s="497"/>
      <c r="AE86" s="497"/>
      <c r="AF86" s="497"/>
      <c r="AG86" s="497"/>
      <c r="AH86" s="497"/>
    </row>
    <row r="87" spans="1:34" x14ac:dyDescent="0.2">
      <c r="A87" s="493"/>
      <c r="B87" s="497"/>
      <c r="C87" s="497"/>
      <c r="D87" s="497"/>
      <c r="E87" s="497"/>
      <c r="F87" s="497"/>
      <c r="G87" s="497"/>
      <c r="H87" s="497"/>
      <c r="I87" s="497"/>
      <c r="J87" s="497"/>
      <c r="K87" s="497"/>
      <c r="L87" s="497"/>
      <c r="M87" s="497"/>
      <c r="N87" s="497"/>
      <c r="O87" s="497"/>
      <c r="P87" s="497"/>
      <c r="Q87" s="497"/>
      <c r="R87" s="497"/>
      <c r="S87" s="497"/>
      <c r="T87" s="497"/>
      <c r="U87" s="497"/>
      <c r="V87" s="497"/>
      <c r="W87" s="497"/>
      <c r="X87" s="497"/>
      <c r="Y87" s="497"/>
      <c r="Z87" s="497"/>
      <c r="AA87" s="497"/>
      <c r="AB87" s="497"/>
      <c r="AC87" s="497"/>
      <c r="AD87" s="497"/>
      <c r="AE87" s="497"/>
      <c r="AF87" s="497"/>
      <c r="AG87" s="497"/>
      <c r="AH87" s="497"/>
    </row>
    <row r="88" spans="1:34" x14ac:dyDescent="0.2">
      <c r="A88" s="493"/>
      <c r="B88" s="497"/>
      <c r="C88" s="497"/>
      <c r="D88" s="497"/>
      <c r="E88" s="497"/>
      <c r="F88" s="497"/>
      <c r="G88" s="497"/>
      <c r="H88" s="497"/>
      <c r="I88" s="497"/>
      <c r="J88" s="497"/>
      <c r="K88" s="497"/>
      <c r="L88" s="497"/>
      <c r="M88" s="497"/>
      <c r="N88" s="497"/>
      <c r="O88" s="497"/>
      <c r="P88" s="497"/>
      <c r="Q88" s="497"/>
      <c r="R88" s="497"/>
      <c r="S88" s="497"/>
      <c r="T88" s="497"/>
      <c r="U88" s="497"/>
      <c r="V88" s="497"/>
      <c r="W88" s="497"/>
      <c r="X88" s="497"/>
      <c r="Y88" s="497"/>
      <c r="Z88" s="497"/>
      <c r="AA88" s="497"/>
      <c r="AB88" s="497"/>
      <c r="AC88" s="497"/>
      <c r="AD88" s="497"/>
      <c r="AE88" s="497"/>
      <c r="AF88" s="497"/>
      <c r="AG88" s="497"/>
      <c r="AH88" s="497"/>
    </row>
    <row r="89" spans="1:34" x14ac:dyDescent="0.2">
      <c r="A89" s="493"/>
      <c r="B89" s="497"/>
      <c r="C89" s="497"/>
      <c r="D89" s="497"/>
      <c r="E89" s="497"/>
      <c r="F89" s="497"/>
      <c r="G89" s="497"/>
      <c r="H89" s="497"/>
      <c r="I89" s="497"/>
      <c r="J89" s="497"/>
      <c r="K89" s="497"/>
      <c r="L89" s="497"/>
      <c r="M89" s="497"/>
      <c r="N89" s="497"/>
      <c r="O89" s="497"/>
      <c r="P89" s="497"/>
      <c r="Q89" s="497"/>
      <c r="R89" s="497"/>
      <c r="S89" s="497"/>
      <c r="T89" s="497"/>
      <c r="U89" s="497"/>
      <c r="V89" s="497"/>
      <c r="W89" s="497"/>
      <c r="X89" s="497"/>
      <c r="Y89" s="497"/>
      <c r="Z89" s="497"/>
      <c r="AA89" s="497"/>
      <c r="AB89" s="497"/>
      <c r="AC89" s="497"/>
      <c r="AD89" s="497"/>
      <c r="AE89" s="497"/>
      <c r="AF89" s="497"/>
      <c r="AG89" s="497"/>
      <c r="AH89" s="497"/>
    </row>
    <row r="90" spans="1:34" x14ac:dyDescent="0.2">
      <c r="A90" s="493"/>
      <c r="B90" s="346"/>
      <c r="C90" s="346"/>
      <c r="D90" s="346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46"/>
      <c r="AB90" s="346"/>
      <c r="AC90" s="346"/>
      <c r="AD90" s="346"/>
      <c r="AE90" s="346"/>
      <c r="AF90" s="346"/>
    </row>
    <row r="91" spans="1:34" x14ac:dyDescent="0.2">
      <c r="A91" s="493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Z91" s="346"/>
      <c r="AA91" s="346"/>
      <c r="AB91" s="346"/>
      <c r="AC91" s="346"/>
      <c r="AD91" s="346"/>
      <c r="AE91" s="346"/>
      <c r="AF91" s="346"/>
    </row>
    <row r="92" spans="1:34" x14ac:dyDescent="0.2">
      <c r="A92" s="493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Z92" s="346"/>
      <c r="AA92" s="346"/>
      <c r="AB92" s="346"/>
      <c r="AC92" s="346"/>
      <c r="AD92" s="346"/>
      <c r="AE92" s="346"/>
      <c r="AF92" s="346"/>
    </row>
    <row r="93" spans="1:34" x14ac:dyDescent="0.2">
      <c r="A93" s="493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46"/>
      <c r="AB93" s="346"/>
      <c r="AC93" s="346"/>
      <c r="AD93" s="346"/>
      <c r="AE93" s="346"/>
      <c r="AF93" s="346"/>
    </row>
    <row r="94" spans="1:34" x14ac:dyDescent="0.2">
      <c r="A94" s="493"/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46"/>
      <c r="AB94" s="346"/>
      <c r="AC94" s="346"/>
      <c r="AD94" s="346"/>
      <c r="AE94" s="346"/>
      <c r="AF94" s="346"/>
    </row>
    <row r="95" spans="1:34" x14ac:dyDescent="0.2">
      <c r="A95" s="493"/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46"/>
      <c r="AB95" s="346"/>
      <c r="AC95" s="346"/>
      <c r="AD95" s="346"/>
      <c r="AE95" s="346"/>
      <c r="AF95" s="346"/>
    </row>
    <row r="96" spans="1:34" x14ac:dyDescent="0.2">
      <c r="A96" s="493"/>
      <c r="B96" s="346"/>
      <c r="C96" s="346"/>
      <c r="D96" s="346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6"/>
      <c r="AE96" s="346"/>
      <c r="AF96" s="346"/>
    </row>
    <row r="97" spans="1:32" x14ac:dyDescent="0.2">
      <c r="A97" s="493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6"/>
      <c r="AE97" s="346"/>
      <c r="AF97" s="346"/>
    </row>
    <row r="98" spans="1:32" x14ac:dyDescent="0.2">
      <c r="A98" s="493"/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346"/>
      <c r="AB98" s="346"/>
      <c r="AC98" s="346"/>
      <c r="AD98" s="346"/>
      <c r="AE98" s="346"/>
      <c r="AF98" s="346"/>
    </row>
    <row r="99" spans="1:32" x14ac:dyDescent="0.2">
      <c r="A99" s="493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Z99" s="346"/>
      <c r="AA99" s="346"/>
      <c r="AB99" s="346"/>
      <c r="AC99" s="346"/>
      <c r="AD99" s="346"/>
      <c r="AE99" s="346"/>
      <c r="AF99" s="346"/>
    </row>
    <row r="100" spans="1:32" x14ac:dyDescent="0.2">
      <c r="A100" s="493"/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346"/>
      <c r="AB100" s="346"/>
      <c r="AC100" s="346"/>
      <c r="AD100" s="346"/>
      <c r="AE100" s="346"/>
      <c r="AF100" s="346"/>
    </row>
    <row r="101" spans="1:32" x14ac:dyDescent="0.2">
      <c r="A101" s="493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46"/>
      <c r="AB101" s="346"/>
      <c r="AC101" s="346"/>
      <c r="AD101" s="346"/>
      <c r="AE101" s="346"/>
      <c r="AF101" s="346"/>
    </row>
    <row r="102" spans="1:32" x14ac:dyDescent="0.2">
      <c r="A102" s="493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46"/>
      <c r="AB102" s="346"/>
      <c r="AC102" s="346"/>
      <c r="AD102" s="346"/>
      <c r="AE102" s="346"/>
      <c r="AF102" s="346"/>
    </row>
    <row r="103" spans="1:32" x14ac:dyDescent="0.2">
      <c r="A103" s="493"/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46"/>
      <c r="AB103" s="346"/>
      <c r="AC103" s="346"/>
      <c r="AD103" s="346"/>
      <c r="AE103" s="346"/>
      <c r="AF103" s="346"/>
    </row>
    <row r="104" spans="1:32" x14ac:dyDescent="0.2">
      <c r="A104" s="493"/>
      <c r="B104" s="494"/>
      <c r="C104" s="485"/>
    </row>
    <row r="105" spans="1:32" x14ac:dyDescent="0.2">
      <c r="A105" s="493"/>
      <c r="B105" s="494"/>
      <c r="C105" s="485"/>
    </row>
    <row r="106" spans="1:32" x14ac:dyDescent="0.2">
      <c r="A106" s="493"/>
      <c r="B106" s="494"/>
      <c r="C106" s="485"/>
    </row>
    <row r="107" spans="1:32" x14ac:dyDescent="0.2">
      <c r="A107" s="493"/>
      <c r="B107" s="494"/>
      <c r="C107" s="485"/>
    </row>
    <row r="108" spans="1:32" x14ac:dyDescent="0.2">
      <c r="A108" s="493"/>
      <c r="B108" s="494"/>
      <c r="C108" s="485"/>
    </row>
    <row r="109" spans="1:32" x14ac:dyDescent="0.2">
      <c r="A109" s="493"/>
      <c r="B109" s="494"/>
      <c r="C109" s="485"/>
    </row>
    <row r="110" spans="1:32" x14ac:dyDescent="0.2">
      <c r="A110" s="493"/>
      <c r="B110" s="494"/>
      <c r="C110" s="485"/>
    </row>
    <row r="111" spans="1:32" x14ac:dyDescent="0.2">
      <c r="A111" s="493"/>
      <c r="B111" s="494"/>
      <c r="C111" s="485"/>
    </row>
    <row r="112" spans="1:32" x14ac:dyDescent="0.2">
      <c r="A112" s="493"/>
      <c r="B112" s="494"/>
      <c r="C112" s="485"/>
    </row>
    <row r="113" spans="1:3" x14ac:dyDescent="0.2">
      <c r="A113" s="493"/>
      <c r="B113" s="494"/>
      <c r="C113" s="485"/>
    </row>
    <row r="114" spans="1:3" x14ac:dyDescent="0.2">
      <c r="A114" s="493"/>
      <c r="B114" s="494"/>
      <c r="C114" s="485"/>
    </row>
    <row r="115" spans="1:3" x14ac:dyDescent="0.2">
      <c r="A115" s="493"/>
      <c r="B115" s="494"/>
      <c r="C115" s="485"/>
    </row>
    <row r="116" spans="1:3" x14ac:dyDescent="0.2">
      <c r="A116" s="493"/>
      <c r="B116" s="494"/>
      <c r="C116" s="485"/>
    </row>
    <row r="117" spans="1:3" x14ac:dyDescent="0.2">
      <c r="A117" s="493"/>
      <c r="B117" s="494"/>
      <c r="C117" s="485"/>
    </row>
    <row r="118" spans="1:3" x14ac:dyDescent="0.2">
      <c r="A118" s="493"/>
      <c r="B118" s="494"/>
      <c r="C118" s="485"/>
    </row>
    <row r="119" spans="1:3" x14ac:dyDescent="0.2">
      <c r="A119" s="493"/>
      <c r="B119" s="494"/>
      <c r="C119" s="485"/>
    </row>
    <row r="120" spans="1:3" x14ac:dyDescent="0.2">
      <c r="A120" s="493"/>
      <c r="B120" s="494"/>
      <c r="C120" s="485"/>
    </row>
    <row r="121" spans="1:3" x14ac:dyDescent="0.2">
      <c r="A121" s="493"/>
      <c r="B121" s="494"/>
      <c r="C121" s="485"/>
    </row>
    <row r="122" spans="1:3" x14ac:dyDescent="0.2">
      <c r="A122" s="493"/>
      <c r="B122" s="494"/>
      <c r="C122" s="485"/>
    </row>
    <row r="123" spans="1:3" x14ac:dyDescent="0.2">
      <c r="A123" s="493"/>
      <c r="B123" s="494"/>
      <c r="C123" s="485"/>
    </row>
    <row r="124" spans="1:3" x14ac:dyDescent="0.2">
      <c r="A124" s="493"/>
      <c r="B124" s="494"/>
      <c r="C124" s="485"/>
    </row>
    <row r="125" spans="1:3" x14ac:dyDescent="0.2">
      <c r="A125" s="493"/>
      <c r="B125" s="494"/>
      <c r="C125" s="485"/>
    </row>
    <row r="126" spans="1:3" x14ac:dyDescent="0.2">
      <c r="A126" s="493"/>
      <c r="B126" s="494"/>
      <c r="C126" s="485"/>
    </row>
    <row r="127" spans="1:3" x14ac:dyDescent="0.2">
      <c r="A127" s="493"/>
      <c r="B127" s="494"/>
      <c r="C127" s="485"/>
    </row>
    <row r="128" spans="1:3" x14ac:dyDescent="0.2">
      <c r="A128" s="493"/>
      <c r="B128" s="494"/>
      <c r="C128" s="485"/>
    </row>
    <row r="129" spans="1:3" x14ac:dyDescent="0.2">
      <c r="A129" s="493"/>
      <c r="B129" s="494"/>
      <c r="C129" s="485"/>
    </row>
    <row r="130" spans="1:3" x14ac:dyDescent="0.2">
      <c r="A130" s="493"/>
      <c r="B130" s="494"/>
      <c r="C130" s="485"/>
    </row>
    <row r="131" spans="1:3" x14ac:dyDescent="0.2">
      <c r="A131" s="493"/>
      <c r="B131" s="494"/>
      <c r="C131" s="485"/>
    </row>
    <row r="132" spans="1:3" x14ac:dyDescent="0.2">
      <c r="A132" s="493"/>
      <c r="B132" s="494"/>
      <c r="C132" s="485"/>
    </row>
    <row r="133" spans="1:3" x14ac:dyDescent="0.2">
      <c r="A133" s="493"/>
      <c r="B133" s="494"/>
      <c r="C133" s="485"/>
    </row>
    <row r="134" spans="1:3" x14ac:dyDescent="0.2">
      <c r="A134" s="493"/>
      <c r="B134" s="494"/>
      <c r="C134" s="485"/>
    </row>
    <row r="135" spans="1:3" x14ac:dyDescent="0.2">
      <c r="A135" s="493"/>
      <c r="B135" s="494"/>
      <c r="C135" s="485"/>
    </row>
    <row r="136" spans="1:3" x14ac:dyDescent="0.2">
      <c r="A136" s="493"/>
      <c r="B136" s="494"/>
      <c r="C136" s="485"/>
    </row>
    <row r="137" spans="1:3" x14ac:dyDescent="0.2">
      <c r="A137" s="493"/>
      <c r="B137" s="494"/>
      <c r="C137" s="485"/>
    </row>
    <row r="138" spans="1:3" x14ac:dyDescent="0.2">
      <c r="A138" s="493"/>
      <c r="B138" s="494"/>
      <c r="C138" s="485"/>
    </row>
    <row r="139" spans="1:3" x14ac:dyDescent="0.2">
      <c r="A139" s="493"/>
      <c r="B139" s="494"/>
      <c r="C139" s="485"/>
    </row>
    <row r="140" spans="1:3" x14ac:dyDescent="0.2">
      <c r="A140" s="493"/>
      <c r="B140" s="494"/>
      <c r="C140" s="485"/>
    </row>
    <row r="141" spans="1:3" x14ac:dyDescent="0.2">
      <c r="A141" s="493"/>
      <c r="B141" s="494"/>
      <c r="C141" s="485"/>
    </row>
    <row r="142" spans="1:3" x14ac:dyDescent="0.2">
      <c r="A142" s="493"/>
      <c r="B142" s="494"/>
      <c r="C142" s="485"/>
    </row>
    <row r="143" spans="1:3" x14ac:dyDescent="0.2">
      <c r="A143" s="493"/>
      <c r="B143" s="494"/>
      <c r="C143" s="485"/>
    </row>
    <row r="144" spans="1:3" x14ac:dyDescent="0.2">
      <c r="A144" s="493"/>
      <c r="B144" s="494"/>
      <c r="C144" s="485"/>
    </row>
    <row r="145" spans="1:3" x14ac:dyDescent="0.2">
      <c r="A145" s="493"/>
      <c r="B145" s="494"/>
      <c r="C145" s="485"/>
    </row>
    <row r="146" spans="1:3" x14ac:dyDescent="0.2">
      <c r="A146" s="493"/>
      <c r="B146" s="494"/>
      <c r="C146" s="485"/>
    </row>
    <row r="147" spans="1:3" x14ac:dyDescent="0.2">
      <c r="A147" s="493"/>
      <c r="B147" s="494"/>
      <c r="C147" s="485"/>
    </row>
    <row r="148" spans="1:3" x14ac:dyDescent="0.2">
      <c r="A148" s="493"/>
      <c r="B148" s="494"/>
      <c r="C148" s="485"/>
    </row>
    <row r="149" spans="1:3" x14ac:dyDescent="0.2">
      <c r="A149" s="493"/>
      <c r="B149" s="494"/>
      <c r="C149" s="485"/>
    </row>
    <row r="150" spans="1:3" x14ac:dyDescent="0.2">
      <c r="A150" s="493"/>
      <c r="B150" s="494"/>
      <c r="C150" s="485"/>
    </row>
    <row r="151" spans="1:3" x14ac:dyDescent="0.2">
      <c r="A151" s="493"/>
      <c r="B151" s="494"/>
      <c r="C151" s="485"/>
    </row>
    <row r="152" spans="1:3" x14ac:dyDescent="0.2">
      <c r="A152" s="493"/>
      <c r="B152" s="494"/>
      <c r="C152" s="485"/>
    </row>
    <row r="153" spans="1:3" x14ac:dyDescent="0.2">
      <c r="A153" s="493"/>
      <c r="B153" s="494"/>
      <c r="C153" s="485"/>
    </row>
    <row r="154" spans="1:3" x14ac:dyDescent="0.2">
      <c r="A154" s="493"/>
      <c r="B154" s="494"/>
      <c r="C154" s="485"/>
    </row>
    <row r="155" spans="1:3" x14ac:dyDescent="0.2">
      <c r="A155" s="493"/>
      <c r="B155" s="494"/>
      <c r="C155" s="485"/>
    </row>
    <row r="156" spans="1:3" x14ac:dyDescent="0.2">
      <c r="A156" s="493"/>
      <c r="B156" s="494"/>
      <c r="C156" s="485"/>
    </row>
    <row r="157" spans="1:3" x14ac:dyDescent="0.2">
      <c r="A157" s="493"/>
      <c r="B157" s="494"/>
      <c r="C157" s="485"/>
    </row>
    <row r="158" spans="1:3" x14ac:dyDescent="0.2">
      <c r="A158" s="493"/>
      <c r="B158" s="494"/>
      <c r="C158" s="485"/>
    </row>
    <row r="159" spans="1:3" x14ac:dyDescent="0.2">
      <c r="A159" s="493"/>
      <c r="B159" s="494"/>
      <c r="C159" s="485"/>
    </row>
    <row r="160" spans="1:3" x14ac:dyDescent="0.2">
      <c r="A160" s="493"/>
      <c r="B160" s="494"/>
      <c r="C160" s="485"/>
    </row>
    <row r="161" spans="1:3" x14ac:dyDescent="0.2">
      <c r="A161" s="493"/>
      <c r="B161" s="494"/>
      <c r="C161" s="485"/>
    </row>
    <row r="162" spans="1:3" x14ac:dyDescent="0.2">
      <c r="A162" s="493"/>
      <c r="B162" s="494"/>
      <c r="C162" s="485"/>
    </row>
    <row r="163" spans="1:3" x14ac:dyDescent="0.2">
      <c r="A163" s="493"/>
      <c r="B163" s="494"/>
      <c r="C163" s="485"/>
    </row>
    <row r="164" spans="1:3" x14ac:dyDescent="0.2">
      <c r="A164" s="493"/>
      <c r="B164" s="494"/>
      <c r="C164" s="485"/>
    </row>
    <row r="165" spans="1:3" x14ac:dyDescent="0.2">
      <c r="A165" s="493"/>
      <c r="B165" s="494"/>
      <c r="C165" s="485"/>
    </row>
    <row r="166" spans="1:3" x14ac:dyDescent="0.2">
      <c r="A166" s="493"/>
      <c r="B166" s="494"/>
      <c r="C166" s="485"/>
    </row>
    <row r="167" spans="1:3" x14ac:dyDescent="0.2">
      <c r="A167" s="493"/>
      <c r="B167" s="494"/>
      <c r="C167" s="485"/>
    </row>
    <row r="168" spans="1:3" x14ac:dyDescent="0.2">
      <c r="A168" s="493"/>
      <c r="B168" s="494"/>
      <c r="C168" s="485"/>
    </row>
    <row r="169" spans="1:3" x14ac:dyDescent="0.2">
      <c r="A169" s="493"/>
      <c r="B169" s="494"/>
      <c r="C169" s="485"/>
    </row>
    <row r="170" spans="1:3" x14ac:dyDescent="0.2">
      <c r="A170" s="493"/>
      <c r="B170" s="494"/>
      <c r="C170" s="485"/>
    </row>
    <row r="171" spans="1:3" x14ac:dyDescent="0.2">
      <c r="A171" s="493"/>
      <c r="B171" s="494"/>
      <c r="C171" s="485"/>
    </row>
    <row r="172" spans="1:3" x14ac:dyDescent="0.2">
      <c r="A172" s="493"/>
      <c r="B172" s="494"/>
      <c r="C172" s="485"/>
    </row>
    <row r="173" spans="1:3" x14ac:dyDescent="0.2">
      <c r="A173" s="493"/>
      <c r="B173" s="494"/>
      <c r="C173" s="485"/>
    </row>
    <row r="174" spans="1:3" x14ac:dyDescent="0.2">
      <c r="A174" s="493"/>
      <c r="B174" s="494"/>
      <c r="C174" s="485"/>
    </row>
    <row r="175" spans="1:3" x14ac:dyDescent="0.2">
      <c r="A175" s="493"/>
      <c r="B175" s="494"/>
      <c r="C175" s="485"/>
    </row>
    <row r="176" spans="1:3" x14ac:dyDescent="0.2">
      <c r="A176" s="493"/>
      <c r="B176" s="494"/>
      <c r="C176" s="485"/>
    </row>
    <row r="177" spans="1:3" x14ac:dyDescent="0.2">
      <c r="A177" s="493"/>
      <c r="B177" s="494"/>
      <c r="C177" s="485"/>
    </row>
    <row r="178" spans="1:3" x14ac:dyDescent="0.2">
      <c r="A178" s="493"/>
      <c r="B178" s="494"/>
      <c r="C178" s="485"/>
    </row>
    <row r="179" spans="1:3" x14ac:dyDescent="0.2">
      <c r="A179" s="493"/>
      <c r="B179" s="494"/>
      <c r="C179" s="485"/>
    </row>
    <row r="180" spans="1:3" x14ac:dyDescent="0.2">
      <c r="A180" s="493"/>
      <c r="B180" s="494"/>
      <c r="C180" s="485"/>
    </row>
    <row r="181" spans="1:3" x14ac:dyDescent="0.2">
      <c r="A181" s="493"/>
      <c r="B181" s="494"/>
      <c r="C181" s="485"/>
    </row>
    <row r="182" spans="1:3" x14ac:dyDescent="0.2">
      <c r="A182" s="493"/>
      <c r="B182" s="494"/>
      <c r="C182" s="485"/>
    </row>
    <row r="183" spans="1:3" x14ac:dyDescent="0.2">
      <c r="A183" s="493"/>
      <c r="B183" s="494"/>
      <c r="C183" s="485"/>
    </row>
    <row r="184" spans="1:3" x14ac:dyDescent="0.2">
      <c r="A184" s="493"/>
      <c r="B184" s="494"/>
      <c r="C184" s="485"/>
    </row>
    <row r="185" spans="1:3" x14ac:dyDescent="0.2">
      <c r="A185" s="493"/>
      <c r="B185" s="494"/>
      <c r="C185" s="485"/>
    </row>
    <row r="186" spans="1:3" x14ac:dyDescent="0.2">
      <c r="A186" s="493"/>
      <c r="B186" s="494"/>
      <c r="C186" s="485"/>
    </row>
    <row r="187" spans="1:3" x14ac:dyDescent="0.2">
      <c r="A187" s="493"/>
      <c r="B187" s="494"/>
      <c r="C187" s="485"/>
    </row>
    <row r="188" spans="1:3" x14ac:dyDescent="0.2">
      <c r="A188" s="493"/>
      <c r="B188" s="494"/>
      <c r="C188" s="485"/>
    </row>
    <row r="189" spans="1:3" x14ac:dyDescent="0.2">
      <c r="A189" s="493"/>
      <c r="B189" s="494"/>
      <c r="C189" s="485"/>
    </row>
    <row r="190" spans="1:3" x14ac:dyDescent="0.2">
      <c r="A190" s="493"/>
      <c r="B190" s="494"/>
      <c r="C190" s="485"/>
    </row>
    <row r="191" spans="1:3" x14ac:dyDescent="0.2">
      <c r="A191" s="493"/>
      <c r="B191" s="494"/>
      <c r="C191" s="485"/>
    </row>
    <row r="192" spans="1:3" x14ac:dyDescent="0.2">
      <c r="A192" s="493"/>
      <c r="B192" s="494"/>
      <c r="C192" s="485"/>
    </row>
    <row r="193" spans="1:3" x14ac:dyDescent="0.2">
      <c r="A193" s="493"/>
      <c r="B193" s="494"/>
      <c r="C193" s="485"/>
    </row>
    <row r="194" spans="1:3" x14ac:dyDescent="0.2">
      <c r="A194" s="493"/>
      <c r="B194" s="494"/>
      <c r="C194" s="485"/>
    </row>
    <row r="195" spans="1:3" x14ac:dyDescent="0.2">
      <c r="A195" s="493"/>
      <c r="B195" s="494"/>
      <c r="C195" s="485"/>
    </row>
    <row r="196" spans="1:3" x14ac:dyDescent="0.2">
      <c r="A196" s="493"/>
      <c r="B196" s="494"/>
      <c r="C196" s="485"/>
    </row>
    <row r="197" spans="1:3" x14ac:dyDescent="0.2">
      <c r="A197" s="493"/>
      <c r="B197" s="494"/>
      <c r="C197" s="485"/>
    </row>
    <row r="198" spans="1:3" x14ac:dyDescent="0.2">
      <c r="A198" s="493"/>
      <c r="B198" s="494"/>
      <c r="C198" s="485"/>
    </row>
    <row r="199" spans="1:3" x14ac:dyDescent="0.2">
      <c r="A199" s="493"/>
      <c r="B199" s="494"/>
      <c r="C199" s="485"/>
    </row>
    <row r="200" spans="1:3" x14ac:dyDescent="0.2">
      <c r="A200" s="493"/>
      <c r="B200" s="494"/>
      <c r="C200" s="485"/>
    </row>
    <row r="201" spans="1:3" x14ac:dyDescent="0.2">
      <c r="A201" s="493"/>
      <c r="B201" s="494"/>
      <c r="C201" s="485"/>
    </row>
    <row r="202" spans="1:3" x14ac:dyDescent="0.2">
      <c r="A202" s="493"/>
      <c r="B202" s="494"/>
      <c r="C202" s="485"/>
    </row>
    <row r="203" spans="1:3" x14ac:dyDescent="0.2">
      <c r="A203" s="493"/>
      <c r="B203" s="494"/>
      <c r="C203" s="485"/>
    </row>
    <row r="204" spans="1:3" x14ac:dyDescent="0.2">
      <c r="A204" s="493"/>
      <c r="B204" s="494"/>
      <c r="C204" s="485"/>
    </row>
    <row r="205" spans="1:3" x14ac:dyDescent="0.2">
      <c r="A205" s="493"/>
      <c r="B205" s="494"/>
      <c r="C205" s="485"/>
    </row>
    <row r="206" spans="1:3" x14ac:dyDescent="0.2">
      <c r="A206" s="493"/>
      <c r="B206" s="494"/>
      <c r="C206" s="485"/>
    </row>
    <row r="207" spans="1:3" x14ac:dyDescent="0.2">
      <c r="A207" s="493"/>
      <c r="B207" s="494"/>
      <c r="C207" s="485"/>
    </row>
    <row r="208" spans="1:3" x14ac:dyDescent="0.2">
      <c r="A208" s="493"/>
      <c r="B208" s="494"/>
      <c r="C208" s="485"/>
    </row>
    <row r="209" spans="1:3" x14ac:dyDescent="0.2">
      <c r="A209" s="493"/>
      <c r="B209" s="494"/>
      <c r="C209" s="485"/>
    </row>
    <row r="210" spans="1:3" x14ac:dyDescent="0.2">
      <c r="A210" s="493"/>
      <c r="B210" s="494"/>
      <c r="C210" s="485"/>
    </row>
    <row r="211" spans="1:3" x14ac:dyDescent="0.2">
      <c r="A211" s="493"/>
      <c r="B211" s="494"/>
      <c r="C211" s="485"/>
    </row>
    <row r="212" spans="1:3" x14ac:dyDescent="0.2">
      <c r="A212" s="493"/>
      <c r="B212" s="494"/>
      <c r="C212" s="485"/>
    </row>
    <row r="213" spans="1:3" x14ac:dyDescent="0.2">
      <c r="A213" s="493"/>
      <c r="B213" s="494"/>
      <c r="C213" s="485"/>
    </row>
    <row r="214" spans="1:3" x14ac:dyDescent="0.2">
      <c r="A214" s="493"/>
      <c r="B214" s="494"/>
      <c r="C214" s="485"/>
    </row>
    <row r="215" spans="1:3" x14ac:dyDescent="0.2">
      <c r="A215" s="493"/>
      <c r="B215" s="494"/>
      <c r="C215" s="485"/>
    </row>
    <row r="216" spans="1:3" x14ac:dyDescent="0.2">
      <c r="A216" s="493"/>
      <c r="B216" s="494"/>
      <c r="C216" s="485"/>
    </row>
    <row r="217" spans="1:3" x14ac:dyDescent="0.2">
      <c r="A217" s="493"/>
      <c r="B217" s="494"/>
      <c r="C217" s="485"/>
    </row>
    <row r="218" spans="1:3" x14ac:dyDescent="0.2">
      <c r="A218" s="493"/>
      <c r="B218" s="494"/>
      <c r="C218" s="485"/>
    </row>
    <row r="219" spans="1:3" x14ac:dyDescent="0.2">
      <c r="A219" s="493"/>
      <c r="B219" s="494"/>
      <c r="C219" s="485"/>
    </row>
    <row r="220" spans="1:3" x14ac:dyDescent="0.2">
      <c r="A220" s="493"/>
      <c r="B220" s="494"/>
      <c r="C220" s="485"/>
    </row>
    <row r="221" spans="1:3" x14ac:dyDescent="0.2">
      <c r="A221" s="493"/>
      <c r="B221" s="494"/>
      <c r="C221" s="485"/>
    </row>
    <row r="222" spans="1:3" x14ac:dyDescent="0.2">
      <c r="A222" s="493"/>
      <c r="B222" s="494"/>
      <c r="C222" s="485"/>
    </row>
    <row r="223" spans="1:3" x14ac:dyDescent="0.2">
      <c r="A223" s="493"/>
      <c r="B223" s="494"/>
      <c r="C223" s="485"/>
    </row>
    <row r="224" spans="1:3" x14ac:dyDescent="0.2">
      <c r="A224" s="493"/>
      <c r="B224" s="494"/>
      <c r="C224" s="485"/>
    </row>
    <row r="225" spans="1:3" x14ac:dyDescent="0.2">
      <c r="A225" s="493"/>
      <c r="B225" s="494"/>
      <c r="C225" s="485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workbookViewId="0"/>
    <sheetView workbookViewId="1"/>
    <sheetView topLeftCell="A26" workbookViewId="2">
      <selection activeCell="D41" sqref="D41"/>
    </sheetView>
    <sheetView topLeftCell="A30" workbookViewId="3">
      <selection activeCell="B34" sqref="B34"/>
    </sheetView>
  </sheetViews>
  <sheetFormatPr defaultRowHeight="12.75" x14ac:dyDescent="0.2"/>
  <sheetData>
    <row r="3" spans="1:5" ht="15" x14ac:dyDescent="0.25">
      <c r="A3" s="134"/>
      <c r="B3" s="34" t="s">
        <v>131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37567</v>
      </c>
      <c r="C6" s="11">
        <v>26995</v>
      </c>
      <c r="D6" s="25">
        <f>+C6-B6</f>
        <v>-10572</v>
      </c>
    </row>
    <row r="7" spans="1:5" x14ac:dyDescent="0.2">
      <c r="A7" s="10">
        <v>2</v>
      </c>
      <c r="B7" s="11">
        <v>36858</v>
      </c>
      <c r="C7" s="11">
        <v>33994</v>
      </c>
      <c r="D7" s="25">
        <f t="shared" ref="D7:D36" si="0">+C7-B7</f>
        <v>-2864</v>
      </c>
    </row>
    <row r="8" spans="1:5" x14ac:dyDescent="0.2">
      <c r="A8" s="10">
        <v>3</v>
      </c>
      <c r="B8" s="11">
        <v>30888</v>
      </c>
      <c r="C8" s="11">
        <v>33652</v>
      </c>
      <c r="D8" s="25">
        <f t="shared" si="0"/>
        <v>2764</v>
      </c>
    </row>
    <row r="9" spans="1:5" x14ac:dyDescent="0.2">
      <c r="A9" s="10">
        <v>4</v>
      </c>
      <c r="B9" s="11">
        <v>32049</v>
      </c>
      <c r="C9" s="11">
        <v>34000</v>
      </c>
      <c r="D9" s="25">
        <f t="shared" si="0"/>
        <v>1951</v>
      </c>
    </row>
    <row r="10" spans="1:5" x14ac:dyDescent="0.2">
      <c r="A10" s="10">
        <v>5</v>
      </c>
      <c r="B10" s="11">
        <v>32187</v>
      </c>
      <c r="C10" s="11">
        <v>34000</v>
      </c>
      <c r="D10" s="25">
        <f t="shared" si="0"/>
        <v>1813</v>
      </c>
    </row>
    <row r="11" spans="1:5" x14ac:dyDescent="0.2">
      <c r="A11" s="10">
        <v>6</v>
      </c>
      <c r="B11" s="129">
        <v>34233</v>
      </c>
      <c r="C11" s="11">
        <v>34000</v>
      </c>
      <c r="D11" s="25">
        <f t="shared" si="0"/>
        <v>-233</v>
      </c>
    </row>
    <row r="12" spans="1:5" x14ac:dyDescent="0.2">
      <c r="A12" s="10">
        <v>7</v>
      </c>
      <c r="B12" s="129">
        <v>34863</v>
      </c>
      <c r="C12" s="11">
        <v>34000</v>
      </c>
      <c r="D12" s="25">
        <f t="shared" si="0"/>
        <v>-863</v>
      </c>
    </row>
    <row r="13" spans="1:5" x14ac:dyDescent="0.2">
      <c r="A13" s="10">
        <v>8</v>
      </c>
      <c r="B13" s="129">
        <v>34116</v>
      </c>
      <c r="C13" s="11">
        <v>34000</v>
      </c>
      <c r="D13" s="25">
        <f t="shared" si="0"/>
        <v>-116</v>
      </c>
    </row>
    <row r="14" spans="1:5" x14ac:dyDescent="0.2">
      <c r="A14" s="10">
        <v>9</v>
      </c>
      <c r="B14" s="129">
        <v>34728</v>
      </c>
      <c r="C14" s="11">
        <v>34000</v>
      </c>
      <c r="D14" s="25">
        <f t="shared" si="0"/>
        <v>-728</v>
      </c>
    </row>
    <row r="15" spans="1:5" x14ac:dyDescent="0.2">
      <c r="A15" s="10">
        <v>10</v>
      </c>
      <c r="B15" s="129">
        <v>33046</v>
      </c>
      <c r="C15" s="11">
        <v>34000</v>
      </c>
      <c r="D15" s="25">
        <f t="shared" si="0"/>
        <v>954</v>
      </c>
    </row>
    <row r="16" spans="1:5" x14ac:dyDescent="0.2">
      <c r="A16" s="10">
        <v>11</v>
      </c>
      <c r="B16" s="129">
        <v>34001</v>
      </c>
      <c r="C16" s="11">
        <v>34000</v>
      </c>
      <c r="D16" s="25">
        <f t="shared" si="0"/>
        <v>-1</v>
      </c>
    </row>
    <row r="17" spans="1:4" x14ac:dyDescent="0.2">
      <c r="A17" s="10">
        <v>12</v>
      </c>
      <c r="B17" s="129">
        <v>35019</v>
      </c>
      <c r="C17" s="11">
        <v>34000</v>
      </c>
      <c r="D17" s="25">
        <f t="shared" si="0"/>
        <v>-1019</v>
      </c>
    </row>
    <row r="18" spans="1:4" x14ac:dyDescent="0.2">
      <c r="A18" s="10">
        <v>13</v>
      </c>
      <c r="B18" s="129">
        <v>32858</v>
      </c>
      <c r="C18" s="11">
        <v>30474</v>
      </c>
      <c r="D18" s="25">
        <f t="shared" si="0"/>
        <v>-2384</v>
      </c>
    </row>
    <row r="19" spans="1:4" x14ac:dyDescent="0.2">
      <c r="A19" s="10">
        <v>14</v>
      </c>
      <c r="B19" s="129">
        <v>32618</v>
      </c>
      <c r="C19" s="11">
        <v>34000</v>
      </c>
      <c r="D19" s="25">
        <f t="shared" si="0"/>
        <v>1382</v>
      </c>
    </row>
    <row r="20" spans="1:4" x14ac:dyDescent="0.2">
      <c r="A20" s="10">
        <v>15</v>
      </c>
      <c r="B20" s="129">
        <v>34346</v>
      </c>
      <c r="C20" s="11">
        <v>34000</v>
      </c>
      <c r="D20" s="25">
        <f t="shared" si="0"/>
        <v>-346</v>
      </c>
    </row>
    <row r="21" spans="1:4" x14ac:dyDescent="0.2">
      <c r="A21" s="10">
        <v>16</v>
      </c>
      <c r="B21" s="11">
        <v>29916</v>
      </c>
      <c r="C21" s="11">
        <v>34000</v>
      </c>
      <c r="D21" s="25">
        <f t="shared" si="0"/>
        <v>4084</v>
      </c>
    </row>
    <row r="22" spans="1:4" x14ac:dyDescent="0.2">
      <c r="A22" s="10">
        <v>17</v>
      </c>
      <c r="B22" s="11">
        <v>31123</v>
      </c>
      <c r="C22" s="11">
        <v>32100</v>
      </c>
      <c r="D22" s="25">
        <f t="shared" si="0"/>
        <v>977</v>
      </c>
    </row>
    <row r="23" spans="1:4" x14ac:dyDescent="0.2">
      <c r="A23" s="10">
        <v>18</v>
      </c>
      <c r="B23" s="11">
        <v>34153</v>
      </c>
      <c r="C23" s="11">
        <v>34000</v>
      </c>
      <c r="D23" s="25">
        <f t="shared" si="0"/>
        <v>-153</v>
      </c>
    </row>
    <row r="24" spans="1:4" x14ac:dyDescent="0.2">
      <c r="A24" s="10">
        <v>19</v>
      </c>
      <c r="B24" s="11">
        <v>36026</v>
      </c>
      <c r="C24" s="11">
        <v>34000</v>
      </c>
      <c r="D24" s="25">
        <f t="shared" si="0"/>
        <v>-2026</v>
      </c>
    </row>
    <row r="25" spans="1:4" x14ac:dyDescent="0.2">
      <c r="A25" s="10">
        <v>20</v>
      </c>
      <c r="B25" s="11">
        <v>37137</v>
      </c>
      <c r="C25" s="11">
        <v>34000</v>
      </c>
      <c r="D25" s="25">
        <f t="shared" si="0"/>
        <v>-3137</v>
      </c>
    </row>
    <row r="26" spans="1:4" x14ac:dyDescent="0.2">
      <c r="A26" s="10">
        <v>21</v>
      </c>
      <c r="B26" s="11">
        <v>33308</v>
      </c>
      <c r="C26" s="11">
        <v>34000</v>
      </c>
      <c r="D26" s="25">
        <f t="shared" si="0"/>
        <v>692</v>
      </c>
    </row>
    <row r="27" spans="1:4" x14ac:dyDescent="0.2">
      <c r="A27" s="10">
        <v>22</v>
      </c>
      <c r="B27" s="11">
        <v>30890</v>
      </c>
      <c r="C27" s="11">
        <v>33330</v>
      </c>
      <c r="D27" s="25">
        <f t="shared" si="0"/>
        <v>2440</v>
      </c>
    </row>
    <row r="28" spans="1:4" x14ac:dyDescent="0.2">
      <c r="A28" s="10">
        <v>23</v>
      </c>
      <c r="B28" s="11">
        <v>30201</v>
      </c>
      <c r="C28" s="11">
        <v>34000</v>
      </c>
      <c r="D28" s="25">
        <f t="shared" si="0"/>
        <v>3799</v>
      </c>
    </row>
    <row r="29" spans="1:4" x14ac:dyDescent="0.2">
      <c r="A29" s="10">
        <v>24</v>
      </c>
      <c r="B29" s="11">
        <v>30297</v>
      </c>
      <c r="C29" s="11">
        <v>34000</v>
      </c>
      <c r="D29" s="25">
        <f t="shared" si="0"/>
        <v>3703</v>
      </c>
    </row>
    <row r="30" spans="1:4" x14ac:dyDescent="0.2">
      <c r="A30" s="10">
        <v>25</v>
      </c>
      <c r="B30" s="11">
        <v>8018</v>
      </c>
      <c r="C30" s="11">
        <v>34000</v>
      </c>
      <c r="D30" s="25">
        <f t="shared" si="0"/>
        <v>25982</v>
      </c>
    </row>
    <row r="31" spans="1:4" x14ac:dyDescent="0.2">
      <c r="A31" s="10">
        <v>26</v>
      </c>
      <c r="B31" s="11"/>
      <c r="C31" s="11">
        <v>35013</v>
      </c>
      <c r="D31" s="25">
        <f t="shared" si="0"/>
        <v>35013</v>
      </c>
    </row>
    <row r="32" spans="1:4" x14ac:dyDescent="0.2">
      <c r="A32" s="10">
        <v>27</v>
      </c>
      <c r="B32" s="11">
        <v>12671</v>
      </c>
      <c r="C32" s="11">
        <v>16100</v>
      </c>
      <c r="D32" s="25">
        <f t="shared" si="0"/>
        <v>3429</v>
      </c>
    </row>
    <row r="33" spans="1:4" x14ac:dyDescent="0.2">
      <c r="A33" s="10">
        <v>28</v>
      </c>
      <c r="B33" s="11">
        <v>35651</v>
      </c>
      <c r="C33" s="11">
        <v>30000</v>
      </c>
      <c r="D33" s="25">
        <f t="shared" si="0"/>
        <v>-5651</v>
      </c>
    </row>
    <row r="34" spans="1:4" x14ac:dyDescent="0.2">
      <c r="A34" s="10">
        <v>29</v>
      </c>
      <c r="B34" s="11">
        <v>37974</v>
      </c>
      <c r="C34" s="11">
        <v>30013</v>
      </c>
      <c r="D34" s="25">
        <f t="shared" si="0"/>
        <v>-7961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896742</v>
      </c>
      <c r="C37" s="11">
        <f>SUM(C6:C36)</f>
        <v>947671</v>
      </c>
      <c r="D37" s="25">
        <f>SUM(D6:D36)</f>
        <v>50929</v>
      </c>
    </row>
    <row r="38" spans="1:4" x14ac:dyDescent="0.2">
      <c r="A38" s="26"/>
      <c r="B38" s="31"/>
      <c r="C38" s="14"/>
      <c r="D38" s="341">
        <f>+summary!H5</f>
        <v>2.11</v>
      </c>
    </row>
    <row r="39" spans="1:4" x14ac:dyDescent="0.2">
      <c r="D39" s="138">
        <f>+D38*D37</f>
        <v>107460.18999999999</v>
      </c>
    </row>
    <row r="40" spans="1:4" x14ac:dyDescent="0.2">
      <c r="A40" s="57">
        <v>37164</v>
      </c>
      <c r="C40" s="15"/>
      <c r="D40" s="520">
        <v>-43286.58</v>
      </c>
    </row>
    <row r="41" spans="1:4" x14ac:dyDescent="0.2">
      <c r="A41" s="57">
        <v>37193</v>
      </c>
      <c r="C41" s="48"/>
      <c r="D41" s="138">
        <f>+D40+D39</f>
        <v>64173.609999999986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522">
        <v>-5073</v>
      </c>
    </row>
    <row r="46" spans="1:4" x14ac:dyDescent="0.2">
      <c r="A46" s="49">
        <f>+A41</f>
        <v>37193</v>
      </c>
      <c r="B46" s="32"/>
      <c r="C46" s="32"/>
      <c r="D46" s="370">
        <f>+D37</f>
        <v>50929</v>
      </c>
    </row>
    <row r="47" spans="1:4" x14ac:dyDescent="0.2">
      <c r="A47" s="32"/>
      <c r="B47" s="32"/>
      <c r="C47" s="32"/>
      <c r="D47" s="14">
        <f>+D46+D45</f>
        <v>45856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5" workbookViewId="3">
      <selection activeCell="B35" sqref="B35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59" t="s">
        <v>135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56700</v>
      </c>
      <c r="C6" s="11">
        <v>56672</v>
      </c>
      <c r="D6" s="25">
        <f>+C6-B6</f>
        <v>-28</v>
      </c>
    </row>
    <row r="7" spans="1:4" x14ac:dyDescent="0.2">
      <c r="A7" s="10">
        <v>2</v>
      </c>
      <c r="B7" s="129">
        <v>63202</v>
      </c>
      <c r="C7" s="11">
        <v>63276</v>
      </c>
      <c r="D7" s="25">
        <f t="shared" ref="D7:D36" si="0">+C7-B7</f>
        <v>74</v>
      </c>
    </row>
    <row r="8" spans="1:4" x14ac:dyDescent="0.2">
      <c r="A8" s="10">
        <v>3</v>
      </c>
      <c r="B8" s="11">
        <v>58153</v>
      </c>
      <c r="C8" s="11">
        <v>58516</v>
      </c>
      <c r="D8" s="25">
        <f t="shared" si="0"/>
        <v>363</v>
      </c>
    </row>
    <row r="9" spans="1:4" x14ac:dyDescent="0.2">
      <c r="A9" s="10">
        <v>4</v>
      </c>
      <c r="B9" s="11">
        <v>54653</v>
      </c>
      <c r="C9" s="11">
        <v>54653</v>
      </c>
      <c r="D9" s="25">
        <f t="shared" si="0"/>
        <v>0</v>
      </c>
    </row>
    <row r="10" spans="1:4" x14ac:dyDescent="0.2">
      <c r="A10" s="10">
        <v>5</v>
      </c>
      <c r="B10" s="11">
        <v>54545</v>
      </c>
      <c r="C10" s="11">
        <v>54088</v>
      </c>
      <c r="D10" s="25">
        <f t="shared" si="0"/>
        <v>-457</v>
      </c>
    </row>
    <row r="11" spans="1:4" x14ac:dyDescent="0.2">
      <c r="A11" s="10">
        <v>6</v>
      </c>
      <c r="B11" s="11">
        <v>58729</v>
      </c>
      <c r="C11" s="11">
        <v>59030</v>
      </c>
      <c r="D11" s="25">
        <f t="shared" si="0"/>
        <v>301</v>
      </c>
    </row>
    <row r="12" spans="1:4" x14ac:dyDescent="0.2">
      <c r="A12" s="10">
        <v>7</v>
      </c>
      <c r="B12" s="11">
        <v>59209</v>
      </c>
      <c r="C12" s="11">
        <v>60374</v>
      </c>
      <c r="D12" s="25">
        <f t="shared" si="0"/>
        <v>1165</v>
      </c>
    </row>
    <row r="13" spans="1:4" x14ac:dyDescent="0.2">
      <c r="A13" s="10">
        <v>8</v>
      </c>
      <c r="B13" s="11">
        <v>60440</v>
      </c>
      <c r="C13" s="11">
        <v>60374</v>
      </c>
      <c r="D13" s="25">
        <f t="shared" si="0"/>
        <v>-66</v>
      </c>
    </row>
    <row r="14" spans="1:4" x14ac:dyDescent="0.2">
      <c r="A14" s="10">
        <v>9</v>
      </c>
      <c r="B14" s="11">
        <v>58779</v>
      </c>
      <c r="C14" s="11">
        <v>60372</v>
      </c>
      <c r="D14" s="25">
        <f t="shared" si="0"/>
        <v>1593</v>
      </c>
    </row>
    <row r="15" spans="1:4" x14ac:dyDescent="0.2">
      <c r="A15" s="10">
        <v>10</v>
      </c>
      <c r="B15" s="11">
        <v>61039</v>
      </c>
      <c r="C15" s="11">
        <v>60865</v>
      </c>
      <c r="D15" s="25">
        <f t="shared" si="0"/>
        <v>-174</v>
      </c>
    </row>
    <row r="16" spans="1:4" x14ac:dyDescent="0.2">
      <c r="A16" s="10">
        <v>11</v>
      </c>
      <c r="B16" s="11">
        <v>57392</v>
      </c>
      <c r="C16" s="11">
        <v>55768</v>
      </c>
      <c r="D16" s="25">
        <f t="shared" si="0"/>
        <v>-1624</v>
      </c>
    </row>
    <row r="17" spans="1:4" x14ac:dyDescent="0.2">
      <c r="A17" s="10">
        <v>12</v>
      </c>
      <c r="B17" s="11">
        <v>61973</v>
      </c>
      <c r="C17" s="11">
        <v>61342</v>
      </c>
      <c r="D17" s="25">
        <f t="shared" si="0"/>
        <v>-631</v>
      </c>
    </row>
    <row r="18" spans="1:4" x14ac:dyDescent="0.2">
      <c r="A18" s="10">
        <v>13</v>
      </c>
      <c r="B18" s="11">
        <v>53566</v>
      </c>
      <c r="C18" s="11">
        <v>54507</v>
      </c>
      <c r="D18" s="25">
        <f t="shared" si="0"/>
        <v>941</v>
      </c>
    </row>
    <row r="19" spans="1:4" x14ac:dyDescent="0.2">
      <c r="A19" s="10">
        <v>14</v>
      </c>
      <c r="B19" s="11">
        <v>57846</v>
      </c>
      <c r="C19" s="11">
        <v>58512</v>
      </c>
      <c r="D19" s="25">
        <f t="shared" si="0"/>
        <v>666</v>
      </c>
    </row>
    <row r="20" spans="1:4" x14ac:dyDescent="0.2">
      <c r="A20" s="10">
        <v>15</v>
      </c>
      <c r="B20" s="11">
        <v>58318</v>
      </c>
      <c r="C20" s="11">
        <v>58512</v>
      </c>
      <c r="D20" s="25">
        <f t="shared" si="0"/>
        <v>194</v>
      </c>
    </row>
    <row r="21" spans="1:4" x14ac:dyDescent="0.2">
      <c r="A21" s="10">
        <v>16</v>
      </c>
      <c r="B21" s="11">
        <v>51592</v>
      </c>
      <c r="C21" s="11">
        <v>50979</v>
      </c>
      <c r="D21" s="25">
        <f t="shared" si="0"/>
        <v>-613</v>
      </c>
    </row>
    <row r="22" spans="1:4" x14ac:dyDescent="0.2">
      <c r="A22" s="10">
        <v>17</v>
      </c>
      <c r="B22" s="11">
        <v>49663</v>
      </c>
      <c r="C22" s="11">
        <v>48913</v>
      </c>
      <c r="D22" s="25">
        <f t="shared" si="0"/>
        <v>-750</v>
      </c>
    </row>
    <row r="23" spans="1:4" x14ac:dyDescent="0.2">
      <c r="A23" s="10">
        <v>18</v>
      </c>
      <c r="B23" s="11">
        <v>41239</v>
      </c>
      <c r="C23" s="11">
        <v>40951</v>
      </c>
      <c r="D23" s="25">
        <f t="shared" si="0"/>
        <v>-288</v>
      </c>
    </row>
    <row r="24" spans="1:4" x14ac:dyDescent="0.2">
      <c r="A24" s="10">
        <v>19</v>
      </c>
      <c r="B24" s="11">
        <v>36410</v>
      </c>
      <c r="C24" s="11">
        <v>35950</v>
      </c>
      <c r="D24" s="25">
        <f t="shared" si="0"/>
        <v>-460</v>
      </c>
    </row>
    <row r="25" spans="1:4" x14ac:dyDescent="0.2">
      <c r="A25" s="10">
        <v>20</v>
      </c>
      <c r="B25" s="11">
        <v>59326</v>
      </c>
      <c r="C25" s="11">
        <v>60913</v>
      </c>
      <c r="D25" s="25">
        <f t="shared" si="0"/>
        <v>1587</v>
      </c>
    </row>
    <row r="26" spans="1:4" x14ac:dyDescent="0.2">
      <c r="A26" s="10">
        <v>21</v>
      </c>
      <c r="B26" s="11">
        <v>60940</v>
      </c>
      <c r="C26" s="11">
        <v>60913</v>
      </c>
      <c r="D26" s="25">
        <f t="shared" si="0"/>
        <v>-27</v>
      </c>
    </row>
    <row r="27" spans="1:4" x14ac:dyDescent="0.2">
      <c r="A27" s="10">
        <v>22</v>
      </c>
      <c r="B27" s="11">
        <v>61712</v>
      </c>
      <c r="C27" s="11">
        <v>60913</v>
      </c>
      <c r="D27" s="25">
        <f t="shared" si="0"/>
        <v>-799</v>
      </c>
    </row>
    <row r="28" spans="1:4" x14ac:dyDescent="0.2">
      <c r="A28" s="10">
        <v>23</v>
      </c>
      <c r="B28" s="11">
        <v>43964</v>
      </c>
      <c r="C28" s="11">
        <v>41714</v>
      </c>
      <c r="D28" s="25">
        <f t="shared" si="0"/>
        <v>-2250</v>
      </c>
    </row>
    <row r="29" spans="1:4" x14ac:dyDescent="0.2">
      <c r="A29" s="10">
        <v>24</v>
      </c>
      <c r="B29" s="11">
        <v>41944</v>
      </c>
      <c r="C29" s="11">
        <v>41464</v>
      </c>
      <c r="D29" s="25">
        <f t="shared" si="0"/>
        <v>-480</v>
      </c>
    </row>
    <row r="30" spans="1:4" x14ac:dyDescent="0.2">
      <c r="A30" s="10">
        <v>25</v>
      </c>
      <c r="B30" s="11">
        <v>31905</v>
      </c>
      <c r="C30" s="11">
        <v>30974</v>
      </c>
      <c r="D30" s="25">
        <f t="shared" si="0"/>
        <v>-931</v>
      </c>
    </row>
    <row r="31" spans="1:4" x14ac:dyDescent="0.2">
      <c r="A31" s="10">
        <v>26</v>
      </c>
      <c r="B31" s="11">
        <v>32116</v>
      </c>
      <c r="C31" s="11">
        <v>35654</v>
      </c>
      <c r="D31" s="25">
        <f t="shared" si="0"/>
        <v>3538</v>
      </c>
    </row>
    <row r="32" spans="1:4" x14ac:dyDescent="0.2">
      <c r="A32" s="10">
        <v>27</v>
      </c>
      <c r="B32" s="11">
        <v>63940</v>
      </c>
      <c r="C32" s="11">
        <v>61013</v>
      </c>
      <c r="D32" s="25">
        <f t="shared" si="0"/>
        <v>-2927</v>
      </c>
    </row>
    <row r="33" spans="1:4" x14ac:dyDescent="0.2">
      <c r="A33" s="10">
        <v>28</v>
      </c>
      <c r="B33" s="11">
        <v>56459</v>
      </c>
      <c r="C33" s="11">
        <v>55947</v>
      </c>
      <c r="D33" s="25">
        <f t="shared" si="0"/>
        <v>-512</v>
      </c>
    </row>
    <row r="34" spans="1:4" x14ac:dyDescent="0.2">
      <c r="A34" s="10">
        <v>29</v>
      </c>
      <c r="B34" s="11">
        <v>56865</v>
      </c>
      <c r="C34" s="11">
        <v>61013</v>
      </c>
      <c r="D34" s="25">
        <f t="shared" si="0"/>
        <v>4148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1562619</v>
      </c>
      <c r="C37" s="11">
        <f>SUM(C6:C36)</f>
        <v>1564172</v>
      </c>
      <c r="D37" s="25">
        <f>SUM(D6:D36)</f>
        <v>1553</v>
      </c>
    </row>
    <row r="38" spans="1:4" x14ac:dyDescent="0.2">
      <c r="A38" s="26"/>
      <c r="C38" s="14"/>
      <c r="D38" s="341">
        <f>+summary!H5</f>
        <v>2.11</v>
      </c>
    </row>
    <row r="39" spans="1:4" x14ac:dyDescent="0.2">
      <c r="D39" s="138">
        <f>+D38*D37</f>
        <v>3276.83</v>
      </c>
    </row>
    <row r="40" spans="1:4" x14ac:dyDescent="0.2">
      <c r="A40" s="57">
        <v>37164</v>
      </c>
      <c r="C40" s="15"/>
      <c r="D40" s="529">
        <v>-6230.84</v>
      </c>
    </row>
    <row r="41" spans="1:4" x14ac:dyDescent="0.2">
      <c r="A41" s="57">
        <v>37193</v>
      </c>
      <c r="C41" s="48"/>
      <c r="D41" s="138">
        <f>+D40+D39</f>
        <v>-2954.01</v>
      </c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522">
        <v>-3179</v>
      </c>
    </row>
    <row r="47" spans="1:4" x14ac:dyDescent="0.2">
      <c r="A47" s="49">
        <f>+A41</f>
        <v>37193</v>
      </c>
      <c r="B47" s="32"/>
      <c r="C47" s="32"/>
      <c r="D47" s="370">
        <f>+D37</f>
        <v>1553</v>
      </c>
    </row>
    <row r="48" spans="1:4" x14ac:dyDescent="0.2">
      <c r="A48" s="32"/>
      <c r="B48" s="32"/>
      <c r="C48" s="32"/>
      <c r="D48" s="14">
        <f>+D47+D46</f>
        <v>-1626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0" workbookViewId="3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136</v>
      </c>
      <c r="C3" s="87"/>
      <c r="D3" s="87"/>
      <c r="E3" s="87"/>
    </row>
    <row r="4" spans="1:13" x14ac:dyDescent="0.2">
      <c r="A4" s="3"/>
      <c r="B4" s="343" t="s">
        <v>137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-1616</v>
      </c>
      <c r="C6" s="11">
        <v>-2139</v>
      </c>
      <c r="D6" s="25">
        <f>+C6-B6</f>
        <v>-523</v>
      </c>
    </row>
    <row r="7" spans="1:13" x14ac:dyDescent="0.2">
      <c r="A7" s="10">
        <v>2</v>
      </c>
      <c r="B7" s="11">
        <v>-1621</v>
      </c>
      <c r="C7" s="11">
        <v>-2139</v>
      </c>
      <c r="D7" s="25">
        <f t="shared" ref="D7:D36" si="0">+C7-B7</f>
        <v>-518</v>
      </c>
    </row>
    <row r="8" spans="1:13" x14ac:dyDescent="0.2">
      <c r="A8" s="10">
        <v>3</v>
      </c>
      <c r="B8" s="11">
        <v>-1630</v>
      </c>
      <c r="C8" s="11">
        <v>-2139</v>
      </c>
      <c r="D8" s="25">
        <f t="shared" si="0"/>
        <v>-509</v>
      </c>
    </row>
    <row r="9" spans="1:13" x14ac:dyDescent="0.2">
      <c r="A9" s="10">
        <v>4</v>
      </c>
      <c r="B9" s="11">
        <v>-1628</v>
      </c>
      <c r="C9" s="11">
        <v>-2139</v>
      </c>
      <c r="D9" s="25">
        <f t="shared" si="0"/>
        <v>-511</v>
      </c>
    </row>
    <row r="10" spans="1:13" x14ac:dyDescent="0.2">
      <c r="A10" s="10">
        <v>5</v>
      </c>
      <c r="B10" s="11">
        <v>-1622</v>
      </c>
      <c r="C10" s="11">
        <v>-2139</v>
      </c>
      <c r="D10" s="25">
        <f t="shared" si="0"/>
        <v>-517</v>
      </c>
    </row>
    <row r="11" spans="1:13" x14ac:dyDescent="0.2">
      <c r="A11" s="10">
        <v>6</v>
      </c>
      <c r="B11" s="11">
        <v>-1617</v>
      </c>
      <c r="C11" s="11">
        <v>-2139</v>
      </c>
      <c r="D11" s="25">
        <f t="shared" si="0"/>
        <v>-522</v>
      </c>
    </row>
    <row r="12" spans="1:13" x14ac:dyDescent="0.2">
      <c r="A12" s="10">
        <v>7</v>
      </c>
      <c r="B12" s="11">
        <v>-1618</v>
      </c>
      <c r="C12" s="11">
        <v>-2139</v>
      </c>
      <c r="D12" s="25">
        <f t="shared" si="0"/>
        <v>-521</v>
      </c>
    </row>
    <row r="13" spans="1:13" x14ac:dyDescent="0.2">
      <c r="A13" s="10">
        <v>8</v>
      </c>
      <c r="B13" s="11">
        <v>-1618</v>
      </c>
      <c r="C13" s="11">
        <v>-2277</v>
      </c>
      <c r="D13" s="25">
        <f t="shared" si="0"/>
        <v>-659</v>
      </c>
      <c r="H13" s="118"/>
      <c r="I13" s="34"/>
      <c r="J13" s="34"/>
      <c r="K13" s="189"/>
      <c r="L13" s="440" t="s">
        <v>183</v>
      </c>
      <c r="M13" s="189"/>
    </row>
    <row r="14" spans="1:13" x14ac:dyDescent="0.2">
      <c r="A14" s="10">
        <v>9</v>
      </c>
      <c r="B14" s="11">
        <v>-1617</v>
      </c>
      <c r="C14" s="11">
        <v>-2139</v>
      </c>
      <c r="D14" s="25">
        <f t="shared" si="0"/>
        <v>-522</v>
      </c>
      <c r="H14" s="118" t="s">
        <v>40</v>
      </c>
      <c r="I14" s="441" t="s">
        <v>20</v>
      </c>
      <c r="J14" s="441" t="s">
        <v>21</v>
      </c>
      <c r="K14" s="442" t="s">
        <v>50</v>
      </c>
      <c r="L14" s="440" t="s">
        <v>16</v>
      </c>
      <c r="M14" s="189" t="s">
        <v>28</v>
      </c>
    </row>
    <row r="15" spans="1:13" x14ac:dyDescent="0.2">
      <c r="A15" s="10">
        <v>10</v>
      </c>
      <c r="B15" s="11">
        <v>-1806</v>
      </c>
      <c r="C15" s="11">
        <v>-2139</v>
      </c>
      <c r="D15" s="25">
        <f t="shared" si="0"/>
        <v>-333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-865</v>
      </c>
      <c r="C16" s="11">
        <v>-2139</v>
      </c>
      <c r="D16" s="25">
        <f t="shared" si="0"/>
        <v>-1274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0">
        <v>8.2100000000000009</v>
      </c>
      <c r="M16" s="445">
        <f t="shared" ref="M16:M22" si="2">+L16*K16</f>
        <v>-148748.78000000003</v>
      </c>
    </row>
    <row r="17" spans="1:15" x14ac:dyDescent="0.2">
      <c r="A17" s="10">
        <v>12</v>
      </c>
      <c r="B17" s="11">
        <v>-888</v>
      </c>
      <c r="C17" s="11">
        <v>-2139</v>
      </c>
      <c r="D17" s="25">
        <f t="shared" si="0"/>
        <v>-1251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0">
        <v>5.62</v>
      </c>
      <c r="M17" s="445">
        <f t="shared" si="2"/>
        <v>-91100.2</v>
      </c>
    </row>
    <row r="18" spans="1:15" x14ac:dyDescent="0.2">
      <c r="A18" s="10">
        <v>13</v>
      </c>
      <c r="B18" s="11">
        <v>-653</v>
      </c>
      <c r="C18" s="11">
        <v>-639</v>
      </c>
      <c r="D18" s="25">
        <f t="shared" si="0"/>
        <v>14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0">
        <v>4.9800000000000004</v>
      </c>
      <c r="M18" s="445">
        <f t="shared" si="2"/>
        <v>-118748.1</v>
      </c>
    </row>
    <row r="19" spans="1:15" x14ac:dyDescent="0.2">
      <c r="A19" s="10">
        <v>14</v>
      </c>
      <c r="B19" s="11">
        <v>-1682</v>
      </c>
      <c r="C19" s="11">
        <v>-639</v>
      </c>
      <c r="D19" s="25">
        <f t="shared" si="0"/>
        <v>1043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0">
        <v>4.87</v>
      </c>
      <c r="M19" s="445">
        <f t="shared" si="2"/>
        <v>63012.93</v>
      </c>
      <c r="O19" s="265"/>
    </row>
    <row r="20" spans="1:15" x14ac:dyDescent="0.2">
      <c r="A20" s="10">
        <v>15</v>
      </c>
      <c r="B20" s="11">
        <v>-2019</v>
      </c>
      <c r="C20" s="11">
        <v>-639</v>
      </c>
      <c r="D20" s="25">
        <f t="shared" si="0"/>
        <v>1380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0">
        <v>3.82</v>
      </c>
      <c r="M20" s="445">
        <f t="shared" si="2"/>
        <v>32531.119999999999</v>
      </c>
    </row>
    <row r="21" spans="1:15" x14ac:dyDescent="0.2">
      <c r="A21" s="10">
        <v>16</v>
      </c>
      <c r="B21" s="11">
        <v>-2007</v>
      </c>
      <c r="C21" s="11">
        <v>-639</v>
      </c>
      <c r="D21" s="25">
        <f t="shared" si="0"/>
        <v>1368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0">
        <v>3.2</v>
      </c>
      <c r="M21" s="445">
        <f t="shared" si="2"/>
        <v>-47644.800000000003</v>
      </c>
    </row>
    <row r="22" spans="1:15" x14ac:dyDescent="0.2">
      <c r="A22" s="10">
        <v>17</v>
      </c>
      <c r="B22" s="11">
        <v>-1953</v>
      </c>
      <c r="C22" s="11">
        <v>-1024</v>
      </c>
      <c r="D22" s="25">
        <f t="shared" si="0"/>
        <v>929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0">
        <v>2.77</v>
      </c>
      <c r="M22" s="446">
        <f t="shared" si="2"/>
        <v>-43139.98</v>
      </c>
    </row>
    <row r="23" spans="1:15" ht="13.5" thickBot="1" x14ac:dyDescent="0.25">
      <c r="A23" s="10">
        <v>18</v>
      </c>
      <c r="B23" s="11">
        <v>-100</v>
      </c>
      <c r="C23" s="11">
        <v>-1024</v>
      </c>
      <c r="D23" s="25">
        <f t="shared" si="0"/>
        <v>-924</v>
      </c>
      <c r="H23" s="34"/>
      <c r="I23" s="119"/>
      <c r="J23" s="119"/>
      <c r="K23" s="119"/>
      <c r="L23" s="443"/>
      <c r="M23" s="444">
        <f>SUM(M16:M22)</f>
        <v>-353837.81000000006</v>
      </c>
      <c r="O23" s="265"/>
    </row>
    <row r="24" spans="1:15" ht="13.5" thickTop="1" x14ac:dyDescent="0.2">
      <c r="A24" s="10">
        <v>19</v>
      </c>
      <c r="B24" s="11">
        <v>-664</v>
      </c>
      <c r="C24" s="11">
        <v>-1024</v>
      </c>
      <c r="D24" s="25">
        <f t="shared" si="0"/>
        <v>-360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-773</v>
      </c>
      <c r="C25" s="11">
        <v>-1024</v>
      </c>
      <c r="D25" s="25">
        <f t="shared" si="0"/>
        <v>-251</v>
      </c>
    </row>
    <row r="26" spans="1:15" x14ac:dyDescent="0.2">
      <c r="A26" s="10">
        <v>21</v>
      </c>
      <c r="B26" s="11">
        <v>-1808</v>
      </c>
      <c r="C26" s="11">
        <v>-1024</v>
      </c>
      <c r="D26" s="25">
        <f t="shared" si="0"/>
        <v>784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-1946</v>
      </c>
      <c r="C27" s="11">
        <v>-1024</v>
      </c>
      <c r="D27" s="25">
        <f t="shared" si="0"/>
        <v>922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-1997</v>
      </c>
      <c r="C28" s="11">
        <v>-1024</v>
      </c>
      <c r="D28" s="25">
        <f t="shared" si="0"/>
        <v>973</v>
      </c>
    </row>
    <row r="29" spans="1:15" x14ac:dyDescent="0.2">
      <c r="A29" s="10">
        <v>24</v>
      </c>
      <c r="B29" s="11">
        <v>-2037</v>
      </c>
      <c r="C29" s="11">
        <v>-1024</v>
      </c>
      <c r="D29" s="25">
        <f t="shared" si="0"/>
        <v>1013</v>
      </c>
    </row>
    <row r="30" spans="1:15" x14ac:dyDescent="0.2">
      <c r="A30" s="10">
        <v>25</v>
      </c>
      <c r="B30" s="11">
        <v>-504</v>
      </c>
      <c r="C30" s="11">
        <v>-1024</v>
      </c>
      <c r="D30" s="25">
        <f t="shared" si="0"/>
        <v>-520</v>
      </c>
    </row>
    <row r="31" spans="1:15" x14ac:dyDescent="0.2">
      <c r="A31" s="10">
        <v>26</v>
      </c>
      <c r="B31" s="11">
        <v>-565</v>
      </c>
      <c r="C31" s="11">
        <v>-1024</v>
      </c>
      <c r="D31" s="25">
        <f t="shared" si="0"/>
        <v>-459</v>
      </c>
    </row>
    <row r="32" spans="1:15" x14ac:dyDescent="0.2">
      <c r="A32" s="10">
        <v>27</v>
      </c>
      <c r="B32" s="11">
        <v>-885</v>
      </c>
      <c r="C32" s="11">
        <v>-1024</v>
      </c>
      <c r="D32" s="25">
        <f t="shared" si="0"/>
        <v>-139</v>
      </c>
    </row>
    <row r="33" spans="1:4" x14ac:dyDescent="0.2">
      <c r="A33" s="10">
        <v>28</v>
      </c>
      <c r="B33" s="11">
        <v>-1967</v>
      </c>
      <c r="C33" s="11">
        <v>-1024</v>
      </c>
      <c r="D33" s="25">
        <f t="shared" si="0"/>
        <v>943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-39706</v>
      </c>
      <c r="C37" s="11">
        <f>SUM(C6:C36)</f>
        <v>-40650</v>
      </c>
      <c r="D37" s="25">
        <f>SUM(D6:D36)</f>
        <v>-944</v>
      </c>
    </row>
    <row r="38" spans="1:4" x14ac:dyDescent="0.2">
      <c r="A38" s="26"/>
      <c r="C38" s="14"/>
      <c r="D38" s="341">
        <f>+summary!H4</f>
        <v>2.0699999999999998</v>
      </c>
    </row>
    <row r="39" spans="1:4" x14ac:dyDescent="0.2">
      <c r="D39" s="138">
        <f>+D38*D37</f>
        <v>-1954.08</v>
      </c>
    </row>
    <row r="40" spans="1:4" x14ac:dyDescent="0.2">
      <c r="A40" s="57">
        <v>37164</v>
      </c>
      <c r="C40" s="15"/>
      <c r="D40" s="465">
        <v>-409035.98</v>
      </c>
    </row>
    <row r="41" spans="1:4" x14ac:dyDescent="0.2">
      <c r="A41" s="57">
        <v>37193</v>
      </c>
      <c r="C41" s="48"/>
      <c r="D41" s="138">
        <f>+D40+D39</f>
        <v>-410990.06</v>
      </c>
    </row>
    <row r="47" spans="1:4" x14ac:dyDescent="0.2">
      <c r="A47" s="32" t="s">
        <v>153</v>
      </c>
      <c r="B47" s="32"/>
      <c r="C47" s="32"/>
      <c r="D47" s="32"/>
    </row>
    <row r="48" spans="1:4" x14ac:dyDescent="0.2">
      <c r="A48" s="49">
        <f>+A40</f>
        <v>37164</v>
      </c>
      <c r="B48" s="32"/>
      <c r="C48" s="32"/>
      <c r="D48" s="461">
        <v>-92166</v>
      </c>
    </row>
    <row r="49" spans="1:4" x14ac:dyDescent="0.2">
      <c r="A49" s="49">
        <f>+A41</f>
        <v>37193</v>
      </c>
      <c r="B49" s="32"/>
      <c r="C49" s="32"/>
      <c r="D49" s="370">
        <f>+D37</f>
        <v>-944</v>
      </c>
    </row>
    <row r="50" spans="1:4" x14ac:dyDescent="0.2">
      <c r="A50" s="32"/>
      <c r="B50" s="32"/>
      <c r="C50" s="32"/>
      <c r="D50" s="14">
        <f>+D49+D48</f>
        <v>-93110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15" workbookViewId="3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142</v>
      </c>
      <c r="C3" s="87"/>
      <c r="D3" s="87"/>
    </row>
    <row r="4" spans="1:4" x14ac:dyDescent="0.2">
      <c r="A4" s="3"/>
      <c r="B4" s="343" t="s">
        <v>139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-93127</v>
      </c>
      <c r="C6" s="11">
        <v>-90000</v>
      </c>
      <c r="D6" s="25">
        <f>+C6-B6</f>
        <v>3127</v>
      </c>
    </row>
    <row r="7" spans="1:4" x14ac:dyDescent="0.2">
      <c r="A7" s="10">
        <v>2</v>
      </c>
      <c r="B7" s="11">
        <v>-74111</v>
      </c>
      <c r="C7" s="11">
        <v>-56575</v>
      </c>
      <c r="D7" s="25">
        <f t="shared" ref="D7:D36" si="0">+C7-B7</f>
        <v>17536</v>
      </c>
    </row>
    <row r="8" spans="1:4" x14ac:dyDescent="0.2">
      <c r="A8" s="10">
        <v>3</v>
      </c>
      <c r="B8" s="129">
        <v>-67531</v>
      </c>
      <c r="C8" s="11">
        <v>-74975</v>
      </c>
      <c r="D8" s="25">
        <f t="shared" si="0"/>
        <v>-7444</v>
      </c>
    </row>
    <row r="9" spans="1:4" x14ac:dyDescent="0.2">
      <c r="A9" s="10">
        <v>4</v>
      </c>
      <c r="B9" s="129">
        <v>-75954</v>
      </c>
      <c r="C9" s="11">
        <v>-80000</v>
      </c>
      <c r="D9" s="25">
        <f t="shared" si="0"/>
        <v>-4046</v>
      </c>
    </row>
    <row r="10" spans="1:4" x14ac:dyDescent="0.2">
      <c r="A10" s="10">
        <v>5</v>
      </c>
      <c r="B10" s="129">
        <v>-78585</v>
      </c>
      <c r="C10" s="11">
        <v>-70000</v>
      </c>
      <c r="D10" s="25">
        <f t="shared" si="0"/>
        <v>8585</v>
      </c>
    </row>
    <row r="11" spans="1:4" x14ac:dyDescent="0.2">
      <c r="A11" s="10">
        <v>6</v>
      </c>
      <c r="B11" s="129">
        <v>-82177</v>
      </c>
      <c r="C11" s="11">
        <v>-79999</v>
      </c>
      <c r="D11" s="25">
        <f t="shared" si="0"/>
        <v>2178</v>
      </c>
    </row>
    <row r="12" spans="1:4" x14ac:dyDescent="0.2">
      <c r="A12" s="10">
        <v>7</v>
      </c>
      <c r="B12" s="129">
        <v>-78182</v>
      </c>
      <c r="C12" s="11">
        <v>-69936</v>
      </c>
      <c r="D12" s="25">
        <f t="shared" si="0"/>
        <v>8246</v>
      </c>
    </row>
    <row r="13" spans="1:4" x14ac:dyDescent="0.2">
      <c r="A13" s="10">
        <v>8</v>
      </c>
      <c r="B13" s="11">
        <v>-961</v>
      </c>
      <c r="C13" s="11">
        <v>0</v>
      </c>
      <c r="D13" s="25">
        <f t="shared" si="0"/>
        <v>961</v>
      </c>
    </row>
    <row r="14" spans="1:4" x14ac:dyDescent="0.2">
      <c r="A14" s="10">
        <v>9</v>
      </c>
      <c r="B14" s="11">
        <v>-20881</v>
      </c>
      <c r="C14" s="11">
        <v>-31875</v>
      </c>
      <c r="D14" s="25">
        <f t="shared" si="0"/>
        <v>-10994</v>
      </c>
    </row>
    <row r="15" spans="1:4" x14ac:dyDescent="0.2">
      <c r="A15" s="10">
        <v>10</v>
      </c>
      <c r="B15" s="11">
        <v>-85747</v>
      </c>
      <c r="C15" s="11">
        <v>-75000</v>
      </c>
      <c r="D15" s="25">
        <f t="shared" si="0"/>
        <v>10747</v>
      </c>
    </row>
    <row r="16" spans="1:4" x14ac:dyDescent="0.2">
      <c r="A16" s="10">
        <v>11</v>
      </c>
      <c r="B16" s="11">
        <v>-68847</v>
      </c>
      <c r="C16" s="11">
        <v>-70000</v>
      </c>
      <c r="D16" s="25">
        <f t="shared" si="0"/>
        <v>-1153</v>
      </c>
    </row>
    <row r="17" spans="1:4" x14ac:dyDescent="0.2">
      <c r="A17" s="10">
        <v>12</v>
      </c>
      <c r="B17" s="11">
        <v>-79317</v>
      </c>
      <c r="C17" s="11">
        <v>-75000</v>
      </c>
      <c r="D17" s="25">
        <f t="shared" si="0"/>
        <v>4317</v>
      </c>
    </row>
    <row r="18" spans="1:4" x14ac:dyDescent="0.2">
      <c r="A18" s="10">
        <v>13</v>
      </c>
      <c r="B18" s="11">
        <v>-74985</v>
      </c>
      <c r="C18" s="11">
        <v>-75000</v>
      </c>
      <c r="D18" s="25">
        <f t="shared" si="0"/>
        <v>-15</v>
      </c>
    </row>
    <row r="19" spans="1:4" x14ac:dyDescent="0.2">
      <c r="A19" s="10">
        <v>14</v>
      </c>
      <c r="B19" s="11">
        <v>-74079</v>
      </c>
      <c r="C19" s="11">
        <v>-75000</v>
      </c>
      <c r="D19" s="25">
        <f t="shared" si="0"/>
        <v>-921</v>
      </c>
    </row>
    <row r="20" spans="1:4" x14ac:dyDescent="0.2">
      <c r="A20" s="10">
        <v>15</v>
      </c>
      <c r="B20" s="11">
        <v>-74969</v>
      </c>
      <c r="C20" s="11">
        <v>-80000</v>
      </c>
      <c r="D20" s="25">
        <f t="shared" si="0"/>
        <v>-5031</v>
      </c>
    </row>
    <row r="21" spans="1:4" x14ac:dyDescent="0.2">
      <c r="A21" s="10">
        <v>16</v>
      </c>
      <c r="B21" s="11">
        <v>-73966</v>
      </c>
      <c r="C21" s="11">
        <v>-80776</v>
      </c>
      <c r="D21" s="25">
        <f t="shared" si="0"/>
        <v>-6810</v>
      </c>
    </row>
    <row r="22" spans="1:4" x14ac:dyDescent="0.2">
      <c r="A22" s="10">
        <v>17</v>
      </c>
      <c r="B22" s="11">
        <v>-43462</v>
      </c>
      <c r="C22" s="11">
        <v>-40000</v>
      </c>
      <c r="D22" s="25">
        <f t="shared" si="0"/>
        <v>3462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>
        <v>1853</v>
      </c>
      <c r="D31" s="25">
        <f t="shared" si="0"/>
        <v>1853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-1146881</v>
      </c>
      <c r="C37" s="11">
        <f>SUM(C6:C36)</f>
        <v>-1122283</v>
      </c>
      <c r="D37" s="25">
        <f>SUM(D6:D36)</f>
        <v>24598</v>
      </c>
    </row>
    <row r="38" spans="1:4" x14ac:dyDescent="0.2">
      <c r="A38" s="26"/>
      <c r="C38" s="14"/>
      <c r="D38" s="341">
        <f>+summary!H4</f>
        <v>2.0699999999999998</v>
      </c>
    </row>
    <row r="39" spans="1:4" x14ac:dyDescent="0.2">
      <c r="D39" s="138">
        <f>+D38*D37</f>
        <v>50917.859999999993</v>
      </c>
    </row>
    <row r="40" spans="1:4" x14ac:dyDescent="0.2">
      <c r="A40" s="57">
        <v>37164</v>
      </c>
      <c r="C40" s="15"/>
      <c r="D40" s="520">
        <v>-37761.85</v>
      </c>
    </row>
    <row r="41" spans="1:4" x14ac:dyDescent="0.2">
      <c r="A41" s="57">
        <v>37193</v>
      </c>
      <c r="C41" s="48"/>
      <c r="D41" s="138">
        <f>+D40+D39</f>
        <v>13156.009999999995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522">
        <v>-13927</v>
      </c>
    </row>
    <row r="47" spans="1:4" x14ac:dyDescent="0.2">
      <c r="A47" s="49">
        <f>+A41</f>
        <v>37193</v>
      </c>
      <c r="B47" s="32"/>
      <c r="C47" s="32"/>
      <c r="D47" s="370">
        <f>+D37</f>
        <v>24598</v>
      </c>
    </row>
    <row r="48" spans="1:4" x14ac:dyDescent="0.2">
      <c r="A48" s="32"/>
      <c r="B48" s="32"/>
      <c r="C48" s="32"/>
      <c r="D48" s="14">
        <f>+D47+D46</f>
        <v>10671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3" workbookViewId="3">
      <selection activeCell="B7" sqref="B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138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8">
        <v>-13238</v>
      </c>
      <c r="C5" s="90">
        <v>-3654</v>
      </c>
      <c r="D5" s="90">
        <f>+C5-B5</f>
        <v>9584</v>
      </c>
      <c r="E5" s="283"/>
      <c r="F5" s="281"/>
    </row>
    <row r="6" spans="1:13" x14ac:dyDescent="0.2">
      <c r="A6" s="87">
        <v>500046</v>
      </c>
      <c r="B6" s="90">
        <f>-3054-75</f>
        <v>-3129</v>
      </c>
      <c r="C6" s="90"/>
      <c r="D6" s="90">
        <f t="shared" ref="D6:D11" si="0">+C6-B6</f>
        <v>3129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">
      <c r="A8" s="87">
        <v>500134</v>
      </c>
      <c r="B8" s="92">
        <f>-4951-191</f>
        <v>-5142</v>
      </c>
      <c r="C8" s="90"/>
      <c r="D8" s="90">
        <f t="shared" si="0"/>
        <v>5142</v>
      </c>
      <c r="E8" s="283"/>
      <c r="F8" s="281"/>
    </row>
    <row r="9" spans="1:13" x14ac:dyDescent="0.2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">
      <c r="A10" s="87">
        <v>500529</v>
      </c>
      <c r="B10" s="90"/>
      <c r="C10" s="317"/>
      <c r="D10" s="90">
        <f t="shared" si="0"/>
        <v>0</v>
      </c>
      <c r="E10" s="283"/>
      <c r="F10" s="281"/>
    </row>
    <row r="11" spans="1:13" x14ac:dyDescent="0.2">
      <c r="A11" s="87">
        <v>500619</v>
      </c>
      <c r="B11" s="317"/>
      <c r="C11" s="90"/>
      <c r="D11" s="350">
        <f t="shared" si="0"/>
        <v>0</v>
      </c>
      <c r="E11" s="283"/>
      <c r="F11" s="281"/>
    </row>
    <row r="12" spans="1:13" x14ac:dyDescent="0.2">
      <c r="A12" s="87"/>
      <c r="B12" s="88"/>
      <c r="C12" s="88"/>
      <c r="D12" s="88">
        <f>SUM(D5:D11)</f>
        <v>17855</v>
      </c>
      <c r="E12" s="283"/>
      <c r="F12" s="281"/>
    </row>
    <row r="13" spans="1:13" x14ac:dyDescent="0.2">
      <c r="A13" s="87" t="s">
        <v>82</v>
      </c>
      <c r="B13" s="88"/>
      <c r="C13" s="88"/>
      <c r="D13" s="95">
        <f>+summary!H4</f>
        <v>2.0699999999999998</v>
      </c>
      <c r="E13" s="285"/>
      <c r="F13" s="281"/>
    </row>
    <row r="14" spans="1:13" x14ac:dyDescent="0.2">
      <c r="A14" s="87"/>
      <c r="B14" s="88"/>
      <c r="C14" s="88"/>
      <c r="D14" s="96">
        <f>+D13*D12</f>
        <v>36959.85</v>
      </c>
      <c r="E14" s="209"/>
      <c r="F14" s="282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37164</v>
      </c>
      <c r="B16" s="88"/>
      <c r="C16" s="88"/>
      <c r="D16" s="524">
        <v>-590702.34</v>
      </c>
      <c r="E16" s="209"/>
      <c r="F16" s="66"/>
    </row>
    <row r="17" spans="1:7" x14ac:dyDescent="0.2">
      <c r="A17" s="87"/>
      <c r="B17" s="88"/>
      <c r="C17" s="88"/>
      <c r="D17" s="320"/>
      <c r="E17" s="209"/>
      <c r="F17" s="66"/>
    </row>
    <row r="18" spans="1:7" ht="13.5" thickBot="1" x14ac:dyDescent="0.25">
      <c r="A18" s="99">
        <v>37193</v>
      </c>
      <c r="B18" s="88"/>
      <c r="C18" s="88"/>
      <c r="D18" s="332">
        <f>+D16+D14</f>
        <v>-553742.49</v>
      </c>
      <c r="E18" s="209"/>
      <c r="F18" s="66"/>
    </row>
    <row r="19" spans="1:7" ht="13.5" thickTop="1" x14ac:dyDescent="0.2">
      <c r="E19" s="286"/>
    </row>
    <row r="21" spans="1:7" x14ac:dyDescent="0.2">
      <c r="A21" s="32" t="s">
        <v>153</v>
      </c>
      <c r="B21" s="32"/>
      <c r="C21" s="32"/>
      <c r="D21" s="32"/>
    </row>
    <row r="22" spans="1:7" x14ac:dyDescent="0.2">
      <c r="A22" s="49">
        <f>+A16</f>
        <v>37164</v>
      </c>
      <c r="B22" s="32"/>
      <c r="C22" s="32"/>
      <c r="D22" s="522">
        <v>-63313</v>
      </c>
    </row>
    <row r="23" spans="1:7" x14ac:dyDescent="0.2">
      <c r="A23" s="49">
        <f>+A18</f>
        <v>37193</v>
      </c>
      <c r="B23" s="32"/>
      <c r="C23" s="32"/>
      <c r="D23" s="370">
        <f>+D12</f>
        <v>17855</v>
      </c>
    </row>
    <row r="24" spans="1:7" x14ac:dyDescent="0.2">
      <c r="A24" s="32"/>
      <c r="B24" s="32"/>
      <c r="C24" s="32"/>
      <c r="D24" s="14">
        <f>+D23+D22</f>
        <v>-45458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7" workbookViewId="3">
      <selection activeCell="C45" sqref="C4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-9355</v>
      </c>
      <c r="C6" s="11">
        <v>-6760</v>
      </c>
      <c r="D6" s="25">
        <f>+C6-B6</f>
        <v>2595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>
        <v>-25717</v>
      </c>
      <c r="C8" s="11">
        <v>-26918</v>
      </c>
      <c r="D8" s="25">
        <f t="shared" si="0"/>
        <v>-1201</v>
      </c>
    </row>
    <row r="9" spans="1:4" x14ac:dyDescent="0.2">
      <c r="A9" s="10">
        <v>4</v>
      </c>
      <c r="B9" s="11">
        <v>-4213</v>
      </c>
      <c r="C9" s="11">
        <v>-3841</v>
      </c>
      <c r="D9" s="25">
        <f t="shared" si="0"/>
        <v>372</v>
      </c>
    </row>
    <row r="10" spans="1:4" x14ac:dyDescent="0.2">
      <c r="A10" s="10">
        <v>5</v>
      </c>
      <c r="B10" s="11">
        <v>-5195</v>
      </c>
      <c r="C10" s="11">
        <v>-6864</v>
      </c>
      <c r="D10" s="25">
        <f t="shared" si="0"/>
        <v>-1669</v>
      </c>
    </row>
    <row r="11" spans="1:4" x14ac:dyDescent="0.2">
      <c r="A11" s="10">
        <v>6</v>
      </c>
      <c r="B11" s="11">
        <v>-26540</v>
      </c>
      <c r="C11" s="11">
        <v>-16843</v>
      </c>
      <c r="D11" s="25">
        <f t="shared" si="0"/>
        <v>9697</v>
      </c>
    </row>
    <row r="12" spans="1:4" x14ac:dyDescent="0.2">
      <c r="A12" s="10">
        <v>7</v>
      </c>
      <c r="B12" s="11">
        <v>-31632</v>
      </c>
      <c r="C12" s="11">
        <v>-16843</v>
      </c>
      <c r="D12" s="25">
        <f t="shared" si="0"/>
        <v>14789</v>
      </c>
    </row>
    <row r="13" spans="1:4" x14ac:dyDescent="0.2">
      <c r="A13" s="10">
        <v>8</v>
      </c>
      <c r="B13" s="11">
        <v>-1195</v>
      </c>
      <c r="C13" s="11">
        <v>-16843</v>
      </c>
      <c r="D13" s="25">
        <f t="shared" si="0"/>
        <v>-15648</v>
      </c>
    </row>
    <row r="14" spans="1:4" x14ac:dyDescent="0.2">
      <c r="A14" s="10">
        <v>9</v>
      </c>
      <c r="B14" s="11">
        <v>-6563</v>
      </c>
      <c r="C14" s="11">
        <v>-5361</v>
      </c>
      <c r="D14" s="25">
        <f t="shared" si="0"/>
        <v>1202</v>
      </c>
    </row>
    <row r="15" spans="1:4" x14ac:dyDescent="0.2">
      <c r="A15" s="10">
        <v>10</v>
      </c>
      <c r="B15" s="11">
        <v>-50027</v>
      </c>
      <c r="C15" s="11">
        <v>-52711</v>
      </c>
      <c r="D15" s="25">
        <f t="shared" si="0"/>
        <v>-2684</v>
      </c>
    </row>
    <row r="16" spans="1:4" x14ac:dyDescent="0.2">
      <c r="A16" s="10">
        <v>11</v>
      </c>
      <c r="B16" s="11">
        <v>-64499</v>
      </c>
      <c r="C16" s="11">
        <v>-60776</v>
      </c>
      <c r="D16" s="25">
        <f t="shared" si="0"/>
        <v>3723</v>
      </c>
    </row>
    <row r="17" spans="1:4" x14ac:dyDescent="0.2">
      <c r="A17" s="10">
        <v>12</v>
      </c>
      <c r="B17" s="11">
        <v>-34526</v>
      </c>
      <c r="C17" s="11">
        <v>-33372</v>
      </c>
      <c r="D17" s="25">
        <f t="shared" si="0"/>
        <v>1154</v>
      </c>
    </row>
    <row r="18" spans="1:4" x14ac:dyDescent="0.2">
      <c r="A18" s="10">
        <v>13</v>
      </c>
      <c r="B18" s="11">
        <v>-74115</v>
      </c>
      <c r="C18" s="11">
        <v>-79897</v>
      </c>
      <c r="D18" s="25">
        <f t="shared" si="0"/>
        <v>-5782</v>
      </c>
    </row>
    <row r="19" spans="1:4" x14ac:dyDescent="0.2">
      <c r="A19" s="10">
        <v>14</v>
      </c>
      <c r="B19" s="11">
        <v>-75500</v>
      </c>
      <c r="C19" s="11">
        <v>-80000</v>
      </c>
      <c r="D19" s="25">
        <f t="shared" si="0"/>
        <v>-4500</v>
      </c>
    </row>
    <row r="20" spans="1:4" x14ac:dyDescent="0.2">
      <c r="A20" s="10">
        <v>15</v>
      </c>
      <c r="B20" s="11">
        <v>-80324</v>
      </c>
      <c r="C20" s="11">
        <v>-80000</v>
      </c>
      <c r="D20" s="25">
        <f t="shared" si="0"/>
        <v>324</v>
      </c>
    </row>
    <row r="21" spans="1:4" x14ac:dyDescent="0.2">
      <c r="A21" s="10">
        <v>16</v>
      </c>
      <c r="B21" s="11">
        <v>-76163</v>
      </c>
      <c r="C21" s="11">
        <v>-75777</v>
      </c>
      <c r="D21" s="25">
        <f t="shared" si="0"/>
        <v>386</v>
      </c>
    </row>
    <row r="22" spans="1:4" x14ac:dyDescent="0.2">
      <c r="A22" s="10">
        <v>17</v>
      </c>
      <c r="B22" s="11">
        <v>-48210</v>
      </c>
      <c r="C22" s="11">
        <v>-46358</v>
      </c>
      <c r="D22" s="25">
        <f t="shared" si="0"/>
        <v>1852</v>
      </c>
    </row>
    <row r="23" spans="1:4" x14ac:dyDescent="0.2">
      <c r="A23" s="10">
        <v>18</v>
      </c>
      <c r="B23" s="11">
        <v>-31098</v>
      </c>
      <c r="C23" s="11">
        <v>-30000</v>
      </c>
      <c r="D23" s="25">
        <f t="shared" si="0"/>
        <v>1098</v>
      </c>
    </row>
    <row r="24" spans="1:4" x14ac:dyDescent="0.2">
      <c r="A24" s="10">
        <v>19</v>
      </c>
      <c r="B24" s="11">
        <v>-63312</v>
      </c>
      <c r="C24" s="11">
        <v>-65018</v>
      </c>
      <c r="D24" s="25">
        <f t="shared" si="0"/>
        <v>-1706</v>
      </c>
    </row>
    <row r="25" spans="1:4" x14ac:dyDescent="0.2">
      <c r="A25" s="10">
        <v>20</v>
      </c>
      <c r="B25" s="548">
        <v>-54741</v>
      </c>
      <c r="C25" s="11">
        <v>-54741</v>
      </c>
      <c r="D25" s="25">
        <f t="shared" si="0"/>
        <v>0</v>
      </c>
    </row>
    <row r="26" spans="1:4" x14ac:dyDescent="0.2">
      <c r="A26" s="10">
        <v>21</v>
      </c>
      <c r="B26" s="11">
        <v>-57961</v>
      </c>
      <c r="C26" s="11">
        <v>-54741</v>
      </c>
      <c r="D26" s="25">
        <f t="shared" si="0"/>
        <v>3220</v>
      </c>
    </row>
    <row r="27" spans="1:4" x14ac:dyDescent="0.2">
      <c r="A27" s="10">
        <v>22</v>
      </c>
      <c r="B27" s="11">
        <v>-54953</v>
      </c>
      <c r="C27" s="11">
        <v>-54741</v>
      </c>
      <c r="D27" s="25">
        <f t="shared" si="0"/>
        <v>212</v>
      </c>
    </row>
    <row r="28" spans="1:4" x14ac:dyDescent="0.2">
      <c r="A28" s="10">
        <v>23</v>
      </c>
      <c r="B28" s="11">
        <v>-60074</v>
      </c>
      <c r="C28" s="11">
        <v>-61029</v>
      </c>
      <c r="D28" s="25">
        <f t="shared" si="0"/>
        <v>-955</v>
      </c>
    </row>
    <row r="29" spans="1:4" x14ac:dyDescent="0.2">
      <c r="A29" s="10">
        <v>24</v>
      </c>
      <c r="B29" s="11">
        <v>-44954</v>
      </c>
      <c r="C29" s="11">
        <v>-44118</v>
      </c>
      <c r="D29" s="25">
        <f t="shared" si="0"/>
        <v>836</v>
      </c>
    </row>
    <row r="30" spans="1:4" x14ac:dyDescent="0.2">
      <c r="A30" s="10">
        <v>25</v>
      </c>
      <c r="B30" s="11">
        <v>-50273</v>
      </c>
      <c r="C30" s="11">
        <v>-50390</v>
      </c>
      <c r="D30" s="25">
        <f t="shared" si="0"/>
        <v>-117</v>
      </c>
    </row>
    <row r="31" spans="1:4" x14ac:dyDescent="0.2">
      <c r="A31" s="10">
        <v>26</v>
      </c>
      <c r="B31" s="11">
        <v>-77669</v>
      </c>
      <c r="C31" s="11">
        <v>-79060</v>
      </c>
      <c r="D31" s="25">
        <f t="shared" si="0"/>
        <v>-1391</v>
      </c>
    </row>
    <row r="32" spans="1:4" x14ac:dyDescent="0.2">
      <c r="A32" s="10">
        <v>27</v>
      </c>
      <c r="B32" s="11">
        <v>-79509</v>
      </c>
      <c r="C32" s="11">
        <v>-80000</v>
      </c>
      <c r="D32" s="25">
        <f t="shared" si="0"/>
        <v>-491</v>
      </c>
    </row>
    <row r="33" spans="1:4" x14ac:dyDescent="0.2">
      <c r="A33" s="10">
        <v>28</v>
      </c>
      <c r="B33" s="11">
        <v>-76989</v>
      </c>
      <c r="C33" s="11">
        <v>-80000</v>
      </c>
      <c r="D33" s="25">
        <f t="shared" si="0"/>
        <v>-3011</v>
      </c>
    </row>
    <row r="34" spans="1:4" x14ac:dyDescent="0.2">
      <c r="A34" s="10">
        <v>29</v>
      </c>
      <c r="B34" s="11">
        <v>-79836</v>
      </c>
      <c r="C34" s="11">
        <v>-80000</v>
      </c>
      <c r="D34" s="25">
        <f t="shared" si="0"/>
        <v>-164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-1345143</v>
      </c>
      <c r="C37" s="11">
        <f>SUM(C6:C36)</f>
        <v>-1343002</v>
      </c>
      <c r="D37" s="25">
        <f>SUM(D6:D36)</f>
        <v>2141</v>
      </c>
    </row>
    <row r="38" spans="1:4" x14ac:dyDescent="0.2">
      <c r="A38" s="26"/>
      <c r="C38" s="14"/>
      <c r="D38" s="355"/>
    </row>
    <row r="39" spans="1:4" x14ac:dyDescent="0.2">
      <c r="D39" s="138"/>
    </row>
    <row r="40" spans="1:4" x14ac:dyDescent="0.2">
      <c r="A40" s="57">
        <v>37164</v>
      </c>
      <c r="C40" s="15"/>
      <c r="D40" s="514">
        <v>-29618</v>
      </c>
    </row>
    <row r="41" spans="1:4" x14ac:dyDescent="0.2">
      <c r="A41" s="57">
        <v>37193</v>
      </c>
      <c r="C41" s="48"/>
      <c r="D41" s="25">
        <f>+D40+D37</f>
        <v>-27477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+A40</f>
        <v>37164</v>
      </c>
      <c r="B45" s="32"/>
      <c r="C45" s="32"/>
      <c r="D45" s="457">
        <v>-132953</v>
      </c>
    </row>
    <row r="46" spans="1:4" x14ac:dyDescent="0.2">
      <c r="A46" s="49">
        <f>+A41</f>
        <v>37193</v>
      </c>
      <c r="B46" s="32"/>
      <c r="C46" s="32"/>
      <c r="D46" s="399">
        <f>+D37*'by type_area'!J4</f>
        <v>4431.87</v>
      </c>
    </row>
    <row r="47" spans="1:4" x14ac:dyDescent="0.2">
      <c r="A47" s="32"/>
      <c r="B47" s="32"/>
      <c r="C47" s="32"/>
      <c r="D47" s="202">
        <f>+D46+D45</f>
        <v>-128521.13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10811</v>
      </c>
      <c r="D1" s="1">
        <v>13234</v>
      </c>
      <c r="F1" s="1">
        <v>16540</v>
      </c>
      <c r="H1" s="1">
        <v>500648</v>
      </c>
    </row>
    <row r="2" spans="1:35" x14ac:dyDescent="0.2">
      <c r="B2" s="30" t="s">
        <v>215</v>
      </c>
      <c r="C2" s="4"/>
      <c r="D2" s="38" t="s">
        <v>216</v>
      </c>
      <c r="E2" s="4"/>
      <c r="F2" s="38" t="s">
        <v>217</v>
      </c>
      <c r="G2" s="4"/>
      <c r="H2" s="38" t="s">
        <v>218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-51</v>
      </c>
      <c r="C4" s="11">
        <v>-80</v>
      </c>
      <c r="D4" s="11"/>
      <c r="E4" s="11"/>
      <c r="F4" s="11">
        <v>-225</v>
      </c>
      <c r="G4" s="11">
        <v>-300</v>
      </c>
      <c r="H4" s="11"/>
      <c r="I4" s="11">
        <v>-2</v>
      </c>
      <c r="J4" s="11">
        <f t="shared" ref="J4:J34" si="0">+C4+E4+G4+I4-H4-F4-D4-B4</f>
        <v>-106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-54</v>
      </c>
      <c r="C5" s="11">
        <v>-80</v>
      </c>
      <c r="D5" s="11"/>
      <c r="E5" s="11"/>
      <c r="F5" s="11">
        <v>-220</v>
      </c>
      <c r="G5" s="11">
        <v>-300</v>
      </c>
      <c r="H5" s="11"/>
      <c r="I5" s="11">
        <v>-2</v>
      </c>
      <c r="J5" s="11">
        <f t="shared" si="0"/>
        <v>-108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-52</v>
      </c>
      <c r="C6" s="11">
        <v>-80</v>
      </c>
      <c r="D6" s="11"/>
      <c r="E6" s="11"/>
      <c r="F6" s="11">
        <v>-215</v>
      </c>
      <c r="G6" s="11">
        <v>-300</v>
      </c>
      <c r="H6" s="11"/>
      <c r="I6" s="11">
        <v>-2</v>
      </c>
      <c r="J6" s="11">
        <f t="shared" si="0"/>
        <v>-115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-43</v>
      </c>
      <c r="C7" s="11">
        <v>-80</v>
      </c>
      <c r="D7" s="11"/>
      <c r="E7" s="11"/>
      <c r="F7" s="11">
        <v>-213</v>
      </c>
      <c r="G7" s="11">
        <v>-300</v>
      </c>
      <c r="H7" s="11"/>
      <c r="I7" s="11">
        <v>-2</v>
      </c>
      <c r="J7" s="11">
        <f t="shared" si="0"/>
        <v>-126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-29</v>
      </c>
      <c r="C8" s="11">
        <v>-80</v>
      </c>
      <c r="D8" s="129"/>
      <c r="E8" s="11"/>
      <c r="F8" s="11">
        <v>-254</v>
      </c>
      <c r="G8" s="11">
        <v>-300</v>
      </c>
      <c r="H8" s="11"/>
      <c r="I8" s="11">
        <v>-2</v>
      </c>
      <c r="J8" s="11">
        <f t="shared" si="0"/>
        <v>-99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-45</v>
      </c>
      <c r="C9" s="11">
        <v>-80</v>
      </c>
      <c r="D9" s="11"/>
      <c r="E9" s="11"/>
      <c r="F9" s="11">
        <v>-258</v>
      </c>
      <c r="G9" s="11">
        <v>-300</v>
      </c>
      <c r="H9" s="11"/>
      <c r="I9" s="11">
        <v>-2</v>
      </c>
      <c r="J9" s="11">
        <f t="shared" si="0"/>
        <v>-79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-37</v>
      </c>
      <c r="C10" s="11">
        <v>-80</v>
      </c>
      <c r="D10" s="129"/>
      <c r="E10" s="11"/>
      <c r="F10" s="11">
        <v>-239</v>
      </c>
      <c r="G10" s="11">
        <v>-300</v>
      </c>
      <c r="H10" s="11"/>
      <c r="I10" s="11">
        <v>-2</v>
      </c>
      <c r="J10" s="11">
        <f t="shared" si="0"/>
        <v>-106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-41</v>
      </c>
      <c r="C11" s="11">
        <v>-80</v>
      </c>
      <c r="D11" s="11"/>
      <c r="E11" s="11"/>
      <c r="F11" s="11">
        <v>-225</v>
      </c>
      <c r="G11" s="11">
        <v>-300</v>
      </c>
      <c r="H11" s="11"/>
      <c r="I11" s="11">
        <v>-2</v>
      </c>
      <c r="J11" s="11">
        <f t="shared" si="0"/>
        <v>-116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-25</v>
      </c>
      <c r="C12" s="11">
        <v>-80</v>
      </c>
      <c r="D12" s="11"/>
      <c r="E12" s="11"/>
      <c r="F12" s="11">
        <v>-218</v>
      </c>
      <c r="G12" s="11">
        <v>-300</v>
      </c>
      <c r="H12" s="11"/>
      <c r="I12" s="11">
        <v>-2</v>
      </c>
      <c r="J12" s="11">
        <f t="shared" si="0"/>
        <v>-139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-34</v>
      </c>
      <c r="C13" s="11">
        <v>-50</v>
      </c>
      <c r="D13" s="11"/>
      <c r="E13" s="11"/>
      <c r="F13" s="11">
        <v>-229</v>
      </c>
      <c r="G13" s="11">
        <v>-231</v>
      </c>
      <c r="H13" s="11"/>
      <c r="I13" s="11">
        <v>-2</v>
      </c>
      <c r="J13" s="11">
        <f t="shared" si="0"/>
        <v>-20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-15</v>
      </c>
      <c r="C14" s="11">
        <v>-50</v>
      </c>
      <c r="D14" s="11"/>
      <c r="E14" s="11"/>
      <c r="F14" s="11">
        <v>-238</v>
      </c>
      <c r="G14" s="11">
        <v>-231</v>
      </c>
      <c r="H14" s="11"/>
      <c r="I14" s="11">
        <v>-2</v>
      </c>
      <c r="J14" s="11">
        <f t="shared" si="0"/>
        <v>-30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-28</v>
      </c>
      <c r="C15" s="11">
        <v>-50</v>
      </c>
      <c r="D15" s="11"/>
      <c r="E15" s="11"/>
      <c r="F15" s="11">
        <v>-285</v>
      </c>
      <c r="G15" s="11">
        <v>-231</v>
      </c>
      <c r="H15" s="11"/>
      <c r="I15" s="11">
        <v>-2</v>
      </c>
      <c r="J15" s="11">
        <f t="shared" si="0"/>
        <v>30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-20</v>
      </c>
      <c r="C16" s="11">
        <v>-50</v>
      </c>
      <c r="D16" s="11"/>
      <c r="E16" s="11"/>
      <c r="F16" s="11">
        <v>-295</v>
      </c>
      <c r="G16" s="11">
        <v>-231</v>
      </c>
      <c r="H16" s="11"/>
      <c r="I16" s="11">
        <v>-2</v>
      </c>
      <c r="J16" s="11">
        <f t="shared" si="0"/>
        <v>32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-32</v>
      </c>
      <c r="C17" s="11">
        <v>-50</v>
      </c>
      <c r="D17" s="11"/>
      <c r="E17" s="11"/>
      <c r="F17" s="11">
        <v>-265</v>
      </c>
      <c r="G17" s="11">
        <v>-231</v>
      </c>
      <c r="H17" s="11"/>
      <c r="I17" s="11">
        <v>-2</v>
      </c>
      <c r="J17" s="11">
        <f t="shared" si="0"/>
        <v>14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-55</v>
      </c>
      <c r="C18" s="11">
        <v>-50</v>
      </c>
      <c r="D18" s="11"/>
      <c r="E18" s="11"/>
      <c r="F18" s="11">
        <v>-306</v>
      </c>
      <c r="G18" s="11">
        <v>-231</v>
      </c>
      <c r="H18" s="11"/>
      <c r="I18" s="11">
        <v>-2</v>
      </c>
      <c r="J18" s="11">
        <f t="shared" si="0"/>
        <v>78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-69</v>
      </c>
      <c r="C19" s="11">
        <v>-50</v>
      </c>
      <c r="D19" s="11"/>
      <c r="E19" s="11"/>
      <c r="F19" s="11">
        <v>-376</v>
      </c>
      <c r="G19" s="11">
        <v>-231</v>
      </c>
      <c r="H19" s="11"/>
      <c r="I19" s="11">
        <v>-2</v>
      </c>
      <c r="J19" s="11">
        <f t="shared" si="0"/>
        <v>162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-63</v>
      </c>
      <c r="C20" s="11">
        <v>-50</v>
      </c>
      <c r="D20" s="11"/>
      <c r="E20" s="11"/>
      <c r="F20" s="11">
        <v>-305</v>
      </c>
      <c r="G20" s="11">
        <v>-231</v>
      </c>
      <c r="H20" s="11"/>
      <c r="I20" s="11">
        <v>-2</v>
      </c>
      <c r="J20" s="11">
        <f t="shared" si="0"/>
        <v>85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-63</v>
      </c>
      <c r="C21" s="11">
        <v>-50</v>
      </c>
      <c r="D21" s="11"/>
      <c r="E21" s="11"/>
      <c r="F21" s="11">
        <v>-275</v>
      </c>
      <c r="G21" s="11">
        <v>-231</v>
      </c>
      <c r="H21" s="11"/>
      <c r="I21" s="11">
        <v>-2</v>
      </c>
      <c r="J21" s="11">
        <f t="shared" si="0"/>
        <v>55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-58</v>
      </c>
      <c r="C22" s="11">
        <v>-10</v>
      </c>
      <c r="D22" s="11"/>
      <c r="E22" s="11"/>
      <c r="F22" s="11">
        <v>-260</v>
      </c>
      <c r="G22" s="11">
        <v>-231</v>
      </c>
      <c r="H22" s="11"/>
      <c r="I22" s="11">
        <v>-2</v>
      </c>
      <c r="J22" s="11">
        <f t="shared" si="0"/>
        <v>75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-51</v>
      </c>
      <c r="C23" s="11">
        <v>-10</v>
      </c>
      <c r="D23" s="11"/>
      <c r="E23" s="11"/>
      <c r="F23" s="11">
        <v>-247</v>
      </c>
      <c r="G23" s="11">
        <v>-231</v>
      </c>
      <c r="H23" s="11"/>
      <c r="I23" s="11">
        <v>-2</v>
      </c>
      <c r="J23" s="11">
        <f t="shared" si="0"/>
        <v>55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-19</v>
      </c>
      <c r="C24" s="11">
        <v>-10</v>
      </c>
      <c r="D24" s="11"/>
      <c r="E24" s="11"/>
      <c r="F24" s="11">
        <v>-253</v>
      </c>
      <c r="G24" s="11">
        <v>-231</v>
      </c>
      <c r="H24" s="11"/>
      <c r="I24" s="11">
        <v>-2</v>
      </c>
      <c r="J24" s="11">
        <f t="shared" si="0"/>
        <v>29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-34</v>
      </c>
      <c r="C25" s="11">
        <v>-10</v>
      </c>
      <c r="D25" s="11"/>
      <c r="E25" s="11"/>
      <c r="F25" s="11">
        <v>-248</v>
      </c>
      <c r="G25" s="11">
        <v>-231</v>
      </c>
      <c r="H25" s="11"/>
      <c r="I25" s="11">
        <v>-2</v>
      </c>
      <c r="J25" s="11">
        <f t="shared" si="0"/>
        <v>39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-24</v>
      </c>
      <c r="C26" s="11">
        <v>-10</v>
      </c>
      <c r="D26" s="11"/>
      <c r="E26" s="11"/>
      <c r="F26" s="11">
        <v>-244</v>
      </c>
      <c r="G26" s="11">
        <v>-231</v>
      </c>
      <c r="H26" s="11"/>
      <c r="I26" s="11">
        <v>-2</v>
      </c>
      <c r="J26" s="11">
        <f t="shared" si="0"/>
        <v>25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-28</v>
      </c>
      <c r="C27" s="11">
        <v>-10</v>
      </c>
      <c r="D27" s="11"/>
      <c r="E27" s="11"/>
      <c r="F27" s="11">
        <v>-266</v>
      </c>
      <c r="G27" s="11">
        <v>-231</v>
      </c>
      <c r="H27" s="11"/>
      <c r="I27" s="11"/>
      <c r="J27" s="11">
        <f t="shared" si="0"/>
        <v>53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-45</v>
      </c>
      <c r="C28" s="11">
        <v>-10</v>
      </c>
      <c r="D28" s="11"/>
      <c r="E28" s="11"/>
      <c r="F28" s="11">
        <v>-279</v>
      </c>
      <c r="G28" s="11">
        <v>-231</v>
      </c>
      <c r="H28" s="11"/>
      <c r="I28" s="11"/>
      <c r="J28" s="11">
        <f t="shared" si="0"/>
        <v>83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-54</v>
      </c>
      <c r="C29" s="11">
        <v>-10</v>
      </c>
      <c r="D29" s="11"/>
      <c r="E29" s="11"/>
      <c r="F29" s="11">
        <v>-257</v>
      </c>
      <c r="G29" s="11">
        <v>-231</v>
      </c>
      <c r="H29" s="11"/>
      <c r="I29" s="11"/>
      <c r="J29" s="11">
        <f t="shared" si="0"/>
        <v>70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-55</v>
      </c>
      <c r="C30" s="11">
        <v>-10</v>
      </c>
      <c r="D30" s="11"/>
      <c r="E30" s="11"/>
      <c r="F30" s="11">
        <v>-269</v>
      </c>
      <c r="G30" s="11">
        <v>-231</v>
      </c>
      <c r="H30" s="11"/>
      <c r="I30" s="11"/>
      <c r="J30" s="11">
        <f t="shared" si="0"/>
        <v>83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-36</v>
      </c>
      <c r="C31" s="11">
        <v>-10</v>
      </c>
      <c r="D31" s="11"/>
      <c r="E31" s="11"/>
      <c r="F31" s="11">
        <v>-268</v>
      </c>
      <c r="G31" s="11">
        <v>-231</v>
      </c>
      <c r="H31" s="11"/>
      <c r="I31" s="11"/>
      <c r="J31" s="11">
        <f t="shared" si="0"/>
        <v>63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-77</v>
      </c>
      <c r="C32" s="11">
        <v>-10</v>
      </c>
      <c r="D32" s="11"/>
      <c r="E32" s="11"/>
      <c r="F32" s="11">
        <v>-268</v>
      </c>
      <c r="G32" s="11">
        <v>-231</v>
      </c>
      <c r="H32" s="11"/>
      <c r="I32" s="11"/>
      <c r="J32" s="11">
        <f t="shared" si="0"/>
        <v>104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-1237</v>
      </c>
      <c r="C35" s="11">
        <f t="shared" ref="C35:I35" si="1">SUM(C4:C34)</f>
        <v>-1280</v>
      </c>
      <c r="D35" s="11">
        <f t="shared" si="1"/>
        <v>0</v>
      </c>
      <c r="E35" s="11">
        <f t="shared" si="1"/>
        <v>0</v>
      </c>
      <c r="F35" s="11">
        <f t="shared" si="1"/>
        <v>-7500</v>
      </c>
      <c r="G35" s="11">
        <f t="shared" si="1"/>
        <v>-7320</v>
      </c>
      <c r="H35" s="11">
        <f t="shared" si="1"/>
        <v>0</v>
      </c>
      <c r="I35" s="11">
        <f t="shared" si="1"/>
        <v>-46</v>
      </c>
      <c r="J35" s="11">
        <f>SUM(J4:J34)</f>
        <v>91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2.0699999999999998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188.36999999999998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37164</v>
      </c>
      <c r="C39" s="25"/>
      <c r="E39" s="25"/>
      <c r="G39" s="25"/>
      <c r="I39" s="25"/>
      <c r="J39" s="521">
        <v>-60913.599999999999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4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37193</v>
      </c>
      <c r="J41" s="334">
        <f>+J39+J37</f>
        <v>-60725.229999999996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37164</v>
      </c>
      <c r="B46" s="32"/>
      <c r="C46" s="32"/>
      <c r="D46" s="522">
        <v>-15658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37193</v>
      </c>
      <c r="B47" s="32"/>
      <c r="C47" s="32"/>
      <c r="D47" s="370">
        <f>+J35</f>
        <v>91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-15567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workbookViewId="1"/>
    <sheetView workbookViewId="2"/>
    <sheetView topLeftCell="A21" workbookViewId="3">
      <selection activeCell="C29" sqref="C29:C3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220</v>
      </c>
      <c r="C3" s="87"/>
      <c r="D3" s="87"/>
    </row>
    <row r="4" spans="1:4" x14ac:dyDescent="0.2">
      <c r="A4" s="3"/>
      <c r="B4" s="343" t="s">
        <v>221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212</v>
      </c>
      <c r="C6" s="11">
        <v>280</v>
      </c>
      <c r="D6" s="25">
        <f>+C6-B6</f>
        <v>68</v>
      </c>
    </row>
    <row r="7" spans="1:4" x14ac:dyDescent="0.2">
      <c r="A7" s="10">
        <v>2</v>
      </c>
      <c r="B7" s="11">
        <v>203</v>
      </c>
      <c r="C7" s="11">
        <v>280</v>
      </c>
      <c r="D7" s="25">
        <f t="shared" ref="D7:D36" si="0">+C7-B7</f>
        <v>77</v>
      </c>
    </row>
    <row r="8" spans="1:4" x14ac:dyDescent="0.2">
      <c r="A8" s="10">
        <v>3</v>
      </c>
      <c r="B8" s="129">
        <v>248</v>
      </c>
      <c r="C8" s="11">
        <v>280</v>
      </c>
      <c r="D8" s="25">
        <f t="shared" si="0"/>
        <v>32</v>
      </c>
    </row>
    <row r="9" spans="1:4" x14ac:dyDescent="0.2">
      <c r="A9" s="10">
        <v>4</v>
      </c>
      <c r="B9" s="129">
        <v>229</v>
      </c>
      <c r="C9" s="11">
        <v>280</v>
      </c>
      <c r="D9" s="25">
        <f t="shared" si="0"/>
        <v>51</v>
      </c>
    </row>
    <row r="10" spans="1:4" x14ac:dyDescent="0.2">
      <c r="A10" s="10">
        <v>5</v>
      </c>
      <c r="B10" s="129">
        <v>163</v>
      </c>
      <c r="C10" s="11">
        <v>280</v>
      </c>
      <c r="D10" s="25">
        <f t="shared" si="0"/>
        <v>117</v>
      </c>
    </row>
    <row r="11" spans="1:4" x14ac:dyDescent="0.2">
      <c r="A11" s="10">
        <v>6</v>
      </c>
      <c r="B11" s="129">
        <v>213</v>
      </c>
      <c r="C11" s="11">
        <v>280</v>
      </c>
      <c r="D11" s="25">
        <f t="shared" si="0"/>
        <v>67</v>
      </c>
    </row>
    <row r="12" spans="1:4" x14ac:dyDescent="0.2">
      <c r="A12" s="10">
        <v>7</v>
      </c>
      <c r="B12" s="129">
        <v>232</v>
      </c>
      <c r="C12" s="11">
        <v>280</v>
      </c>
      <c r="D12" s="25">
        <f t="shared" si="0"/>
        <v>48</v>
      </c>
    </row>
    <row r="13" spans="1:4" x14ac:dyDescent="0.2">
      <c r="A13" s="10">
        <v>8</v>
      </c>
      <c r="B13" s="11">
        <v>178</v>
      </c>
      <c r="C13" s="11">
        <v>280</v>
      </c>
      <c r="D13" s="25">
        <f t="shared" si="0"/>
        <v>102</v>
      </c>
    </row>
    <row r="14" spans="1:4" x14ac:dyDescent="0.2">
      <c r="A14" s="10">
        <v>9</v>
      </c>
      <c r="B14" s="11">
        <v>199</v>
      </c>
      <c r="C14" s="11">
        <v>280</v>
      </c>
      <c r="D14" s="25">
        <f t="shared" si="0"/>
        <v>81</v>
      </c>
    </row>
    <row r="15" spans="1:4" x14ac:dyDescent="0.2">
      <c r="A15" s="10">
        <v>10</v>
      </c>
      <c r="B15" s="11">
        <v>166</v>
      </c>
      <c r="C15" s="11">
        <v>280</v>
      </c>
      <c r="D15" s="25">
        <f t="shared" si="0"/>
        <v>114</v>
      </c>
    </row>
    <row r="16" spans="1:4" x14ac:dyDescent="0.2">
      <c r="A16" s="10">
        <v>11</v>
      </c>
      <c r="B16" s="11">
        <v>186</v>
      </c>
      <c r="C16" s="11">
        <v>280</v>
      </c>
      <c r="D16" s="25">
        <f t="shared" si="0"/>
        <v>94</v>
      </c>
    </row>
    <row r="17" spans="1:4" x14ac:dyDescent="0.2">
      <c r="A17" s="10">
        <v>12</v>
      </c>
      <c r="B17" s="11">
        <v>208</v>
      </c>
      <c r="C17" s="11">
        <v>280</v>
      </c>
      <c r="D17" s="25">
        <f t="shared" si="0"/>
        <v>72</v>
      </c>
    </row>
    <row r="18" spans="1:4" x14ac:dyDescent="0.2">
      <c r="A18" s="10">
        <v>13</v>
      </c>
      <c r="B18" s="11">
        <v>91</v>
      </c>
      <c r="C18" s="11">
        <v>280</v>
      </c>
      <c r="D18" s="25">
        <f t="shared" si="0"/>
        <v>189</v>
      </c>
    </row>
    <row r="19" spans="1:4" x14ac:dyDescent="0.2">
      <c r="A19" s="10">
        <v>14</v>
      </c>
      <c r="B19" s="11"/>
      <c r="C19" s="11">
        <v>280</v>
      </c>
      <c r="D19" s="25">
        <f t="shared" si="0"/>
        <v>280</v>
      </c>
    </row>
    <row r="20" spans="1:4" x14ac:dyDescent="0.2">
      <c r="A20" s="10">
        <v>15</v>
      </c>
      <c r="B20" s="11">
        <v>250</v>
      </c>
      <c r="C20" s="11">
        <v>280</v>
      </c>
      <c r="D20" s="25">
        <f t="shared" si="0"/>
        <v>30</v>
      </c>
    </row>
    <row r="21" spans="1:4" x14ac:dyDescent="0.2">
      <c r="A21" s="10">
        <v>16</v>
      </c>
      <c r="B21" s="11">
        <v>197</v>
      </c>
      <c r="C21" s="11">
        <v>280</v>
      </c>
      <c r="D21" s="25">
        <f t="shared" si="0"/>
        <v>83</v>
      </c>
    </row>
    <row r="22" spans="1:4" x14ac:dyDescent="0.2">
      <c r="A22" s="10">
        <v>17</v>
      </c>
      <c r="B22" s="11">
        <v>224</v>
      </c>
      <c r="C22" s="11">
        <v>280</v>
      </c>
      <c r="D22" s="25">
        <f t="shared" si="0"/>
        <v>56</v>
      </c>
    </row>
    <row r="23" spans="1:4" x14ac:dyDescent="0.2">
      <c r="A23" s="10">
        <v>18</v>
      </c>
      <c r="B23" s="11">
        <v>222</v>
      </c>
      <c r="C23" s="11">
        <v>280</v>
      </c>
      <c r="D23" s="25">
        <f t="shared" si="0"/>
        <v>58</v>
      </c>
    </row>
    <row r="24" spans="1:4" x14ac:dyDescent="0.2">
      <c r="A24" s="10">
        <v>19</v>
      </c>
      <c r="B24" s="11">
        <v>276</v>
      </c>
      <c r="C24" s="11">
        <v>280</v>
      </c>
      <c r="D24" s="25">
        <f t="shared" si="0"/>
        <v>4</v>
      </c>
    </row>
    <row r="25" spans="1:4" x14ac:dyDescent="0.2">
      <c r="A25" s="10">
        <v>20</v>
      </c>
      <c r="B25" s="11">
        <v>316</v>
      </c>
      <c r="C25" s="11">
        <v>280</v>
      </c>
      <c r="D25" s="25">
        <f t="shared" si="0"/>
        <v>-36</v>
      </c>
    </row>
    <row r="26" spans="1:4" x14ac:dyDescent="0.2">
      <c r="A26" s="10">
        <v>21</v>
      </c>
      <c r="B26" s="11">
        <v>249</v>
      </c>
      <c r="C26" s="11">
        <v>280</v>
      </c>
      <c r="D26" s="25">
        <f t="shared" si="0"/>
        <v>31</v>
      </c>
    </row>
    <row r="27" spans="1:4" x14ac:dyDescent="0.2">
      <c r="A27" s="10">
        <v>22</v>
      </c>
      <c r="B27" s="11">
        <v>250</v>
      </c>
      <c r="C27" s="11">
        <v>280</v>
      </c>
      <c r="D27" s="25">
        <f t="shared" si="0"/>
        <v>30</v>
      </c>
    </row>
    <row r="28" spans="1:4" x14ac:dyDescent="0.2">
      <c r="A28" s="10">
        <v>23</v>
      </c>
      <c r="B28" s="11">
        <v>258</v>
      </c>
      <c r="C28" s="11">
        <v>280</v>
      </c>
      <c r="D28" s="25">
        <f t="shared" si="0"/>
        <v>22</v>
      </c>
    </row>
    <row r="29" spans="1:4" x14ac:dyDescent="0.2">
      <c r="A29" s="10">
        <v>24</v>
      </c>
      <c r="B29" s="11">
        <v>280</v>
      </c>
      <c r="C29" s="11">
        <v>280</v>
      </c>
      <c r="D29" s="25">
        <f t="shared" si="0"/>
        <v>0</v>
      </c>
    </row>
    <row r="30" spans="1:4" x14ac:dyDescent="0.2">
      <c r="A30" s="10">
        <v>25</v>
      </c>
      <c r="B30" s="11">
        <v>231</v>
      </c>
      <c r="C30" s="11">
        <v>280</v>
      </c>
      <c r="D30" s="25">
        <f t="shared" si="0"/>
        <v>49</v>
      </c>
    </row>
    <row r="31" spans="1:4" x14ac:dyDescent="0.2">
      <c r="A31" s="10">
        <v>26</v>
      </c>
      <c r="B31" s="11">
        <v>65</v>
      </c>
      <c r="C31" s="11">
        <v>280</v>
      </c>
      <c r="D31" s="25">
        <f t="shared" si="0"/>
        <v>215</v>
      </c>
    </row>
    <row r="32" spans="1:4" x14ac:dyDescent="0.2">
      <c r="A32" s="10">
        <v>27</v>
      </c>
      <c r="B32" s="11">
        <v>5</v>
      </c>
      <c r="C32" s="11">
        <v>280</v>
      </c>
      <c r="D32" s="25">
        <f t="shared" si="0"/>
        <v>275</v>
      </c>
    </row>
    <row r="33" spans="1:4" x14ac:dyDescent="0.2">
      <c r="A33" s="10">
        <v>28</v>
      </c>
      <c r="B33" s="11"/>
      <c r="C33" s="11">
        <v>280</v>
      </c>
      <c r="D33" s="25">
        <f t="shared" si="0"/>
        <v>280</v>
      </c>
    </row>
    <row r="34" spans="1:4" x14ac:dyDescent="0.2">
      <c r="A34" s="10">
        <v>29</v>
      </c>
      <c r="B34" s="11">
        <v>383</v>
      </c>
      <c r="C34" s="11">
        <v>280</v>
      </c>
      <c r="D34" s="25">
        <f t="shared" si="0"/>
        <v>-103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5734</v>
      </c>
      <c r="C37" s="11">
        <f>SUM(C6:C36)</f>
        <v>8120</v>
      </c>
      <c r="D37" s="25">
        <f>SUM(D6:D36)</f>
        <v>2386</v>
      </c>
    </row>
    <row r="38" spans="1:4" x14ac:dyDescent="0.2">
      <c r="A38" s="26"/>
      <c r="C38" s="14"/>
      <c r="D38" s="341">
        <f>+summary!H5</f>
        <v>2.11</v>
      </c>
    </row>
    <row r="39" spans="1:4" x14ac:dyDescent="0.2">
      <c r="D39" s="138">
        <f>+D38*D37</f>
        <v>5034.46</v>
      </c>
    </row>
    <row r="40" spans="1:4" x14ac:dyDescent="0.2">
      <c r="A40" s="57">
        <v>37164</v>
      </c>
      <c r="C40" s="15"/>
      <c r="D40" s="520">
        <v>165720.15</v>
      </c>
    </row>
    <row r="41" spans="1:4" x14ac:dyDescent="0.2">
      <c r="A41" s="57">
        <v>37193</v>
      </c>
      <c r="C41" s="48"/>
      <c r="D41" s="138">
        <f>+D40+D39</f>
        <v>170754.61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522">
        <v>72367</v>
      </c>
    </row>
    <row r="47" spans="1:4" x14ac:dyDescent="0.2">
      <c r="A47" s="49">
        <f>+A41</f>
        <v>37193</v>
      </c>
      <c r="B47" s="32"/>
      <c r="C47" s="32"/>
      <c r="D47" s="370">
        <f>+D37</f>
        <v>2386</v>
      </c>
    </row>
    <row r="48" spans="1:4" x14ac:dyDescent="0.2">
      <c r="A48" s="32"/>
      <c r="B48" s="32"/>
      <c r="C48" s="32"/>
      <c r="D48" s="14">
        <f>+D47+D46</f>
        <v>74753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4" workbookViewId="1">
      <selection activeCell="A40" sqref="A40"/>
    </sheetView>
    <sheetView workbookViewId="2"/>
    <sheetView topLeftCell="A24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223</v>
      </c>
      <c r="C3" s="87"/>
      <c r="D3" s="87"/>
    </row>
    <row r="4" spans="1:4" x14ac:dyDescent="0.2">
      <c r="A4" s="3"/>
      <c r="B4" s="343" t="s">
        <v>224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696</v>
      </c>
      <c r="C6" s="11">
        <v>319</v>
      </c>
      <c r="D6" s="25">
        <f>+C6-B6</f>
        <v>-377</v>
      </c>
    </row>
    <row r="7" spans="1:4" x14ac:dyDescent="0.2">
      <c r="A7" s="10">
        <v>2</v>
      </c>
      <c r="B7" s="11">
        <v>646</v>
      </c>
      <c r="C7" s="11">
        <v>319</v>
      </c>
      <c r="D7" s="25">
        <f t="shared" ref="D7:D36" si="0">+C7-B7</f>
        <v>-327</v>
      </c>
    </row>
    <row r="8" spans="1:4" x14ac:dyDescent="0.2">
      <c r="A8" s="10">
        <v>3</v>
      </c>
      <c r="B8" s="129">
        <v>194</v>
      </c>
      <c r="C8" s="11">
        <v>319</v>
      </c>
      <c r="D8" s="25">
        <f t="shared" si="0"/>
        <v>125</v>
      </c>
    </row>
    <row r="9" spans="1:4" x14ac:dyDescent="0.2">
      <c r="A9" s="10">
        <v>4</v>
      </c>
      <c r="B9" s="129">
        <v>88</v>
      </c>
      <c r="C9" s="11">
        <v>319</v>
      </c>
      <c r="D9" s="25">
        <f t="shared" si="0"/>
        <v>231</v>
      </c>
    </row>
    <row r="10" spans="1:4" x14ac:dyDescent="0.2">
      <c r="A10" s="10">
        <v>5</v>
      </c>
      <c r="B10" s="129">
        <v>376</v>
      </c>
      <c r="C10" s="11">
        <v>319</v>
      </c>
      <c r="D10" s="25">
        <f t="shared" si="0"/>
        <v>-57</v>
      </c>
    </row>
    <row r="11" spans="1:4" x14ac:dyDescent="0.2">
      <c r="A11" s="10">
        <v>6</v>
      </c>
      <c r="B11" s="129">
        <v>402</v>
      </c>
      <c r="C11" s="11">
        <v>319</v>
      </c>
      <c r="D11" s="25">
        <f t="shared" si="0"/>
        <v>-83</v>
      </c>
    </row>
    <row r="12" spans="1:4" x14ac:dyDescent="0.2">
      <c r="A12" s="10">
        <v>7</v>
      </c>
      <c r="B12" s="129">
        <v>359</v>
      </c>
      <c r="C12" s="11">
        <v>319</v>
      </c>
      <c r="D12" s="25">
        <f t="shared" si="0"/>
        <v>-40</v>
      </c>
    </row>
    <row r="13" spans="1:4" x14ac:dyDescent="0.2">
      <c r="A13" s="10">
        <v>8</v>
      </c>
      <c r="B13" s="11">
        <v>547</v>
      </c>
      <c r="C13" s="11">
        <v>319</v>
      </c>
      <c r="D13" s="25">
        <f t="shared" si="0"/>
        <v>-228</v>
      </c>
    </row>
    <row r="14" spans="1:4" x14ac:dyDescent="0.2">
      <c r="A14" s="10">
        <v>9</v>
      </c>
      <c r="B14" s="11">
        <v>582</v>
      </c>
      <c r="C14" s="11">
        <v>319</v>
      </c>
      <c r="D14" s="25">
        <f t="shared" si="0"/>
        <v>-263</v>
      </c>
    </row>
    <row r="15" spans="1:4" x14ac:dyDescent="0.2">
      <c r="A15" s="10">
        <v>10</v>
      </c>
      <c r="B15" s="11">
        <v>451</v>
      </c>
      <c r="C15" s="11">
        <v>319</v>
      </c>
      <c r="D15" s="25">
        <f t="shared" si="0"/>
        <v>-132</v>
      </c>
    </row>
    <row r="16" spans="1:4" x14ac:dyDescent="0.2">
      <c r="A16" s="10">
        <v>11</v>
      </c>
      <c r="B16" s="11">
        <v>507</v>
      </c>
      <c r="C16" s="11">
        <v>319</v>
      </c>
      <c r="D16" s="25">
        <f t="shared" si="0"/>
        <v>-188</v>
      </c>
    </row>
    <row r="17" spans="1:4" x14ac:dyDescent="0.2">
      <c r="A17" s="10">
        <v>12</v>
      </c>
      <c r="B17" s="11">
        <v>491</v>
      </c>
      <c r="C17" s="11">
        <v>319</v>
      </c>
      <c r="D17" s="25">
        <f t="shared" si="0"/>
        <v>-172</v>
      </c>
    </row>
    <row r="18" spans="1:4" x14ac:dyDescent="0.2">
      <c r="A18" s="10">
        <v>13</v>
      </c>
      <c r="B18" s="11">
        <v>446</v>
      </c>
      <c r="C18" s="11">
        <v>319</v>
      </c>
      <c r="D18" s="25">
        <f t="shared" si="0"/>
        <v>-127</v>
      </c>
    </row>
    <row r="19" spans="1:4" x14ac:dyDescent="0.2">
      <c r="A19" s="10">
        <v>14</v>
      </c>
      <c r="B19" s="11">
        <v>537</v>
      </c>
      <c r="C19" s="11">
        <v>319</v>
      </c>
      <c r="D19" s="25">
        <f t="shared" si="0"/>
        <v>-218</v>
      </c>
    </row>
    <row r="20" spans="1:4" x14ac:dyDescent="0.2">
      <c r="A20" s="10">
        <v>15</v>
      </c>
      <c r="B20" s="11">
        <v>555</v>
      </c>
      <c r="C20" s="11">
        <v>319</v>
      </c>
      <c r="D20" s="25">
        <f t="shared" si="0"/>
        <v>-236</v>
      </c>
    </row>
    <row r="21" spans="1:4" x14ac:dyDescent="0.2">
      <c r="A21" s="10">
        <v>16</v>
      </c>
      <c r="B21" s="11">
        <v>531</v>
      </c>
      <c r="C21" s="11">
        <v>319</v>
      </c>
      <c r="D21" s="25">
        <f t="shared" si="0"/>
        <v>-212</v>
      </c>
    </row>
    <row r="22" spans="1:4" x14ac:dyDescent="0.2">
      <c r="A22" s="10">
        <v>17</v>
      </c>
      <c r="B22" s="11">
        <v>536</v>
      </c>
      <c r="C22" s="11">
        <v>319</v>
      </c>
      <c r="D22" s="25">
        <f t="shared" si="0"/>
        <v>-217</v>
      </c>
    </row>
    <row r="23" spans="1:4" x14ac:dyDescent="0.2">
      <c r="A23" s="10">
        <v>18</v>
      </c>
      <c r="B23" s="11">
        <v>552</v>
      </c>
      <c r="C23" s="11">
        <v>319</v>
      </c>
      <c r="D23" s="25">
        <f t="shared" si="0"/>
        <v>-233</v>
      </c>
    </row>
    <row r="24" spans="1:4" x14ac:dyDescent="0.2">
      <c r="A24" s="10">
        <v>19</v>
      </c>
      <c r="B24" s="11">
        <v>511</v>
      </c>
      <c r="C24" s="11">
        <v>319</v>
      </c>
      <c r="D24" s="25">
        <f t="shared" si="0"/>
        <v>-192</v>
      </c>
    </row>
    <row r="25" spans="1:4" x14ac:dyDescent="0.2">
      <c r="A25" s="10">
        <v>20</v>
      </c>
      <c r="B25" s="11">
        <v>495</v>
      </c>
      <c r="C25" s="11">
        <v>319</v>
      </c>
      <c r="D25" s="25">
        <f t="shared" si="0"/>
        <v>-176</v>
      </c>
    </row>
    <row r="26" spans="1:4" x14ac:dyDescent="0.2">
      <c r="A26" s="10">
        <v>21</v>
      </c>
      <c r="B26" s="11">
        <v>507</v>
      </c>
      <c r="C26" s="11">
        <v>319</v>
      </c>
      <c r="D26" s="25">
        <f t="shared" si="0"/>
        <v>-188</v>
      </c>
    </row>
    <row r="27" spans="1:4" x14ac:dyDescent="0.2">
      <c r="A27" s="10">
        <v>22</v>
      </c>
      <c r="B27" s="11">
        <v>523</v>
      </c>
      <c r="C27" s="11">
        <v>319</v>
      </c>
      <c r="D27" s="25">
        <f t="shared" si="0"/>
        <v>-204</v>
      </c>
    </row>
    <row r="28" spans="1:4" x14ac:dyDescent="0.2">
      <c r="A28" s="10">
        <v>23</v>
      </c>
      <c r="B28" s="11">
        <v>519</v>
      </c>
      <c r="C28" s="11">
        <v>319</v>
      </c>
      <c r="D28" s="25">
        <f t="shared" si="0"/>
        <v>-200</v>
      </c>
    </row>
    <row r="29" spans="1:4" x14ac:dyDescent="0.2">
      <c r="A29" s="10">
        <v>24</v>
      </c>
      <c r="B29" s="11">
        <v>527</v>
      </c>
      <c r="C29" s="11">
        <v>319</v>
      </c>
      <c r="D29" s="25">
        <f t="shared" si="0"/>
        <v>-208</v>
      </c>
    </row>
    <row r="30" spans="1:4" x14ac:dyDescent="0.2">
      <c r="A30" s="10">
        <v>25</v>
      </c>
      <c r="B30" s="11">
        <v>525</v>
      </c>
      <c r="C30" s="11">
        <v>319</v>
      </c>
      <c r="D30" s="25">
        <f t="shared" si="0"/>
        <v>-206</v>
      </c>
    </row>
    <row r="31" spans="1:4" x14ac:dyDescent="0.2">
      <c r="A31" s="10">
        <v>26</v>
      </c>
      <c r="B31" s="11">
        <v>666</v>
      </c>
      <c r="C31" s="11">
        <v>319</v>
      </c>
      <c r="D31" s="25">
        <f t="shared" si="0"/>
        <v>-347</v>
      </c>
    </row>
    <row r="32" spans="1:4" x14ac:dyDescent="0.2">
      <c r="A32" s="10">
        <v>27</v>
      </c>
      <c r="B32" s="11">
        <v>756</v>
      </c>
      <c r="C32" s="11">
        <v>319</v>
      </c>
      <c r="D32" s="25">
        <f t="shared" si="0"/>
        <v>-437</v>
      </c>
    </row>
    <row r="33" spans="1:4" x14ac:dyDescent="0.2">
      <c r="A33" s="10">
        <v>28</v>
      </c>
      <c r="B33" s="11">
        <v>722</v>
      </c>
      <c r="C33" s="11">
        <v>319</v>
      </c>
      <c r="D33" s="25">
        <f t="shared" si="0"/>
        <v>-403</v>
      </c>
    </row>
    <row r="34" spans="1:4" x14ac:dyDescent="0.2">
      <c r="A34" s="10">
        <v>29</v>
      </c>
      <c r="B34" s="11">
        <v>724</v>
      </c>
      <c r="C34" s="11">
        <v>319</v>
      </c>
      <c r="D34" s="25">
        <f t="shared" si="0"/>
        <v>-405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14971</v>
      </c>
      <c r="C37" s="11">
        <f>SUM(C6:C36)</f>
        <v>9251</v>
      </c>
      <c r="D37" s="25">
        <f>SUM(D6:D36)</f>
        <v>-5720</v>
      </c>
    </row>
    <row r="38" spans="1:4" x14ac:dyDescent="0.2">
      <c r="A38" s="26"/>
      <c r="C38" s="14"/>
      <c r="D38" s="341">
        <f>+summary!H5</f>
        <v>2.11</v>
      </c>
    </row>
    <row r="39" spans="1:4" x14ac:dyDescent="0.2">
      <c r="D39" s="138">
        <f>+D38*D37</f>
        <v>-12069.199999999999</v>
      </c>
    </row>
    <row r="40" spans="1:4" x14ac:dyDescent="0.2">
      <c r="A40" s="57">
        <v>37164</v>
      </c>
      <c r="C40" s="15"/>
      <c r="D40" s="520">
        <v>158116.48000000001</v>
      </c>
    </row>
    <row r="41" spans="1:4" x14ac:dyDescent="0.2">
      <c r="A41" s="57">
        <v>37193</v>
      </c>
      <c r="C41" s="48"/>
      <c r="D41" s="138">
        <f>+D40+D39</f>
        <v>146047.28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522">
        <v>32655</v>
      </c>
    </row>
    <row r="47" spans="1:4" x14ac:dyDescent="0.2">
      <c r="A47" s="49">
        <f>+A41</f>
        <v>37193</v>
      </c>
      <c r="B47" s="32"/>
      <c r="C47" s="32"/>
      <c r="D47" s="370">
        <f>+D37</f>
        <v>-5720</v>
      </c>
    </row>
    <row r="48" spans="1:4" x14ac:dyDescent="0.2">
      <c r="A48" s="32"/>
      <c r="B48" s="32"/>
      <c r="C48" s="32"/>
      <c r="D48" s="14">
        <f>+D47+D46</f>
        <v>26935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/>
    <sheetView topLeftCell="A20" workbookViewId="1">
      <selection activeCell="A26" sqref="A26"/>
    </sheetView>
    <sheetView workbookViewId="2"/>
    <sheetView workbookViewId="3">
      <selection activeCell="A6" sqref="A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226</v>
      </c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535" t="s">
        <v>228</v>
      </c>
      <c r="C3" s="210"/>
      <c r="D3" s="535" t="s">
        <v>229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227</v>
      </c>
      <c r="C4" s="32"/>
      <c r="D4" s="233" t="s">
        <v>230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-720</v>
      </c>
      <c r="C6" s="24">
        <v>-1613</v>
      </c>
      <c r="D6" s="24">
        <v>-2128</v>
      </c>
      <c r="E6" s="24">
        <v>-2000</v>
      </c>
      <c r="F6" s="24">
        <f>+C6+E6-B6-D6</f>
        <v>-765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-1619</v>
      </c>
      <c r="C7" s="24">
        <v>-1613</v>
      </c>
      <c r="D7" s="24">
        <v>-2177</v>
      </c>
      <c r="E7" s="24">
        <v>-2000</v>
      </c>
      <c r="F7" s="24">
        <f t="shared" ref="F7:F36" si="0">+C7+E7-B7-D7</f>
        <v>183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-2252</v>
      </c>
      <c r="C8" s="24">
        <v>-1613</v>
      </c>
      <c r="D8" s="24">
        <v>-2212</v>
      </c>
      <c r="E8" s="24">
        <v>-2000</v>
      </c>
      <c r="F8" s="24">
        <f t="shared" si="0"/>
        <v>851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-1866</v>
      </c>
      <c r="C9" s="24">
        <v>-1613</v>
      </c>
      <c r="D9" s="51">
        <v>-2197</v>
      </c>
      <c r="E9" s="24">
        <v>-2000</v>
      </c>
      <c r="F9" s="24">
        <f t="shared" si="0"/>
        <v>450</v>
      </c>
      <c r="G9" s="208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-867</v>
      </c>
      <c r="C10" s="24">
        <v>-1613</v>
      </c>
      <c r="D10" s="51">
        <v>-2238</v>
      </c>
      <c r="E10" s="24">
        <v>-2000</v>
      </c>
      <c r="F10" s="24">
        <f t="shared" si="0"/>
        <v>-508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-1847</v>
      </c>
      <c r="C11" s="24">
        <v>-1613</v>
      </c>
      <c r="D11" s="24">
        <v>-83</v>
      </c>
      <c r="E11" s="24">
        <v>-2000</v>
      </c>
      <c r="F11" s="24">
        <f t="shared" si="0"/>
        <v>-1683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-1871</v>
      </c>
      <c r="C12" s="24">
        <v>-1613</v>
      </c>
      <c r="D12" s="51">
        <v>-552</v>
      </c>
      <c r="E12" s="24">
        <v>-2000</v>
      </c>
      <c r="F12" s="24">
        <f t="shared" si="0"/>
        <v>-1190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-940</v>
      </c>
      <c r="C13" s="24">
        <v>-1613</v>
      </c>
      <c r="D13" s="24">
        <v>-2251</v>
      </c>
      <c r="E13" s="24">
        <v>-2000</v>
      </c>
      <c r="F13" s="24">
        <f t="shared" si="0"/>
        <v>-422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-1988</v>
      </c>
      <c r="C14" s="24">
        <v>-1613</v>
      </c>
      <c r="D14" s="24">
        <v>-2310</v>
      </c>
      <c r="E14" s="24">
        <v>-2000</v>
      </c>
      <c r="F14" s="24">
        <f t="shared" si="0"/>
        <v>685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-1928</v>
      </c>
      <c r="C15" s="24">
        <v>-1613</v>
      </c>
      <c r="D15" s="24">
        <v>-2359</v>
      </c>
      <c r="E15" s="24">
        <v>-2000</v>
      </c>
      <c r="F15" s="24">
        <f t="shared" si="0"/>
        <v>674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-2177</v>
      </c>
      <c r="C16" s="24">
        <v>-1613</v>
      </c>
      <c r="D16" s="24">
        <v>-2303</v>
      </c>
      <c r="E16" s="24">
        <v>-2000</v>
      </c>
      <c r="F16" s="24">
        <f t="shared" si="0"/>
        <v>867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-1889</v>
      </c>
      <c r="C17" s="24">
        <v>-1613</v>
      </c>
      <c r="D17" s="24">
        <v>-2488</v>
      </c>
      <c r="E17" s="24">
        <v>-2000</v>
      </c>
      <c r="F17" s="24">
        <f t="shared" si="0"/>
        <v>764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-1016</v>
      </c>
      <c r="C18" s="24">
        <v>-1613</v>
      </c>
      <c r="D18" s="24">
        <v>-2197</v>
      </c>
      <c r="E18" s="24">
        <v>-2000</v>
      </c>
      <c r="F18" s="24">
        <f t="shared" si="0"/>
        <v>-400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-1804</v>
      </c>
      <c r="C19" s="24">
        <v>-1613</v>
      </c>
      <c r="D19" s="24">
        <v>-597</v>
      </c>
      <c r="E19" s="24">
        <v>-2000</v>
      </c>
      <c r="F19" s="24">
        <f t="shared" si="0"/>
        <v>-1212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-2012</v>
      </c>
      <c r="C20" s="24">
        <v>-1613</v>
      </c>
      <c r="D20" s="24">
        <v>-2407</v>
      </c>
      <c r="E20" s="24">
        <v>-2000</v>
      </c>
      <c r="F20" s="24">
        <f t="shared" si="0"/>
        <v>806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-1897</v>
      </c>
      <c r="C21" s="24">
        <v>-1613</v>
      </c>
      <c r="D21" s="24">
        <v>-2252</v>
      </c>
      <c r="E21" s="24">
        <v>-2000</v>
      </c>
      <c r="F21" s="24">
        <f t="shared" si="0"/>
        <v>536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-1056</v>
      </c>
      <c r="C22" s="24">
        <v>-1613</v>
      </c>
      <c r="D22" s="24">
        <v>-2327</v>
      </c>
      <c r="E22" s="24">
        <v>-2000</v>
      </c>
      <c r="F22" s="24">
        <f t="shared" si="0"/>
        <v>-230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-1876</v>
      </c>
      <c r="C23" s="24">
        <v>-1613</v>
      </c>
      <c r="D23" s="24">
        <v>-2314</v>
      </c>
      <c r="E23" s="24">
        <v>-2000</v>
      </c>
      <c r="F23" s="24">
        <f t="shared" si="0"/>
        <v>577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-1981</v>
      </c>
      <c r="C24" s="24">
        <v>-1613</v>
      </c>
      <c r="D24" s="24">
        <v>-2295</v>
      </c>
      <c r="E24" s="24">
        <v>-2000</v>
      </c>
      <c r="F24" s="24">
        <f t="shared" si="0"/>
        <v>663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-795</v>
      </c>
      <c r="C25" s="24">
        <v>-1613</v>
      </c>
      <c r="D25" s="24">
        <v>-2035</v>
      </c>
      <c r="E25" s="24">
        <v>-2000</v>
      </c>
      <c r="F25" s="24">
        <f t="shared" si="0"/>
        <v>-783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-1862</v>
      </c>
      <c r="C26" s="24">
        <v>-1613</v>
      </c>
      <c r="D26" s="24">
        <v>-576</v>
      </c>
      <c r="E26" s="24">
        <v>-2000</v>
      </c>
      <c r="F26" s="24">
        <f t="shared" si="0"/>
        <v>-1175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-2009</v>
      </c>
      <c r="C27" s="24">
        <v>-1613</v>
      </c>
      <c r="D27" s="24">
        <v>-2255</v>
      </c>
      <c r="E27" s="24">
        <v>-2000</v>
      </c>
      <c r="F27" s="24">
        <f t="shared" si="0"/>
        <v>651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-855</v>
      </c>
      <c r="C28" s="24">
        <v>-1613</v>
      </c>
      <c r="D28" s="24">
        <v>-2306</v>
      </c>
      <c r="E28" s="24">
        <v>-2000</v>
      </c>
      <c r="F28" s="24">
        <f t="shared" si="0"/>
        <v>-452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-1828</v>
      </c>
      <c r="C29" s="24">
        <v>-1613</v>
      </c>
      <c r="D29" s="24">
        <v>-2386</v>
      </c>
      <c r="E29" s="24">
        <v>-2000</v>
      </c>
      <c r="F29" s="24">
        <f t="shared" si="0"/>
        <v>601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-2125</v>
      </c>
      <c r="C30" s="24">
        <v>-1613</v>
      </c>
      <c r="D30" s="24">
        <v>-2356</v>
      </c>
      <c r="E30" s="24">
        <v>-2000</v>
      </c>
      <c r="F30" s="24">
        <f t="shared" si="0"/>
        <v>868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-2085</v>
      </c>
      <c r="C31" s="24">
        <v>-1613</v>
      </c>
      <c r="D31" s="24">
        <v>-2303</v>
      </c>
      <c r="E31" s="24">
        <v>-2000</v>
      </c>
      <c r="F31" s="24">
        <f t="shared" si="0"/>
        <v>775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-661</v>
      </c>
      <c r="C32" s="24">
        <v>-1613</v>
      </c>
      <c r="D32" s="24">
        <v>-2157</v>
      </c>
      <c r="E32" s="24">
        <v>-2000</v>
      </c>
      <c r="F32" s="24">
        <f t="shared" si="0"/>
        <v>-795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-1721</v>
      </c>
      <c r="C33" s="24">
        <v>-1613</v>
      </c>
      <c r="D33" s="24">
        <v>-522</v>
      </c>
      <c r="E33" s="24">
        <v>-2000</v>
      </c>
      <c r="F33" s="24">
        <f t="shared" si="0"/>
        <v>-1370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-1846</v>
      </c>
      <c r="C34" s="24">
        <v>-1613</v>
      </c>
      <c r="D34" s="24">
        <v>-2132</v>
      </c>
      <c r="E34" s="24">
        <v>-2000</v>
      </c>
      <c r="F34" s="24">
        <f t="shared" si="0"/>
        <v>365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-47393</v>
      </c>
      <c r="C37" s="24">
        <f>SUM(C6:C36)</f>
        <v>-46777</v>
      </c>
      <c r="D37" s="24">
        <f>SUM(D6:D36)</f>
        <v>-56715</v>
      </c>
      <c r="E37" s="24">
        <f>SUM(E6:E36)</f>
        <v>-58000</v>
      </c>
      <c r="F37" s="24">
        <f>SUM(F6:F36)</f>
        <v>-669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2.0699999999999998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-1384.83</v>
      </c>
      <c r="G39" s="48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7">
        <v>37164</v>
      </c>
      <c r="C40" s="137">
        <v>-23670.93</v>
      </c>
      <c r="E40" s="14">
        <v>-125225.89</v>
      </c>
      <c r="F40" s="463">
        <f>+E40+C40</f>
        <v>-148896.82</v>
      </c>
      <c r="G40" s="48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7">
        <v>37193</v>
      </c>
      <c r="E41" s="14"/>
      <c r="F41" s="104">
        <f>+F40+F39</f>
        <v>-150281.65</v>
      </c>
      <c r="G41" s="48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1">
        <f>-8786-40022</f>
        <v>-48808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37193</v>
      </c>
      <c r="B47" s="32"/>
      <c r="C47" s="32"/>
      <c r="D47" s="370">
        <f>+F37</f>
        <v>-669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-49477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28" workbookViewId="3">
      <selection activeCell="J24" sqref="J24"/>
    </sheetView>
  </sheetViews>
  <sheetFormatPr defaultRowHeight="12.75" x14ac:dyDescent="0.2"/>
  <cols>
    <col min="1" max="1" width="10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5" bestFit="1" customWidth="1"/>
    <col min="17" max="17" width="8" style="435" bestFit="1" customWidth="1"/>
    <col min="18" max="18" width="11.42578125" style="265" bestFit="1" customWidth="1"/>
  </cols>
  <sheetData>
    <row r="1" spans="1:35" x14ac:dyDescent="0.2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1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293759</v>
      </c>
      <c r="C4" s="11">
        <v>299565</v>
      </c>
      <c r="D4" s="11">
        <v>77855</v>
      </c>
      <c r="E4" s="11">
        <v>65775</v>
      </c>
      <c r="F4" s="11">
        <v>69010</v>
      </c>
      <c r="G4" s="11">
        <v>68361</v>
      </c>
      <c r="H4" s="11">
        <v>117971</v>
      </c>
      <c r="I4" s="11">
        <v>121265</v>
      </c>
      <c r="J4" s="11">
        <f t="shared" ref="J4:J34" si="0">+C4+E4+G4+I4-H4-F4-D4-B4</f>
        <v>-3629</v>
      </c>
      <c r="K4" s="31"/>
      <c r="M4" s="434" t="s">
        <v>40</v>
      </c>
      <c r="N4" s="4" t="s">
        <v>20</v>
      </c>
      <c r="O4" s="4" t="s">
        <v>21</v>
      </c>
      <c r="P4" s="43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302878</v>
      </c>
      <c r="C5" s="11">
        <v>319737</v>
      </c>
      <c r="D5" s="11">
        <v>63624</v>
      </c>
      <c r="E5" s="11">
        <v>66039</v>
      </c>
      <c r="F5" s="11">
        <v>72039</v>
      </c>
      <c r="G5" s="11">
        <v>73226</v>
      </c>
      <c r="H5" s="11">
        <v>110340</v>
      </c>
      <c r="I5" s="11">
        <v>110733</v>
      </c>
      <c r="J5" s="11">
        <f t="shared" si="0"/>
        <v>20854</v>
      </c>
      <c r="M5" s="434"/>
      <c r="N5" s="14"/>
      <c r="O5" s="14"/>
      <c r="P5" s="14">
        <f t="shared" ref="P5:P13" si="1">+O5-N5</f>
        <v>0</v>
      </c>
      <c r="Q5" s="381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345951</v>
      </c>
      <c r="C6" s="11">
        <v>343427</v>
      </c>
      <c r="D6" s="11">
        <v>66231</v>
      </c>
      <c r="E6" s="11">
        <v>65909</v>
      </c>
      <c r="F6" s="11">
        <v>69285</v>
      </c>
      <c r="G6" s="11">
        <v>66245</v>
      </c>
      <c r="H6" s="11">
        <v>110844</v>
      </c>
      <c r="I6" s="11">
        <v>115241</v>
      </c>
      <c r="J6" s="11">
        <f t="shared" si="0"/>
        <v>-1489</v>
      </c>
      <c r="M6" s="434">
        <v>36861</v>
      </c>
      <c r="N6" s="24">
        <v>19698194</v>
      </c>
      <c r="O6" s="24">
        <v>19662410</v>
      </c>
      <c r="P6" s="14">
        <f t="shared" si="1"/>
        <v>-35784</v>
      </c>
      <c r="Q6" s="381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333852</v>
      </c>
      <c r="C7" s="11">
        <v>330433</v>
      </c>
      <c r="D7" s="11">
        <v>63593</v>
      </c>
      <c r="E7" s="11">
        <v>66046</v>
      </c>
      <c r="F7" s="11">
        <v>75670</v>
      </c>
      <c r="G7" s="11">
        <v>72808</v>
      </c>
      <c r="H7" s="11">
        <v>113882</v>
      </c>
      <c r="I7" s="11">
        <v>112345</v>
      </c>
      <c r="J7" s="11">
        <f t="shared" si="0"/>
        <v>-5365</v>
      </c>
      <c r="M7" s="434">
        <v>36892</v>
      </c>
      <c r="N7" s="24">
        <v>18949781</v>
      </c>
      <c r="O7" s="14">
        <v>18975457</v>
      </c>
      <c r="P7" s="14">
        <f t="shared" si="1"/>
        <v>25676</v>
      </c>
      <c r="Q7" s="381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309883</v>
      </c>
      <c r="C8" s="11">
        <v>305199</v>
      </c>
      <c r="D8" s="129">
        <v>66973</v>
      </c>
      <c r="E8" s="11">
        <v>66061</v>
      </c>
      <c r="F8" s="11">
        <v>74598</v>
      </c>
      <c r="G8" s="11">
        <v>69789</v>
      </c>
      <c r="H8" s="129">
        <v>111991</v>
      </c>
      <c r="I8" s="11">
        <v>112455</v>
      </c>
      <c r="J8" s="11">
        <f t="shared" si="0"/>
        <v>-9941</v>
      </c>
      <c r="M8" s="434">
        <v>36923</v>
      </c>
      <c r="N8" s="24">
        <v>15193330</v>
      </c>
      <c r="O8" s="14">
        <v>15256233</v>
      </c>
      <c r="P8" s="14">
        <f t="shared" si="1"/>
        <v>62903</v>
      </c>
      <c r="Q8" s="381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318188</v>
      </c>
      <c r="C9" s="11">
        <v>328296</v>
      </c>
      <c r="D9" s="11">
        <v>72362</v>
      </c>
      <c r="E9" s="11">
        <v>65533</v>
      </c>
      <c r="F9" s="11">
        <v>66749</v>
      </c>
      <c r="G9" s="11">
        <v>64982</v>
      </c>
      <c r="H9" s="11">
        <v>100986</v>
      </c>
      <c r="I9" s="11">
        <v>101051</v>
      </c>
      <c r="J9" s="11">
        <f t="shared" si="0"/>
        <v>1577</v>
      </c>
      <c r="M9" s="434">
        <v>36951</v>
      </c>
      <c r="N9" s="24">
        <v>17049350</v>
      </c>
      <c r="O9" s="14">
        <v>17089226</v>
      </c>
      <c r="P9" s="14">
        <f t="shared" si="1"/>
        <v>39876</v>
      </c>
      <c r="Q9" s="381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319911</v>
      </c>
      <c r="C10" s="11">
        <v>331595</v>
      </c>
      <c r="D10" s="129">
        <v>78725</v>
      </c>
      <c r="E10" s="11">
        <v>65632</v>
      </c>
      <c r="F10" s="129">
        <v>67205</v>
      </c>
      <c r="G10" s="11">
        <v>64982</v>
      </c>
      <c r="H10" s="129">
        <v>106914</v>
      </c>
      <c r="I10" s="11">
        <v>106131</v>
      </c>
      <c r="J10" s="11">
        <f t="shared" si="0"/>
        <v>-4415</v>
      </c>
      <c r="M10" s="434">
        <v>36982</v>
      </c>
      <c r="N10" s="24">
        <v>17652369</v>
      </c>
      <c r="O10" s="14">
        <v>17743987</v>
      </c>
      <c r="P10" s="14">
        <f t="shared" si="1"/>
        <v>91618</v>
      </c>
      <c r="Q10" s="381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337335</v>
      </c>
      <c r="C11" s="11">
        <v>334371</v>
      </c>
      <c r="D11" s="11">
        <v>65309</v>
      </c>
      <c r="E11" s="11">
        <v>65831</v>
      </c>
      <c r="F11" s="11">
        <v>66817</v>
      </c>
      <c r="G11" s="11">
        <v>64748</v>
      </c>
      <c r="H11" s="11">
        <v>106021</v>
      </c>
      <c r="I11" s="11">
        <v>106192</v>
      </c>
      <c r="J11" s="11">
        <f t="shared" si="0"/>
        <v>-4340</v>
      </c>
      <c r="M11" s="434">
        <v>37012</v>
      </c>
      <c r="N11" s="24">
        <v>16124989</v>
      </c>
      <c r="O11" s="14">
        <v>16282021</v>
      </c>
      <c r="P11" s="14">
        <f t="shared" si="1"/>
        <v>157032</v>
      </c>
      <c r="Q11" s="381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342588</v>
      </c>
      <c r="C12" s="11">
        <v>336606</v>
      </c>
      <c r="D12" s="11">
        <v>65034</v>
      </c>
      <c r="E12" s="11">
        <v>65562</v>
      </c>
      <c r="F12" s="11">
        <v>68637</v>
      </c>
      <c r="G12" s="11">
        <v>65351</v>
      </c>
      <c r="H12" s="11">
        <v>109978</v>
      </c>
      <c r="I12" s="11">
        <v>112084</v>
      </c>
      <c r="J12" s="11">
        <f t="shared" si="0"/>
        <v>-6634</v>
      </c>
      <c r="M12" s="434">
        <v>37043</v>
      </c>
      <c r="N12" s="24">
        <v>15928675</v>
      </c>
      <c r="O12" s="14">
        <v>15936227</v>
      </c>
      <c r="P12" s="14">
        <f t="shared" si="1"/>
        <v>7552</v>
      </c>
      <c r="Q12" s="381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330722</v>
      </c>
      <c r="C13" s="11">
        <v>335677</v>
      </c>
      <c r="D13" s="129">
        <v>66855</v>
      </c>
      <c r="E13" s="11">
        <v>65868</v>
      </c>
      <c r="F13" s="129">
        <v>69254</v>
      </c>
      <c r="G13" s="11">
        <v>68226</v>
      </c>
      <c r="H13" s="129">
        <v>128229</v>
      </c>
      <c r="I13" s="11">
        <v>126262</v>
      </c>
      <c r="J13" s="11">
        <f t="shared" si="0"/>
        <v>973</v>
      </c>
      <c r="M13" s="434">
        <v>37073</v>
      </c>
      <c r="N13" s="24">
        <v>16669639</v>
      </c>
      <c r="O13" s="14">
        <v>16693576</v>
      </c>
      <c r="P13" s="14">
        <f t="shared" si="1"/>
        <v>23937</v>
      </c>
      <c r="Q13" s="381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340724</v>
      </c>
      <c r="C14" s="11">
        <v>339393</v>
      </c>
      <c r="D14" s="11">
        <v>67058</v>
      </c>
      <c r="E14" s="11">
        <v>66024</v>
      </c>
      <c r="F14" s="11">
        <v>70272</v>
      </c>
      <c r="G14" s="11">
        <v>73226</v>
      </c>
      <c r="H14" s="11">
        <v>134751</v>
      </c>
      <c r="I14" s="11">
        <v>133526</v>
      </c>
      <c r="J14" s="11">
        <f t="shared" si="0"/>
        <v>-636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315353</v>
      </c>
      <c r="C15" s="11">
        <v>320704</v>
      </c>
      <c r="D15" s="11">
        <v>71586</v>
      </c>
      <c r="E15" s="11">
        <v>65820</v>
      </c>
      <c r="F15" s="11">
        <v>70355</v>
      </c>
      <c r="G15" s="11">
        <v>73226</v>
      </c>
      <c r="H15" s="11">
        <v>140432</v>
      </c>
      <c r="I15" s="11">
        <v>137584</v>
      </c>
      <c r="J15" s="11">
        <f t="shared" si="0"/>
        <v>-392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302956</v>
      </c>
      <c r="C16" s="11">
        <v>301780</v>
      </c>
      <c r="D16" s="11">
        <v>74811</v>
      </c>
      <c r="E16" s="11">
        <v>62588</v>
      </c>
      <c r="F16" s="11">
        <v>69161</v>
      </c>
      <c r="G16" s="11">
        <v>73716</v>
      </c>
      <c r="H16" s="11">
        <v>134817</v>
      </c>
      <c r="I16" s="11">
        <v>140306</v>
      </c>
      <c r="J16" s="11">
        <f t="shared" si="0"/>
        <v>-3355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291508</v>
      </c>
      <c r="C17" s="11">
        <v>297349</v>
      </c>
      <c r="D17" s="11">
        <v>78179</v>
      </c>
      <c r="E17" s="11">
        <v>64925</v>
      </c>
      <c r="F17" s="11">
        <v>70659</v>
      </c>
      <c r="G17" s="11">
        <v>66684</v>
      </c>
      <c r="H17" s="11">
        <v>108823</v>
      </c>
      <c r="I17" s="11">
        <v>116470</v>
      </c>
      <c r="J17" s="11">
        <f t="shared" si="0"/>
        <v>-3741</v>
      </c>
      <c r="M17" s="434"/>
      <c r="N17" s="24"/>
      <c r="O17" s="14"/>
      <c r="P17" s="14">
        <f>+O17-N17</f>
        <v>0</v>
      </c>
      <c r="Q17" s="381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323659</v>
      </c>
      <c r="C18" s="11">
        <v>329256</v>
      </c>
      <c r="D18" s="11">
        <v>78031</v>
      </c>
      <c r="E18" s="11">
        <v>65101</v>
      </c>
      <c r="F18" s="11">
        <v>71142</v>
      </c>
      <c r="G18" s="11">
        <v>74752</v>
      </c>
      <c r="H18" s="11">
        <v>135516</v>
      </c>
      <c r="I18" s="11">
        <v>134140</v>
      </c>
      <c r="J18" s="11">
        <f t="shared" si="0"/>
        <v>-5099</v>
      </c>
      <c r="M18" s="434"/>
      <c r="N18" s="24"/>
      <c r="O18" s="14"/>
      <c r="P18" s="14"/>
      <c r="Q18" s="381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328465</v>
      </c>
      <c r="C19" s="11">
        <v>325871</v>
      </c>
      <c r="D19" s="11">
        <v>62866</v>
      </c>
      <c r="E19" s="11">
        <v>62587</v>
      </c>
      <c r="F19" s="11">
        <v>71739</v>
      </c>
      <c r="G19" s="11">
        <v>73235</v>
      </c>
      <c r="H19" s="11">
        <v>130456</v>
      </c>
      <c r="I19" s="11">
        <v>129127</v>
      </c>
      <c r="J19" s="11">
        <f t="shared" si="0"/>
        <v>-2706</v>
      </c>
      <c r="M19" s="434"/>
      <c r="N19" s="14"/>
      <c r="O19" s="14"/>
      <c r="P19" s="14"/>
      <c r="Q19" s="381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349867</v>
      </c>
      <c r="C20" s="11">
        <v>338034</v>
      </c>
      <c r="D20" s="11">
        <v>63149</v>
      </c>
      <c r="E20" s="11">
        <v>62587</v>
      </c>
      <c r="F20" s="11">
        <v>72115</v>
      </c>
      <c r="G20" s="11">
        <v>73225</v>
      </c>
      <c r="H20" s="11">
        <v>117503</v>
      </c>
      <c r="I20" s="11">
        <v>123450</v>
      </c>
      <c r="J20" s="11">
        <f t="shared" si="0"/>
        <v>-5338</v>
      </c>
      <c r="M20" s="434"/>
      <c r="N20" s="14"/>
      <c r="O20" s="14"/>
      <c r="P20" s="15"/>
      <c r="Q20" s="381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325818</v>
      </c>
      <c r="C21" s="11">
        <v>320619</v>
      </c>
      <c r="D21" s="11">
        <v>65173</v>
      </c>
      <c r="E21" s="11">
        <v>65150</v>
      </c>
      <c r="F21" s="11">
        <v>75731</v>
      </c>
      <c r="G21" s="11">
        <v>73226</v>
      </c>
      <c r="H21" s="11">
        <v>132171</v>
      </c>
      <c r="I21" s="11">
        <v>135082</v>
      </c>
      <c r="J21" s="11">
        <f t="shared" si="0"/>
        <v>-4816</v>
      </c>
      <c r="M21" s="434"/>
      <c r="N21" s="24"/>
      <c r="O21" s="24"/>
      <c r="P21" s="110"/>
      <c r="Q21" s="43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329860</v>
      </c>
      <c r="C22" s="11">
        <v>326102</v>
      </c>
      <c r="D22" s="11">
        <v>64948</v>
      </c>
      <c r="E22" s="11">
        <v>62587</v>
      </c>
      <c r="F22" s="11">
        <v>72872</v>
      </c>
      <c r="G22" s="11">
        <v>68466</v>
      </c>
      <c r="H22" s="11">
        <v>131369</v>
      </c>
      <c r="I22" s="11">
        <v>139004</v>
      </c>
      <c r="J22" s="11">
        <f t="shared" si="0"/>
        <v>-2890</v>
      </c>
      <c r="M22" s="32"/>
      <c r="N22" s="24"/>
      <c r="O22" s="24"/>
      <c r="P22" s="24">
        <f>SUM(P5:P21)</f>
        <v>372810</v>
      </c>
      <c r="Q22" s="43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326704</v>
      </c>
      <c r="C23" s="11">
        <v>331142</v>
      </c>
      <c r="D23" s="11">
        <v>64966</v>
      </c>
      <c r="E23" s="11">
        <v>65676</v>
      </c>
      <c r="F23" s="11">
        <v>73544</v>
      </c>
      <c r="G23" s="11">
        <v>73226</v>
      </c>
      <c r="H23" s="11">
        <v>134931</v>
      </c>
      <c r="I23" s="11">
        <v>121744</v>
      </c>
      <c r="J23" s="11">
        <f t="shared" si="0"/>
        <v>-8357</v>
      </c>
      <c r="M23" s="32"/>
      <c r="N23" s="24"/>
      <c r="O23" s="24"/>
      <c r="P23" s="110"/>
      <c r="Q23" s="436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328196</v>
      </c>
      <c r="C24" s="11">
        <v>333382</v>
      </c>
      <c r="D24" s="11">
        <v>66492</v>
      </c>
      <c r="E24" s="11">
        <v>65717</v>
      </c>
      <c r="F24" s="11">
        <v>73349</v>
      </c>
      <c r="G24" s="11">
        <v>73226</v>
      </c>
      <c r="H24" s="11">
        <v>118999</v>
      </c>
      <c r="I24" s="11">
        <v>114510</v>
      </c>
      <c r="J24" s="11">
        <f t="shared" si="0"/>
        <v>-201</v>
      </c>
      <c r="M24" s="32"/>
      <c r="N24" s="24"/>
      <c r="O24" s="24"/>
      <c r="P24" s="110"/>
      <c r="Q24" s="436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334876</v>
      </c>
      <c r="C25" s="11">
        <v>332211</v>
      </c>
      <c r="D25" s="11">
        <v>67935</v>
      </c>
      <c r="E25" s="11">
        <v>65781</v>
      </c>
      <c r="F25" s="11">
        <v>70776</v>
      </c>
      <c r="G25" s="11">
        <v>73330</v>
      </c>
      <c r="H25" s="11">
        <v>121077</v>
      </c>
      <c r="I25" s="11">
        <v>120670</v>
      </c>
      <c r="J25" s="11">
        <f t="shared" si="0"/>
        <v>-2672</v>
      </c>
      <c r="M25" s="32"/>
      <c r="N25" s="24"/>
      <c r="O25" s="24"/>
      <c r="P25" s="110"/>
      <c r="Q25" s="43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323480</v>
      </c>
      <c r="C26" s="11">
        <v>332779</v>
      </c>
      <c r="D26" s="11">
        <v>67875</v>
      </c>
      <c r="E26" s="11">
        <v>65780</v>
      </c>
      <c r="F26" s="11">
        <v>72036</v>
      </c>
      <c r="G26" s="11">
        <v>73321</v>
      </c>
      <c r="H26" s="11">
        <v>113517</v>
      </c>
      <c r="I26" s="11">
        <v>109262</v>
      </c>
      <c r="J26" s="11">
        <f t="shared" si="0"/>
        <v>4234</v>
      </c>
      <c r="M26" s="32"/>
      <c r="N26" s="24"/>
      <c r="O26" s="24"/>
      <c r="P26" s="110"/>
      <c r="Q26" s="43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303582</v>
      </c>
      <c r="C27" s="11">
        <v>310433</v>
      </c>
      <c r="D27" s="11">
        <v>68077</v>
      </c>
      <c r="E27" s="11">
        <v>65977</v>
      </c>
      <c r="F27" s="11">
        <v>72211</v>
      </c>
      <c r="G27" s="11">
        <v>73321</v>
      </c>
      <c r="H27" s="11">
        <v>106501</v>
      </c>
      <c r="I27" s="11">
        <v>94709</v>
      </c>
      <c r="J27" s="11">
        <f t="shared" si="0"/>
        <v>-5931</v>
      </c>
      <c r="M27" s="32"/>
      <c r="N27" s="24"/>
      <c r="O27" s="24"/>
      <c r="P27" s="110"/>
      <c r="Q27" s="43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333800</v>
      </c>
      <c r="C28" s="11">
        <v>352180</v>
      </c>
      <c r="D28" s="11">
        <v>67910</v>
      </c>
      <c r="E28" s="11">
        <v>66472</v>
      </c>
      <c r="F28" s="11">
        <v>73595</v>
      </c>
      <c r="G28" s="11">
        <v>73321</v>
      </c>
      <c r="H28" s="11">
        <v>118169</v>
      </c>
      <c r="I28" s="11">
        <v>116488</v>
      </c>
      <c r="J28" s="11">
        <f t="shared" si="0"/>
        <v>14987</v>
      </c>
      <c r="M28" s="32"/>
      <c r="N28" s="24"/>
      <c r="O28" s="24"/>
      <c r="P28" s="110"/>
      <c r="Q28" s="43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327707</v>
      </c>
      <c r="C29" s="11">
        <v>328281</v>
      </c>
      <c r="D29" s="11">
        <v>68032</v>
      </c>
      <c r="E29" s="11">
        <v>66141</v>
      </c>
      <c r="F29" s="11">
        <v>72736</v>
      </c>
      <c r="G29" s="11">
        <v>73321</v>
      </c>
      <c r="H29" s="11">
        <v>125232</v>
      </c>
      <c r="I29" s="11">
        <v>124101</v>
      </c>
      <c r="J29" s="11">
        <f t="shared" si="0"/>
        <v>-1863</v>
      </c>
      <c r="M29" s="32"/>
      <c r="N29" s="24"/>
      <c r="O29" s="24"/>
      <c r="P29" s="110"/>
      <c r="Q29" s="43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298402</v>
      </c>
      <c r="C30" s="11">
        <v>295172</v>
      </c>
      <c r="D30" s="11">
        <v>70713</v>
      </c>
      <c r="E30" s="11">
        <v>65718</v>
      </c>
      <c r="F30" s="11">
        <v>74428</v>
      </c>
      <c r="G30" s="11">
        <v>73321</v>
      </c>
      <c r="H30" s="11">
        <v>90700</v>
      </c>
      <c r="I30" s="11">
        <v>66726</v>
      </c>
      <c r="J30" s="11">
        <f t="shared" si="0"/>
        <v>-33306</v>
      </c>
      <c r="M30" s="32"/>
      <c r="N30" s="24"/>
      <c r="O30" s="24"/>
      <c r="P30" s="110"/>
      <c r="Q30" s="43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292346</v>
      </c>
      <c r="C31" s="11">
        <v>310242</v>
      </c>
      <c r="D31" s="11">
        <v>70785</v>
      </c>
      <c r="E31" s="11">
        <v>65824</v>
      </c>
      <c r="F31" s="11">
        <v>73521</v>
      </c>
      <c r="G31" s="11">
        <v>73321</v>
      </c>
      <c r="H31" s="11">
        <v>87003</v>
      </c>
      <c r="I31" s="11">
        <v>79481</v>
      </c>
      <c r="J31" s="11">
        <f t="shared" si="0"/>
        <v>5213</v>
      </c>
      <c r="M31" s="32"/>
      <c r="N31" s="24"/>
      <c r="O31" s="24"/>
      <c r="P31" s="110"/>
      <c r="Q31" s="43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308680</v>
      </c>
      <c r="C32" s="11">
        <v>311124</v>
      </c>
      <c r="D32" s="11">
        <v>72571</v>
      </c>
      <c r="E32" s="11">
        <v>72587</v>
      </c>
      <c r="F32" s="11">
        <v>72376</v>
      </c>
      <c r="G32" s="11">
        <v>73321</v>
      </c>
      <c r="H32" s="11">
        <v>90754</v>
      </c>
      <c r="I32" s="11">
        <v>88825</v>
      </c>
      <c r="J32" s="11">
        <f t="shared" si="0"/>
        <v>1476</v>
      </c>
      <c r="M32" s="32"/>
      <c r="N32" s="24"/>
      <c r="O32" s="32"/>
      <c r="P32" s="15"/>
      <c r="Q32" s="381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1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1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9321050</v>
      </c>
      <c r="C35" s="11">
        <f t="shared" ref="C35:I35" si="3">SUM(C4:C34)</f>
        <v>9400960</v>
      </c>
      <c r="D35" s="11">
        <f t="shared" si="3"/>
        <v>1997718</v>
      </c>
      <c r="E35" s="11">
        <f t="shared" si="3"/>
        <v>1901298</v>
      </c>
      <c r="F35" s="11">
        <f t="shared" si="3"/>
        <v>2071882</v>
      </c>
      <c r="G35" s="11">
        <f t="shared" si="3"/>
        <v>2061503</v>
      </c>
      <c r="H35" s="11">
        <f t="shared" si="3"/>
        <v>3389877</v>
      </c>
      <c r="I35" s="11">
        <f t="shared" si="3"/>
        <v>3348964</v>
      </c>
      <c r="J35" s="11">
        <f>SUM(J4:J34)</f>
        <v>-67802</v>
      </c>
      <c r="M35" s="32"/>
      <c r="N35" s="24"/>
      <c r="O35" s="32"/>
      <c r="P35" s="15"/>
      <c r="Q35" s="381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1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1"/>
      <c r="R37" s="110"/>
      <c r="S37" s="19"/>
      <c r="T37" s="104"/>
      <c r="U37" s="16"/>
      <c r="V37" s="15"/>
      <c r="W37" s="13"/>
    </row>
    <row r="38" spans="1:23" x14ac:dyDescent="0.2">
      <c r="A38" s="56">
        <v>37164</v>
      </c>
      <c r="C38" s="25"/>
      <c r="E38" s="25"/>
      <c r="G38" s="25"/>
      <c r="I38" s="25"/>
      <c r="J38" s="514">
        <v>230460</v>
      </c>
      <c r="M38" s="32"/>
      <c r="N38" s="24"/>
      <c r="O38" s="32"/>
      <c r="P38" s="15"/>
      <c r="Q38" s="381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1"/>
      <c r="R39" s="110"/>
      <c r="S39" s="19"/>
      <c r="T39" s="104"/>
      <c r="U39" s="16"/>
      <c r="V39" s="15"/>
      <c r="W39" s="13"/>
    </row>
    <row r="40" spans="1:23" x14ac:dyDescent="0.2">
      <c r="A40" s="33">
        <v>37193</v>
      </c>
      <c r="J40" s="51">
        <f>+J38+J35</f>
        <v>162658</v>
      </c>
      <c r="M40" s="32"/>
      <c r="N40" s="24"/>
      <c r="O40" s="32"/>
      <c r="P40" s="15"/>
      <c r="Q40" s="381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1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1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1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1"/>
      <c r="R44" s="110"/>
      <c r="S44" s="19"/>
      <c r="T44" s="104"/>
      <c r="U44" s="16"/>
      <c r="V44" s="15"/>
      <c r="W44" s="13"/>
    </row>
    <row r="45" spans="1:23" x14ac:dyDescent="0.2">
      <c r="A45" s="32" t="s">
        <v>154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1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37164</v>
      </c>
      <c r="B46" s="32"/>
      <c r="C46" s="32"/>
      <c r="D46" s="457">
        <v>1206871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1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37193</v>
      </c>
      <c r="B47" s="32"/>
      <c r="C47" s="32"/>
      <c r="D47" s="399">
        <f>+J35*'by type_area'!J3</f>
        <v>-135604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1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1071267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1"/>
      <c r="R48" s="15"/>
      <c r="S48" s="19"/>
      <c r="T48" s="32"/>
    </row>
    <row r="49" spans="1:20" x14ac:dyDescent="0.2">
      <c r="A49" s="139"/>
      <c r="B49" s="119"/>
      <c r="C49" s="140"/>
      <c r="D49" s="400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1"/>
      <c r="R49" s="15"/>
      <c r="S49" s="32"/>
      <c r="T49" s="32"/>
    </row>
    <row r="50" spans="1:20" x14ac:dyDescent="0.2">
      <c r="A50" s="10"/>
      <c r="B50" s="11"/>
      <c r="C50" s="11"/>
      <c r="D50" s="401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1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1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1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1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1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1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1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1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1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1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1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1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1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1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1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1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1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1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6"/>
      <c r="R70" s="110"/>
      <c r="S70" s="19"/>
      <c r="T70" s="138"/>
    </row>
    <row r="71" spans="1:20" x14ac:dyDescent="0.2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6"/>
      <c r="R71" s="110"/>
      <c r="S71" s="19"/>
      <c r="T71" s="138"/>
    </row>
    <row r="72" spans="1:20" x14ac:dyDescent="0.2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6"/>
      <c r="R72" s="110"/>
      <c r="S72" s="19"/>
      <c r="T72" s="138"/>
    </row>
    <row r="73" spans="1:20" x14ac:dyDescent="0.2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3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3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3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3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3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3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3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1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1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1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1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1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1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1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1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1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1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1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1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1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1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1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1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1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1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1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2"/>
      <c r="Q255" s="143"/>
      <c r="R255" s="43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33"/>
      <c r="Q256" s="438"/>
      <c r="R256" s="43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7"/>
      <c r="S295" s="1"/>
    </row>
    <row r="296" spans="9:21" x14ac:dyDescent="0.2">
      <c r="K296" s="2"/>
      <c r="M296" s="30"/>
      <c r="N296" s="4"/>
      <c r="O296" s="4"/>
      <c r="P296" s="432"/>
      <c r="Q296" s="143"/>
      <c r="R296" s="43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33"/>
      <c r="Q297" s="438"/>
      <c r="R297" s="43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3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3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3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3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3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3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3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3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3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3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3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3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3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3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3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3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3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3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3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3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3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3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3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3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3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3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3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3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3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3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3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3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7"/>
      <c r="S337" s="1"/>
    </row>
    <row r="338" spans="11:21" x14ac:dyDescent="0.2">
      <c r="K338" s="2"/>
      <c r="M338" s="30"/>
      <c r="N338" s="4"/>
      <c r="O338" s="4"/>
      <c r="P338" s="432"/>
      <c r="Q338" s="143"/>
      <c r="R338" s="43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33"/>
      <c r="Q339" s="438"/>
      <c r="R339" s="43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3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3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3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3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3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3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3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3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3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3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3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3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3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3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3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3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3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3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3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3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3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3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3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3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3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3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3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3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3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3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3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3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7"/>
      <c r="S379" s="1"/>
    </row>
    <row r="380" spans="11:21" x14ac:dyDescent="0.2">
      <c r="K380" s="2"/>
      <c r="M380" s="30"/>
      <c r="N380" s="4"/>
      <c r="O380" s="4"/>
      <c r="P380" s="432"/>
      <c r="Q380" s="143"/>
      <c r="R380" s="43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33"/>
      <c r="Q381" s="438"/>
      <c r="R381" s="43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3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3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3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3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3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3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3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3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3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3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3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3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3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3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3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3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3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3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3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3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3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3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3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3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3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3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3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3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3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3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3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3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7"/>
      <c r="S423" s="1"/>
    </row>
    <row r="424" spans="11:21" x14ac:dyDescent="0.2">
      <c r="K424" s="2"/>
      <c r="M424" s="30"/>
      <c r="N424" s="4"/>
      <c r="O424" s="4"/>
      <c r="P424" s="432"/>
      <c r="Q424" s="143"/>
      <c r="R424" s="43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33"/>
      <c r="Q425" s="438"/>
      <c r="R425" s="43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3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3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3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3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3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3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3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3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3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3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3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3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3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3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3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3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3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3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3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3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3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3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3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3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3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3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3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3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3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3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3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3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32"/>
      <c r="Q466" s="143"/>
      <c r="R466" s="43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33"/>
      <c r="Q467" s="438"/>
      <c r="R467" s="43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3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3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3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3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3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3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3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3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3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3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3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3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3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3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3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3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3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3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3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3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3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3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3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3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3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3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3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3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3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3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3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3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/>
    <sheetView workbookViewId="1"/>
    <sheetView workbookViewId="2"/>
    <sheetView topLeftCell="H30" workbookViewId="3">
      <selection activeCell="O41" sqref="O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234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235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535" t="s">
        <v>236</v>
      </c>
      <c r="C3" s="210"/>
      <c r="D3" s="535" t="s">
        <v>238</v>
      </c>
      <c r="E3" s="209"/>
      <c r="F3" s="535" t="s">
        <v>240</v>
      </c>
      <c r="G3" s="209"/>
      <c r="H3" s="535" t="s">
        <v>242</v>
      </c>
      <c r="I3" s="209"/>
      <c r="J3" s="535" t="s">
        <v>244</v>
      </c>
      <c r="K3" s="209"/>
      <c r="L3" s="535" t="s">
        <v>246</v>
      </c>
      <c r="M3" s="209"/>
      <c r="N3" s="535" t="s">
        <v>248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237</v>
      </c>
      <c r="C4" s="32"/>
      <c r="D4" s="233" t="s">
        <v>239</v>
      </c>
      <c r="E4" s="24"/>
      <c r="F4" s="233" t="s">
        <v>241</v>
      </c>
      <c r="G4" s="24"/>
      <c r="H4" s="233" t="s">
        <v>243</v>
      </c>
      <c r="I4" s="24"/>
      <c r="J4" s="233" t="s">
        <v>245</v>
      </c>
      <c r="K4" s="24"/>
      <c r="L4" s="233" t="s">
        <v>247</v>
      </c>
      <c r="M4" s="24"/>
      <c r="N4" s="233" t="s">
        <v>249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-1918</v>
      </c>
      <c r="C6" s="24">
        <v>-3600</v>
      </c>
      <c r="D6" s="24">
        <v>-96</v>
      </c>
      <c r="E6" s="24">
        <v>-17</v>
      </c>
      <c r="F6" s="24"/>
      <c r="G6" s="24">
        <v>-20</v>
      </c>
      <c r="H6" s="24"/>
      <c r="I6" s="24">
        <v>-10</v>
      </c>
      <c r="J6" s="24"/>
      <c r="K6" s="24">
        <v>-12</v>
      </c>
      <c r="L6" s="24"/>
      <c r="M6" s="24">
        <v>-33</v>
      </c>
      <c r="N6" s="24"/>
      <c r="O6" s="24">
        <v>-7</v>
      </c>
      <c r="P6" s="24">
        <f>+C6+E6+I6+K6+M6+O6-B6-D6-F6-H6-J6-L6-N6</f>
        <v>-1665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-1923</v>
      </c>
      <c r="C7" s="24">
        <v>-3600</v>
      </c>
      <c r="D7" s="24">
        <v>-92</v>
      </c>
      <c r="E7" s="24">
        <v>-17</v>
      </c>
      <c r="F7" s="24"/>
      <c r="G7" s="24">
        <v>-20</v>
      </c>
      <c r="H7" s="24"/>
      <c r="I7" s="24">
        <v>-10</v>
      </c>
      <c r="J7" s="24"/>
      <c r="K7" s="24">
        <v>-12</v>
      </c>
      <c r="L7" s="24"/>
      <c r="M7" s="24">
        <v>-33</v>
      </c>
      <c r="N7" s="24"/>
      <c r="O7" s="24">
        <v>-7</v>
      </c>
      <c r="P7" s="24">
        <f>+C7+E7+I7+K7+M7+O7-B7-D7-F7-H7-J7-L7-N7</f>
        <v>-1664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-1918</v>
      </c>
      <c r="C8" s="24">
        <v>-3600</v>
      </c>
      <c r="D8" s="24">
        <v>-79</v>
      </c>
      <c r="E8" s="24">
        <v>-17</v>
      </c>
      <c r="F8" s="24"/>
      <c r="G8" s="24">
        <v>-20</v>
      </c>
      <c r="H8" s="24"/>
      <c r="I8" s="24">
        <v>-10</v>
      </c>
      <c r="J8" s="24"/>
      <c r="K8" s="24">
        <v>-12</v>
      </c>
      <c r="L8" s="24"/>
      <c r="M8" s="24">
        <v>-33</v>
      </c>
      <c r="N8" s="24"/>
      <c r="O8" s="24">
        <v>-7</v>
      </c>
      <c r="P8" s="24">
        <f t="shared" ref="P8:P36" si="0">+C8+E8+I8+K8+M8+O8-B8-D8-F8-H8-J8-L8-N8</f>
        <v>-1682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-1901</v>
      </c>
      <c r="C9" s="24">
        <v>-3600</v>
      </c>
      <c r="D9" s="51">
        <v>-82</v>
      </c>
      <c r="E9" s="24">
        <v>-17</v>
      </c>
      <c r="F9" s="51"/>
      <c r="G9" s="24">
        <v>-20</v>
      </c>
      <c r="H9" s="51"/>
      <c r="I9" s="24">
        <v>-10</v>
      </c>
      <c r="J9" s="51"/>
      <c r="K9" s="24">
        <v>-12</v>
      </c>
      <c r="L9" s="51"/>
      <c r="M9" s="24">
        <v>-33</v>
      </c>
      <c r="N9" s="51"/>
      <c r="O9" s="24">
        <v>-7</v>
      </c>
      <c r="P9" s="24">
        <f t="shared" si="0"/>
        <v>-1696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-1917</v>
      </c>
      <c r="C10" s="24">
        <v>-3599</v>
      </c>
      <c r="D10" s="51">
        <v>-27</v>
      </c>
      <c r="E10" s="24">
        <v>-17</v>
      </c>
      <c r="F10" s="51"/>
      <c r="G10" s="24">
        <v>-20</v>
      </c>
      <c r="H10" s="51"/>
      <c r="I10" s="24">
        <v>-10</v>
      </c>
      <c r="J10" s="51"/>
      <c r="K10" s="24">
        <v>-12</v>
      </c>
      <c r="L10" s="51"/>
      <c r="M10" s="24">
        <v>-33</v>
      </c>
      <c r="N10" s="51"/>
      <c r="O10" s="24">
        <v>-7</v>
      </c>
      <c r="P10" s="24">
        <f t="shared" si="0"/>
        <v>-1734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-1914</v>
      </c>
      <c r="C11" s="24">
        <v>-3631</v>
      </c>
      <c r="D11" s="24"/>
      <c r="E11" s="24">
        <v>-17</v>
      </c>
      <c r="F11" s="24"/>
      <c r="G11" s="24">
        <v>-20</v>
      </c>
      <c r="H11" s="24"/>
      <c r="I11" s="24">
        <v>-10</v>
      </c>
      <c r="J11" s="24"/>
      <c r="K11" s="24">
        <v>-12</v>
      </c>
      <c r="L11" s="24"/>
      <c r="M11" s="24">
        <v>-33</v>
      </c>
      <c r="N11" s="24"/>
      <c r="O11" s="24">
        <v>-7</v>
      </c>
      <c r="P11" s="24">
        <f t="shared" si="0"/>
        <v>-1796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-1904</v>
      </c>
      <c r="C12" s="24">
        <v>-3631</v>
      </c>
      <c r="D12" s="51"/>
      <c r="E12" s="24">
        <v>-17</v>
      </c>
      <c r="F12" s="51"/>
      <c r="G12" s="24">
        <v>-20</v>
      </c>
      <c r="H12" s="51"/>
      <c r="I12" s="24">
        <v>-10</v>
      </c>
      <c r="J12" s="51"/>
      <c r="K12" s="24">
        <v>-12</v>
      </c>
      <c r="L12" s="51"/>
      <c r="M12" s="24">
        <v>-33</v>
      </c>
      <c r="N12" s="51"/>
      <c r="O12" s="24">
        <v>-7</v>
      </c>
      <c r="P12" s="24">
        <f t="shared" si="0"/>
        <v>-1806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-1915</v>
      </c>
      <c r="C13" s="24">
        <v>-3631</v>
      </c>
      <c r="D13" s="24"/>
      <c r="E13" s="24">
        <v>-17</v>
      </c>
      <c r="F13" s="24"/>
      <c r="G13" s="24">
        <v>-20</v>
      </c>
      <c r="H13" s="24"/>
      <c r="I13" s="24">
        <v>-10</v>
      </c>
      <c r="J13" s="24"/>
      <c r="K13" s="24">
        <v>-12</v>
      </c>
      <c r="L13" s="24"/>
      <c r="M13" s="24">
        <v>-33</v>
      </c>
      <c r="N13" s="24"/>
      <c r="O13" s="24">
        <v>-7</v>
      </c>
      <c r="P13" s="24">
        <f t="shared" si="0"/>
        <v>-1795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-1888</v>
      </c>
      <c r="C14" s="24">
        <v>-3601</v>
      </c>
      <c r="D14" s="24"/>
      <c r="E14" s="24">
        <v>-17</v>
      </c>
      <c r="F14" s="24"/>
      <c r="G14" s="24">
        <v>-20</v>
      </c>
      <c r="H14" s="24"/>
      <c r="I14" s="24">
        <v>-10</v>
      </c>
      <c r="J14" s="24"/>
      <c r="K14" s="24">
        <v>-12</v>
      </c>
      <c r="L14" s="24"/>
      <c r="M14" s="24">
        <v>-33</v>
      </c>
      <c r="N14" s="24"/>
      <c r="O14" s="24">
        <v>-7</v>
      </c>
      <c r="P14" s="24">
        <f t="shared" si="0"/>
        <v>-1792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-1904</v>
      </c>
      <c r="C15" s="24">
        <v>-3601</v>
      </c>
      <c r="D15" s="24"/>
      <c r="E15" s="24">
        <v>-17</v>
      </c>
      <c r="F15" s="24"/>
      <c r="G15" s="24">
        <v>-20</v>
      </c>
      <c r="H15" s="24"/>
      <c r="I15" s="24">
        <v>-10</v>
      </c>
      <c r="J15" s="24"/>
      <c r="K15" s="24">
        <v>-12</v>
      </c>
      <c r="L15" s="24"/>
      <c r="M15" s="24">
        <v>-33</v>
      </c>
      <c r="N15" s="24"/>
      <c r="O15" s="24">
        <v>-7</v>
      </c>
      <c r="P15" s="24">
        <f t="shared" si="0"/>
        <v>-1776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-1904</v>
      </c>
      <c r="C16" s="24">
        <v>-3599</v>
      </c>
      <c r="D16" s="24"/>
      <c r="E16" s="24">
        <v>-17</v>
      </c>
      <c r="F16" s="24"/>
      <c r="G16" s="24">
        <v>-20</v>
      </c>
      <c r="H16" s="24"/>
      <c r="I16" s="24">
        <v>-10</v>
      </c>
      <c r="J16" s="24"/>
      <c r="K16" s="24">
        <v>-12</v>
      </c>
      <c r="L16" s="24"/>
      <c r="M16" s="24">
        <v>-33</v>
      </c>
      <c r="N16" s="24"/>
      <c r="O16" s="24">
        <v>-7</v>
      </c>
      <c r="P16" s="24">
        <f t="shared" si="0"/>
        <v>-1774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-1915</v>
      </c>
      <c r="C17" s="24">
        <v>-3600</v>
      </c>
      <c r="D17" s="24"/>
      <c r="E17" s="24">
        <v>-17</v>
      </c>
      <c r="F17" s="24"/>
      <c r="G17" s="24">
        <v>-20</v>
      </c>
      <c r="H17" s="24"/>
      <c r="I17" s="24">
        <v>-10</v>
      </c>
      <c r="J17" s="24"/>
      <c r="K17" s="24">
        <v>-12</v>
      </c>
      <c r="L17" s="24"/>
      <c r="M17" s="24">
        <v>-33</v>
      </c>
      <c r="N17" s="24"/>
      <c r="O17" s="24">
        <v>-7</v>
      </c>
      <c r="P17" s="24">
        <f t="shared" si="0"/>
        <v>-1764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-1890</v>
      </c>
      <c r="C18" s="24">
        <v>-3599</v>
      </c>
      <c r="D18" s="24"/>
      <c r="E18" s="24">
        <v>-17</v>
      </c>
      <c r="F18" s="24"/>
      <c r="G18" s="24">
        <v>-20</v>
      </c>
      <c r="H18" s="24"/>
      <c r="I18" s="24">
        <v>-10</v>
      </c>
      <c r="J18" s="24"/>
      <c r="K18" s="24">
        <v>-12</v>
      </c>
      <c r="L18" s="24"/>
      <c r="M18" s="24">
        <v>-33</v>
      </c>
      <c r="N18" s="24"/>
      <c r="O18" s="24">
        <v>-7</v>
      </c>
      <c r="P18" s="24">
        <f t="shared" si="0"/>
        <v>-1788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-1909</v>
      </c>
      <c r="C19" s="24">
        <v>-3599</v>
      </c>
      <c r="D19" s="24"/>
      <c r="E19" s="24">
        <v>-17</v>
      </c>
      <c r="F19" s="24"/>
      <c r="G19" s="24">
        <v>-20</v>
      </c>
      <c r="H19" s="24"/>
      <c r="I19" s="24">
        <v>-10</v>
      </c>
      <c r="J19" s="24"/>
      <c r="K19" s="24">
        <v>-12</v>
      </c>
      <c r="L19" s="24"/>
      <c r="M19" s="24">
        <v>-33</v>
      </c>
      <c r="N19" s="24"/>
      <c r="O19" s="24">
        <v>-7</v>
      </c>
      <c r="P19" s="24">
        <f t="shared" si="0"/>
        <v>-1769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-1961</v>
      </c>
      <c r="C20" s="24">
        <v>-3599</v>
      </c>
      <c r="D20" s="24"/>
      <c r="E20" s="24">
        <v>-17</v>
      </c>
      <c r="F20" s="24"/>
      <c r="G20" s="24">
        <v>-20</v>
      </c>
      <c r="H20" s="24"/>
      <c r="I20" s="24">
        <v>-10</v>
      </c>
      <c r="J20" s="24"/>
      <c r="K20" s="24">
        <v>-12</v>
      </c>
      <c r="L20" s="24"/>
      <c r="M20" s="24">
        <v>-33</v>
      </c>
      <c r="N20" s="24"/>
      <c r="O20" s="24">
        <v>-7</v>
      </c>
      <c r="P20" s="24">
        <f t="shared" si="0"/>
        <v>-1717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-1940</v>
      </c>
      <c r="C21" s="24">
        <v>-3599</v>
      </c>
      <c r="D21" s="24">
        <v>-72</v>
      </c>
      <c r="E21" s="24">
        <v>-17</v>
      </c>
      <c r="F21" s="24"/>
      <c r="G21" s="24">
        <v>-20</v>
      </c>
      <c r="H21" s="24"/>
      <c r="I21" s="24">
        <v>-10</v>
      </c>
      <c r="J21" s="24"/>
      <c r="K21" s="24">
        <v>-12</v>
      </c>
      <c r="L21" s="24"/>
      <c r="M21" s="24">
        <v>-33</v>
      </c>
      <c r="N21" s="24"/>
      <c r="O21" s="24">
        <v>-7</v>
      </c>
      <c r="P21" s="24">
        <f t="shared" si="0"/>
        <v>-1666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-1894</v>
      </c>
      <c r="C22" s="24">
        <v>-3600</v>
      </c>
      <c r="D22" s="24">
        <v>-88</v>
      </c>
      <c r="E22" s="24">
        <v>-17</v>
      </c>
      <c r="F22" s="24"/>
      <c r="G22" s="24">
        <v>-20</v>
      </c>
      <c r="H22" s="24"/>
      <c r="I22" s="24">
        <v>-10</v>
      </c>
      <c r="J22" s="24"/>
      <c r="K22" s="24">
        <v>-12</v>
      </c>
      <c r="L22" s="24"/>
      <c r="M22" s="24">
        <v>-33</v>
      </c>
      <c r="N22" s="24"/>
      <c r="O22" s="24">
        <v>-7</v>
      </c>
      <c r="P22" s="24">
        <f t="shared" si="0"/>
        <v>-1697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-1894</v>
      </c>
      <c r="C23" s="24">
        <v>-601</v>
      </c>
      <c r="D23" s="24">
        <v>-101</v>
      </c>
      <c r="E23" s="24">
        <v>-17</v>
      </c>
      <c r="F23" s="24"/>
      <c r="G23" s="24">
        <v>-20</v>
      </c>
      <c r="H23" s="24"/>
      <c r="I23" s="24">
        <v>-10</v>
      </c>
      <c r="J23" s="24"/>
      <c r="K23" s="24">
        <v>-12</v>
      </c>
      <c r="L23" s="24"/>
      <c r="M23" s="24">
        <v>-33</v>
      </c>
      <c r="N23" s="24"/>
      <c r="O23" s="24">
        <v>-7</v>
      </c>
      <c r="P23" s="24">
        <f t="shared" si="0"/>
        <v>1315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-1896</v>
      </c>
      <c r="C24" s="24">
        <v>-600</v>
      </c>
      <c r="D24" s="24">
        <v>-140</v>
      </c>
      <c r="E24" s="24">
        <v>-17</v>
      </c>
      <c r="F24" s="24"/>
      <c r="G24" s="24">
        <v>-20</v>
      </c>
      <c r="H24" s="24"/>
      <c r="I24" s="24">
        <v>-10</v>
      </c>
      <c r="J24" s="24"/>
      <c r="K24" s="24">
        <v>-12</v>
      </c>
      <c r="L24" s="24"/>
      <c r="M24" s="24">
        <v>-33</v>
      </c>
      <c r="N24" s="24"/>
      <c r="O24" s="24">
        <v>-7</v>
      </c>
      <c r="P24" s="24">
        <f t="shared" si="0"/>
        <v>1357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-1851</v>
      </c>
      <c r="C25" s="24">
        <v>-600</v>
      </c>
      <c r="D25" s="24">
        <v>-151</v>
      </c>
      <c r="E25" s="24">
        <v>-17</v>
      </c>
      <c r="F25" s="24"/>
      <c r="G25" s="24">
        <v>-20</v>
      </c>
      <c r="H25" s="24"/>
      <c r="I25" s="24">
        <v>-10</v>
      </c>
      <c r="J25" s="24"/>
      <c r="K25" s="24">
        <v>-12</v>
      </c>
      <c r="L25" s="24"/>
      <c r="M25" s="24">
        <v>-33</v>
      </c>
      <c r="N25" s="24"/>
      <c r="O25" s="24">
        <v>-7</v>
      </c>
      <c r="P25" s="24">
        <f t="shared" si="0"/>
        <v>1323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-1854</v>
      </c>
      <c r="C26" s="24">
        <v>-600</v>
      </c>
      <c r="D26" s="24">
        <v>-152</v>
      </c>
      <c r="E26" s="24">
        <v>-17</v>
      </c>
      <c r="F26" s="24"/>
      <c r="G26" s="24">
        <v>-20</v>
      </c>
      <c r="H26" s="24"/>
      <c r="I26" s="24">
        <v>-10</v>
      </c>
      <c r="J26" s="24"/>
      <c r="K26" s="24">
        <v>-12</v>
      </c>
      <c r="L26" s="24"/>
      <c r="M26" s="24">
        <v>-33</v>
      </c>
      <c r="N26" s="24"/>
      <c r="O26" s="24">
        <v>-7</v>
      </c>
      <c r="P26" s="24">
        <f t="shared" si="0"/>
        <v>1327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-1853</v>
      </c>
      <c r="C27" s="24">
        <v>-600</v>
      </c>
      <c r="D27" s="24">
        <v>-143</v>
      </c>
      <c r="E27" s="24">
        <v>-17</v>
      </c>
      <c r="F27" s="24"/>
      <c r="G27" s="24">
        <v>-20</v>
      </c>
      <c r="H27" s="24"/>
      <c r="I27" s="24">
        <v>-10</v>
      </c>
      <c r="J27" s="24"/>
      <c r="K27" s="24">
        <v>-12</v>
      </c>
      <c r="L27" s="24"/>
      <c r="M27" s="24">
        <v>-33</v>
      </c>
      <c r="N27" s="24"/>
      <c r="O27" s="24">
        <v>-7</v>
      </c>
      <c r="P27" s="24">
        <f t="shared" si="0"/>
        <v>1317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-1844</v>
      </c>
      <c r="C28" s="24"/>
      <c r="D28" s="24">
        <v>-102</v>
      </c>
      <c r="E28" s="24">
        <v>-17</v>
      </c>
      <c r="F28" s="24"/>
      <c r="G28" s="24">
        <v>-20</v>
      </c>
      <c r="H28" s="24"/>
      <c r="I28" s="24">
        <v>-10</v>
      </c>
      <c r="J28" s="24"/>
      <c r="K28" s="24">
        <v>-12</v>
      </c>
      <c r="L28" s="24"/>
      <c r="M28" s="24">
        <v>-33</v>
      </c>
      <c r="N28" s="24"/>
      <c r="O28" s="24">
        <v>-7</v>
      </c>
      <c r="P28" s="24">
        <f t="shared" si="0"/>
        <v>1867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-1899</v>
      </c>
      <c r="C29" s="24"/>
      <c r="D29" s="24">
        <v>-87</v>
      </c>
      <c r="E29" s="24">
        <v>-17</v>
      </c>
      <c r="F29" s="24"/>
      <c r="G29" s="24">
        <v>-20</v>
      </c>
      <c r="H29" s="24"/>
      <c r="I29" s="24">
        <v>-10</v>
      </c>
      <c r="J29" s="24"/>
      <c r="K29" s="24">
        <v>-12</v>
      </c>
      <c r="L29" s="24"/>
      <c r="M29" s="24">
        <v>-33</v>
      </c>
      <c r="N29" s="24"/>
      <c r="O29" s="24">
        <v>-7</v>
      </c>
      <c r="P29" s="24">
        <f t="shared" si="0"/>
        <v>1907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-1925</v>
      </c>
      <c r="C30" s="24"/>
      <c r="D30" s="24">
        <v>-78</v>
      </c>
      <c r="E30" s="24">
        <v>-17</v>
      </c>
      <c r="F30" s="24"/>
      <c r="G30" s="24">
        <v>-20</v>
      </c>
      <c r="H30" s="24"/>
      <c r="I30" s="24">
        <v>-10</v>
      </c>
      <c r="J30" s="24"/>
      <c r="K30" s="24">
        <v>-12</v>
      </c>
      <c r="L30" s="24"/>
      <c r="M30" s="24">
        <v>-33</v>
      </c>
      <c r="N30" s="24"/>
      <c r="O30" s="24">
        <v>-7</v>
      </c>
      <c r="P30" s="24">
        <f t="shared" si="0"/>
        <v>1924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-1888</v>
      </c>
      <c r="C31" s="24"/>
      <c r="D31" s="24">
        <v>-78</v>
      </c>
      <c r="E31" s="24">
        <v>-17</v>
      </c>
      <c r="F31" s="24"/>
      <c r="G31" s="24">
        <v>-20</v>
      </c>
      <c r="H31" s="24"/>
      <c r="I31" s="24">
        <v>-10</v>
      </c>
      <c r="J31" s="24"/>
      <c r="K31" s="24">
        <v>-12</v>
      </c>
      <c r="L31" s="24"/>
      <c r="M31" s="24">
        <v>-33</v>
      </c>
      <c r="N31" s="24"/>
      <c r="O31" s="24">
        <v>-7</v>
      </c>
      <c r="P31" s="24">
        <f t="shared" si="0"/>
        <v>1887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-1954</v>
      </c>
      <c r="C32" s="24"/>
      <c r="D32" s="24">
        <v>-79</v>
      </c>
      <c r="E32" s="24">
        <v>-17</v>
      </c>
      <c r="F32" s="24"/>
      <c r="G32" s="24">
        <v>-20</v>
      </c>
      <c r="H32" s="24"/>
      <c r="I32" s="24">
        <v>-10</v>
      </c>
      <c r="J32" s="24"/>
      <c r="K32" s="24">
        <v>-12</v>
      </c>
      <c r="L32" s="24"/>
      <c r="M32" s="24">
        <v>-33</v>
      </c>
      <c r="N32" s="24"/>
      <c r="O32" s="24">
        <v>-7</v>
      </c>
      <c r="P32" s="24">
        <f t="shared" si="0"/>
        <v>1954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-1833</v>
      </c>
      <c r="C33" s="24"/>
      <c r="D33" s="24">
        <v>-26</v>
      </c>
      <c r="E33" s="24">
        <v>-17</v>
      </c>
      <c r="F33" s="24"/>
      <c r="G33" s="24">
        <v>-20</v>
      </c>
      <c r="H33" s="24"/>
      <c r="I33" s="24">
        <v>-10</v>
      </c>
      <c r="J33" s="24"/>
      <c r="K33" s="24">
        <v>-12</v>
      </c>
      <c r="L33" s="24"/>
      <c r="M33" s="24">
        <v>-33</v>
      </c>
      <c r="N33" s="24"/>
      <c r="O33" s="24">
        <v>-7</v>
      </c>
      <c r="P33" s="24">
        <f t="shared" si="0"/>
        <v>1780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-1838</v>
      </c>
      <c r="C34" s="24"/>
      <c r="D34" s="24"/>
      <c r="E34" s="24">
        <v>-17</v>
      </c>
      <c r="F34" s="24"/>
      <c r="G34" s="24">
        <v>-20</v>
      </c>
      <c r="H34" s="24"/>
      <c r="I34" s="24">
        <v>-10</v>
      </c>
      <c r="J34" s="24"/>
      <c r="K34" s="24">
        <v>-12</v>
      </c>
      <c r="L34" s="24"/>
      <c r="M34" s="24">
        <v>-33</v>
      </c>
      <c r="N34" s="24"/>
      <c r="O34" s="24">
        <v>-7</v>
      </c>
      <c r="P34" s="24">
        <f t="shared" si="0"/>
        <v>1759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-55044</v>
      </c>
      <c r="C37" s="24">
        <f t="shared" si="1"/>
        <v>-64290</v>
      </c>
      <c r="D37" s="24">
        <f t="shared" si="1"/>
        <v>-1673</v>
      </c>
      <c r="E37" s="24">
        <f t="shared" si="1"/>
        <v>-493</v>
      </c>
      <c r="F37" s="24">
        <f t="shared" si="1"/>
        <v>0</v>
      </c>
      <c r="G37" s="24">
        <f t="shared" si="1"/>
        <v>-580</v>
      </c>
      <c r="H37" s="24">
        <f t="shared" si="1"/>
        <v>0</v>
      </c>
      <c r="I37" s="24">
        <f t="shared" si="1"/>
        <v>-290</v>
      </c>
      <c r="J37" s="24">
        <f t="shared" si="1"/>
        <v>0</v>
      </c>
      <c r="K37" s="24">
        <f t="shared" si="1"/>
        <v>-348</v>
      </c>
      <c r="L37" s="24">
        <f t="shared" si="1"/>
        <v>0</v>
      </c>
      <c r="M37" s="24">
        <f t="shared" si="1"/>
        <v>-957</v>
      </c>
      <c r="N37" s="24">
        <f t="shared" si="1"/>
        <v>0</v>
      </c>
      <c r="O37" s="24">
        <f t="shared" si="1"/>
        <v>-203</v>
      </c>
      <c r="P37" s="24">
        <f t="shared" si="1"/>
        <v>-9864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2.0699999999999998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82"/>
      <c r="P39" s="104">
        <f>+P38*P37</f>
        <v>-20418.48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7">
        <v>37164</v>
      </c>
      <c r="E40" s="14"/>
      <c r="O40" s="482"/>
      <c r="P40" s="536">
        <v>138788.78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7">
        <v>37193</v>
      </c>
      <c r="E41" s="14"/>
      <c r="O41" s="482"/>
      <c r="P41" s="104">
        <f>+P40+P39</f>
        <v>118370.3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153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37164</v>
      </c>
      <c r="B46" s="32"/>
      <c r="C46" s="32"/>
      <c r="D46" s="522">
        <v>59810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37193</v>
      </c>
      <c r="B47" s="32"/>
      <c r="C47" s="32"/>
      <c r="D47" s="370">
        <f>+P37</f>
        <v>-9864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49946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3" workbookViewId="3">
      <selection activeCell="C38" sqref="C3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155024</v>
      </c>
      <c r="C7" s="11">
        <v>154803</v>
      </c>
      <c r="D7" s="25">
        <f>+C7-B7</f>
        <v>-221</v>
      </c>
    </row>
    <row r="8" spans="1:4" x14ac:dyDescent="0.2">
      <c r="A8" s="10">
        <v>2</v>
      </c>
      <c r="B8" s="11">
        <v>155038</v>
      </c>
      <c r="C8" s="11">
        <v>155701</v>
      </c>
      <c r="D8" s="25">
        <f>+C8-B8</f>
        <v>663</v>
      </c>
    </row>
    <row r="9" spans="1:4" x14ac:dyDescent="0.2">
      <c r="A9" s="10">
        <v>3</v>
      </c>
      <c r="B9" s="11">
        <v>154753</v>
      </c>
      <c r="C9" s="11">
        <v>155695</v>
      </c>
      <c r="D9" s="25">
        <f t="shared" ref="D9:D37" si="0">+C9-B9</f>
        <v>942</v>
      </c>
    </row>
    <row r="10" spans="1:4" x14ac:dyDescent="0.2">
      <c r="A10" s="10">
        <v>4</v>
      </c>
      <c r="B10" s="11">
        <v>133085</v>
      </c>
      <c r="C10" s="11">
        <v>132441</v>
      </c>
      <c r="D10" s="25">
        <f t="shared" si="0"/>
        <v>-644</v>
      </c>
    </row>
    <row r="11" spans="1:4" x14ac:dyDescent="0.2">
      <c r="A11" s="10">
        <v>5</v>
      </c>
      <c r="B11" s="129">
        <v>137911</v>
      </c>
      <c r="C11" s="11">
        <v>137331</v>
      </c>
      <c r="D11" s="25">
        <f t="shared" si="0"/>
        <v>-580</v>
      </c>
    </row>
    <row r="12" spans="1:4" x14ac:dyDescent="0.2">
      <c r="A12" s="10">
        <v>6</v>
      </c>
      <c r="B12" s="11">
        <v>143493</v>
      </c>
      <c r="C12" s="11">
        <v>143706</v>
      </c>
      <c r="D12" s="25">
        <f t="shared" si="0"/>
        <v>213</v>
      </c>
    </row>
    <row r="13" spans="1:4" x14ac:dyDescent="0.2">
      <c r="A13" s="10">
        <v>7</v>
      </c>
      <c r="B13" s="129">
        <v>142481</v>
      </c>
      <c r="C13" s="11">
        <v>138639</v>
      </c>
      <c r="D13" s="25">
        <f t="shared" si="0"/>
        <v>-3842</v>
      </c>
    </row>
    <row r="14" spans="1:4" x14ac:dyDescent="0.2">
      <c r="A14" s="10">
        <v>8</v>
      </c>
      <c r="B14" s="11">
        <v>133754</v>
      </c>
      <c r="C14" s="11">
        <v>133577</v>
      </c>
      <c r="D14" s="25">
        <f t="shared" si="0"/>
        <v>-177</v>
      </c>
    </row>
    <row r="15" spans="1:4" x14ac:dyDescent="0.2">
      <c r="A15" s="10">
        <v>9</v>
      </c>
      <c r="B15" s="11">
        <v>131479</v>
      </c>
      <c r="C15" s="11">
        <v>131235</v>
      </c>
      <c r="D15" s="25">
        <f t="shared" si="0"/>
        <v>-244</v>
      </c>
    </row>
    <row r="16" spans="1:4" x14ac:dyDescent="0.2">
      <c r="A16" s="10">
        <v>10</v>
      </c>
      <c r="B16" s="11">
        <v>138560</v>
      </c>
      <c r="C16" s="11">
        <v>138183</v>
      </c>
      <c r="D16" s="25">
        <f t="shared" si="0"/>
        <v>-377</v>
      </c>
    </row>
    <row r="17" spans="1:4" x14ac:dyDescent="0.2">
      <c r="A17" s="10">
        <v>11</v>
      </c>
      <c r="B17" s="11">
        <v>132176</v>
      </c>
      <c r="C17" s="11">
        <v>129501</v>
      </c>
      <c r="D17" s="25">
        <f t="shared" si="0"/>
        <v>-2675</v>
      </c>
    </row>
    <row r="18" spans="1:4" x14ac:dyDescent="0.2">
      <c r="A18" s="10">
        <v>12</v>
      </c>
      <c r="B18" s="11">
        <v>128042</v>
      </c>
      <c r="C18" s="11">
        <v>127802</v>
      </c>
      <c r="D18" s="25">
        <f t="shared" si="0"/>
        <v>-240</v>
      </c>
    </row>
    <row r="19" spans="1:4" x14ac:dyDescent="0.2">
      <c r="A19" s="10">
        <v>13</v>
      </c>
      <c r="B19" s="11">
        <v>129160</v>
      </c>
      <c r="C19" s="11">
        <v>129191</v>
      </c>
      <c r="D19" s="25">
        <f t="shared" si="0"/>
        <v>31</v>
      </c>
    </row>
    <row r="20" spans="1:4" x14ac:dyDescent="0.2">
      <c r="A20" s="10">
        <v>14</v>
      </c>
      <c r="B20" s="11">
        <v>146727</v>
      </c>
      <c r="C20" s="11">
        <v>142413</v>
      </c>
      <c r="D20" s="25">
        <f t="shared" si="0"/>
        <v>-4314</v>
      </c>
    </row>
    <row r="21" spans="1:4" x14ac:dyDescent="0.2">
      <c r="A21" s="10">
        <v>15</v>
      </c>
      <c r="B21" s="11">
        <v>126378</v>
      </c>
      <c r="C21" s="11">
        <v>125701</v>
      </c>
      <c r="D21" s="25">
        <f t="shared" si="0"/>
        <v>-677</v>
      </c>
    </row>
    <row r="22" spans="1:4" x14ac:dyDescent="0.2">
      <c r="A22" s="10">
        <v>16</v>
      </c>
      <c r="B22" s="11">
        <v>126032</v>
      </c>
      <c r="C22" s="11">
        <v>125701</v>
      </c>
      <c r="D22" s="25">
        <f t="shared" si="0"/>
        <v>-331</v>
      </c>
    </row>
    <row r="23" spans="1:4" x14ac:dyDescent="0.2">
      <c r="A23" s="10">
        <v>17</v>
      </c>
      <c r="B23" s="11">
        <v>145779</v>
      </c>
      <c r="C23" s="11">
        <v>147201</v>
      </c>
      <c r="D23" s="25">
        <f t="shared" si="0"/>
        <v>1422</v>
      </c>
    </row>
    <row r="24" spans="1:4" x14ac:dyDescent="0.2">
      <c r="A24" s="10">
        <v>18</v>
      </c>
      <c r="B24" s="11">
        <v>127547</v>
      </c>
      <c r="C24" s="11">
        <v>127401</v>
      </c>
      <c r="D24" s="25">
        <f t="shared" si="0"/>
        <v>-146</v>
      </c>
    </row>
    <row r="25" spans="1:4" x14ac:dyDescent="0.2">
      <c r="A25" s="10">
        <v>19</v>
      </c>
      <c r="B25" s="11">
        <v>128859</v>
      </c>
      <c r="C25" s="11">
        <v>128896</v>
      </c>
      <c r="D25" s="25">
        <f t="shared" si="0"/>
        <v>37</v>
      </c>
    </row>
    <row r="26" spans="1:4" x14ac:dyDescent="0.2">
      <c r="A26" s="10">
        <v>20</v>
      </c>
      <c r="B26" s="11">
        <v>131201</v>
      </c>
      <c r="C26" s="11">
        <v>131631</v>
      </c>
      <c r="D26" s="25">
        <f t="shared" si="0"/>
        <v>430</v>
      </c>
    </row>
    <row r="27" spans="1:4" x14ac:dyDescent="0.2">
      <c r="A27" s="10">
        <v>21</v>
      </c>
      <c r="B27" s="11">
        <v>144405</v>
      </c>
      <c r="C27" s="11">
        <v>144617</v>
      </c>
      <c r="D27" s="25">
        <f t="shared" si="0"/>
        <v>212</v>
      </c>
    </row>
    <row r="28" spans="1:4" x14ac:dyDescent="0.2">
      <c r="A28" s="10">
        <v>22</v>
      </c>
      <c r="B28" s="11">
        <v>149084</v>
      </c>
      <c r="C28" s="11">
        <v>148780</v>
      </c>
      <c r="D28" s="25">
        <f t="shared" si="0"/>
        <v>-304</v>
      </c>
    </row>
    <row r="29" spans="1:4" x14ac:dyDescent="0.2">
      <c r="A29" s="10">
        <v>23</v>
      </c>
      <c r="B29" s="11">
        <v>129884</v>
      </c>
      <c r="C29" s="11">
        <v>129001</v>
      </c>
      <c r="D29" s="25">
        <f t="shared" si="0"/>
        <v>-883</v>
      </c>
    </row>
    <row r="30" spans="1:4" x14ac:dyDescent="0.2">
      <c r="A30" s="10">
        <v>24</v>
      </c>
      <c r="B30" s="11">
        <v>183748</v>
      </c>
      <c r="C30" s="11">
        <v>183461</v>
      </c>
      <c r="D30" s="25">
        <f t="shared" si="0"/>
        <v>-287</v>
      </c>
    </row>
    <row r="31" spans="1:4" x14ac:dyDescent="0.2">
      <c r="A31" s="10">
        <v>25</v>
      </c>
      <c r="B31" s="11">
        <v>137786</v>
      </c>
      <c r="C31" s="11">
        <v>137494</v>
      </c>
      <c r="D31" s="25">
        <f t="shared" si="0"/>
        <v>-292</v>
      </c>
    </row>
    <row r="32" spans="1:4" x14ac:dyDescent="0.2">
      <c r="A32" s="10">
        <v>26</v>
      </c>
      <c r="B32" s="11">
        <v>128232</v>
      </c>
      <c r="C32" s="11">
        <v>128409</v>
      </c>
      <c r="D32" s="25">
        <f t="shared" si="0"/>
        <v>177</v>
      </c>
    </row>
    <row r="33" spans="1:4" x14ac:dyDescent="0.2">
      <c r="A33" s="10">
        <v>27</v>
      </c>
      <c r="B33" s="11">
        <v>166856</v>
      </c>
      <c r="C33" s="11">
        <v>162501</v>
      </c>
      <c r="D33" s="25">
        <f t="shared" si="0"/>
        <v>-4355</v>
      </c>
    </row>
    <row r="34" spans="1:4" x14ac:dyDescent="0.2">
      <c r="A34" s="10">
        <v>28</v>
      </c>
      <c r="B34" s="11">
        <v>151150</v>
      </c>
      <c r="C34" s="11">
        <v>151428</v>
      </c>
      <c r="D34" s="25">
        <f t="shared" si="0"/>
        <v>278</v>
      </c>
    </row>
    <row r="35" spans="1:4" x14ac:dyDescent="0.2">
      <c r="A35" s="10">
        <v>29</v>
      </c>
      <c r="B35" s="11">
        <v>140123</v>
      </c>
      <c r="C35" s="11">
        <v>140335</v>
      </c>
      <c r="D35" s="25">
        <f t="shared" si="0"/>
        <v>212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4078747</v>
      </c>
      <c r="C38" s="11">
        <f>SUM(C7:C37)</f>
        <v>4062775</v>
      </c>
      <c r="D38" s="11">
        <f>SUM(D7:D37)</f>
        <v>-15972</v>
      </c>
    </row>
    <row r="39" spans="1:4" x14ac:dyDescent="0.2">
      <c r="A39" s="26"/>
      <c r="C39" s="14"/>
      <c r="D39" s="106">
        <f>+summary!H3</f>
        <v>2</v>
      </c>
    </row>
    <row r="40" spans="1:4" x14ac:dyDescent="0.2">
      <c r="D40" s="138">
        <f>+D39*D38</f>
        <v>-31944</v>
      </c>
    </row>
    <row r="41" spans="1:4" x14ac:dyDescent="0.2">
      <c r="A41" s="57">
        <v>37164</v>
      </c>
      <c r="C41" s="15"/>
      <c r="D41" s="362">
        <v>17001</v>
      </c>
    </row>
    <row r="42" spans="1:4" x14ac:dyDescent="0.2">
      <c r="A42" s="57">
        <v>37193</v>
      </c>
      <c r="D42" s="334">
        <f>+D41+D40</f>
        <v>-14943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37164</v>
      </c>
      <c r="B47" s="32"/>
      <c r="C47" s="32"/>
      <c r="D47" s="212">
        <v>9827</v>
      </c>
    </row>
    <row r="48" spans="1:4" x14ac:dyDescent="0.2">
      <c r="A48" s="49">
        <f>+A42</f>
        <v>37193</v>
      </c>
      <c r="B48" s="32"/>
      <c r="C48" s="32"/>
      <c r="D48" s="370">
        <f>+D38</f>
        <v>-15972</v>
      </c>
    </row>
    <row r="49" spans="1:4" x14ac:dyDescent="0.2">
      <c r="A49" s="32"/>
      <c r="B49" s="32"/>
      <c r="C49" s="32"/>
      <c r="D49" s="14">
        <f>+D48+D47</f>
        <v>-6145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34" workbookViewId="3">
      <selection activeCell="B42" sqref="B4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-31520</v>
      </c>
      <c r="C5" s="11">
        <v>-15050</v>
      </c>
      <c r="D5" s="11"/>
      <c r="E5" s="11">
        <v>-15792</v>
      </c>
      <c r="F5" s="11">
        <f>+C5-B5+E5-D5</f>
        <v>678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-19906</v>
      </c>
      <c r="C6" s="11"/>
      <c r="D6" s="11"/>
      <c r="E6" s="11">
        <v>-18793</v>
      </c>
      <c r="F6" s="11">
        <f t="shared" ref="F6:F35" si="0">+C6-B6+E6-D6</f>
        <v>1113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-29498</v>
      </c>
      <c r="C7" s="11"/>
      <c r="D7" s="11"/>
      <c r="E7" s="11">
        <v>-30792</v>
      </c>
      <c r="F7" s="11">
        <f t="shared" si="0"/>
        <v>-1294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-12267</v>
      </c>
      <c r="C8" s="11"/>
      <c r="D8" s="11"/>
      <c r="E8" s="11">
        <v>-11980</v>
      </c>
      <c r="F8" s="11">
        <f t="shared" si="0"/>
        <v>287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-3810</v>
      </c>
      <c r="C9" s="11"/>
      <c r="D9" s="11"/>
      <c r="E9" s="11">
        <v>-8792</v>
      </c>
      <c r="F9" s="11">
        <f t="shared" si="0"/>
        <v>-4982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-21956</v>
      </c>
      <c r="C10" s="11"/>
      <c r="D10" s="11">
        <v>-602</v>
      </c>
      <c r="E10" s="11">
        <v>-17495</v>
      </c>
      <c r="F10" s="11">
        <f t="shared" si="0"/>
        <v>5063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-16544</v>
      </c>
      <c r="C11" s="11"/>
      <c r="D11" s="129"/>
      <c r="E11" s="11">
        <v>-17495</v>
      </c>
      <c r="F11" s="11">
        <f t="shared" si="0"/>
        <v>-951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-17566</v>
      </c>
      <c r="C12" s="11"/>
      <c r="D12" s="11"/>
      <c r="E12" s="11">
        <v>-17495</v>
      </c>
      <c r="F12" s="11">
        <f t="shared" si="0"/>
        <v>71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-26264</v>
      </c>
      <c r="C13" s="11"/>
      <c r="D13" s="129"/>
      <c r="E13" s="11">
        <v>-25353</v>
      </c>
      <c r="F13" s="11">
        <f t="shared" si="0"/>
        <v>911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-83868</v>
      </c>
      <c r="C14" s="11">
        <v>-24815</v>
      </c>
      <c r="D14" s="129"/>
      <c r="E14" s="11">
        <v>-60310</v>
      </c>
      <c r="F14" s="11">
        <f t="shared" si="0"/>
        <v>-1257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-24240</v>
      </c>
      <c r="C15" s="11">
        <v>-10000</v>
      </c>
      <c r="D15" s="11"/>
      <c r="E15" s="11">
        <v>-12392</v>
      </c>
      <c r="F15" s="11">
        <f t="shared" si="0"/>
        <v>1848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-66363</v>
      </c>
      <c r="C16" s="11">
        <v>-24697</v>
      </c>
      <c r="D16" s="11"/>
      <c r="E16" s="11">
        <v>-39494</v>
      </c>
      <c r="F16" s="11">
        <f t="shared" si="0"/>
        <v>2172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-59462</v>
      </c>
      <c r="C17" s="11"/>
      <c r="D17" s="11"/>
      <c r="E17" s="11">
        <v>-57494</v>
      </c>
      <c r="F17" s="11">
        <f t="shared" si="0"/>
        <v>1968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-57792</v>
      </c>
      <c r="C18" s="11"/>
      <c r="D18" s="11"/>
      <c r="E18" s="11">
        <v>-57494</v>
      </c>
      <c r="F18" s="11">
        <f t="shared" si="0"/>
        <v>298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-56654</v>
      </c>
      <c r="C19" s="11"/>
      <c r="D19" s="11"/>
      <c r="E19" s="11">
        <v>-57494</v>
      </c>
      <c r="F19" s="11">
        <f t="shared" si="0"/>
        <v>-840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-41497</v>
      </c>
      <c r="C20" s="11"/>
      <c r="D20" s="11"/>
      <c r="E20" s="11">
        <v>-42596</v>
      </c>
      <c r="F20" s="11">
        <f t="shared" si="0"/>
        <v>-1099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-52273</v>
      </c>
      <c r="C21" s="11">
        <v>-4689</v>
      </c>
      <c r="D21" s="11"/>
      <c r="E21" s="11">
        <v>-47800</v>
      </c>
      <c r="F21" s="11">
        <f t="shared" si="0"/>
        <v>-216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-1814</v>
      </c>
      <c r="C22" s="11">
        <v>-22558</v>
      </c>
      <c r="D22" s="11">
        <v>-83804</v>
      </c>
      <c r="E22" s="11">
        <v>-68107</v>
      </c>
      <c r="F22" s="11">
        <f t="shared" si="0"/>
        <v>-5047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>
        <v>-14689</v>
      </c>
      <c r="D23" s="11">
        <v>-57225</v>
      </c>
      <c r="E23" s="11">
        <v>-48095</v>
      </c>
      <c r="F23" s="11">
        <f t="shared" si="0"/>
        <v>-5559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>
        <v>-81520</v>
      </c>
      <c r="E24" s="11">
        <v>-87902</v>
      </c>
      <c r="F24" s="11">
        <f t="shared" si="0"/>
        <v>-6382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>
        <v>-81996</v>
      </c>
      <c r="E25" s="11">
        <v>-87596</v>
      </c>
      <c r="F25" s="11">
        <f t="shared" si="0"/>
        <v>-5600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-77806</v>
      </c>
      <c r="C26" s="11"/>
      <c r="D26" s="11">
        <v>-2189</v>
      </c>
      <c r="E26" s="11">
        <v>-87596</v>
      </c>
      <c r="F26" s="11">
        <f t="shared" si="0"/>
        <v>-7601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-77044</v>
      </c>
      <c r="C27" s="11">
        <v>-30000</v>
      </c>
      <c r="D27" s="11"/>
      <c r="E27" s="11">
        <v>-52392</v>
      </c>
      <c r="F27" s="11">
        <f t="shared" si="0"/>
        <v>-5348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-84610</v>
      </c>
      <c r="C28" s="11">
        <v>-10000</v>
      </c>
      <c r="D28" s="11"/>
      <c r="E28" s="11">
        <v>-81494</v>
      </c>
      <c r="F28" s="11">
        <f t="shared" si="0"/>
        <v>-6884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-502</v>
      </c>
      <c r="C29" s="11"/>
      <c r="D29" s="11"/>
      <c r="E29" s="11">
        <v>-10290</v>
      </c>
      <c r="F29" s="11">
        <f t="shared" si="0"/>
        <v>-9788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-12602</v>
      </c>
      <c r="C30" s="11"/>
      <c r="D30" s="11"/>
      <c r="E30" s="11">
        <v>-17494</v>
      </c>
      <c r="F30" s="11">
        <f t="shared" si="0"/>
        <v>-4892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>
        <v>-42841</v>
      </c>
      <c r="C31" s="11"/>
      <c r="D31" s="11"/>
      <c r="E31" s="11">
        <v>-47494</v>
      </c>
      <c r="F31" s="11">
        <f t="shared" si="0"/>
        <v>-4653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>
        <v>-42258</v>
      </c>
      <c r="C32" s="11"/>
      <c r="D32" s="11"/>
      <c r="E32" s="11">
        <v>-47494</v>
      </c>
      <c r="F32" s="11">
        <f t="shared" si="0"/>
        <v>-5236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>
        <v>-41010</v>
      </c>
      <c r="C33" s="11"/>
      <c r="D33" s="11"/>
      <c r="E33" s="11">
        <v>-47494</v>
      </c>
      <c r="F33" s="11">
        <f t="shared" si="0"/>
        <v>-6484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-1001967</v>
      </c>
      <c r="C36" s="44">
        <f>SUM(C5:C35)</f>
        <v>-156498</v>
      </c>
      <c r="D36" s="43">
        <f>SUM(D5:D35)</f>
        <v>-307336</v>
      </c>
      <c r="E36" s="44">
        <f>SUM(E5:E35)</f>
        <v>-1222509</v>
      </c>
      <c r="F36" s="11">
        <f>SUM(F5:F35)</f>
        <v>-69704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-845469</v>
      </c>
      <c r="D37" s="24"/>
      <c r="E37" s="24">
        <f>+D36-E36</f>
        <v>915173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4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37164</v>
      </c>
      <c r="C41" s="14"/>
      <c r="D41" s="50"/>
      <c r="E41" s="50"/>
      <c r="F41" s="242">
        <v>69880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37193</v>
      </c>
      <c r="C42" s="14"/>
      <c r="D42" s="50"/>
      <c r="E42" s="50"/>
      <c r="F42" s="51">
        <f>+F41+F36</f>
        <v>176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154</v>
      </c>
      <c r="B46" s="32"/>
      <c r="C46" s="32"/>
      <c r="D46" s="47"/>
    </row>
    <row r="47" spans="1:12" x14ac:dyDescent="0.2">
      <c r="A47" s="49">
        <f>+B41</f>
        <v>37164</v>
      </c>
      <c r="B47" s="32"/>
      <c r="C47" s="32"/>
      <c r="D47" s="462">
        <v>65784</v>
      </c>
    </row>
    <row r="48" spans="1:12" x14ac:dyDescent="0.2">
      <c r="A48" s="49">
        <f>+B42</f>
        <v>37193</v>
      </c>
      <c r="B48" s="32"/>
      <c r="C48" s="32"/>
      <c r="D48" s="399">
        <f>+F36*'by type_area'!J4</f>
        <v>-144287.28</v>
      </c>
    </row>
    <row r="49" spans="1:4" x14ac:dyDescent="0.2">
      <c r="A49" s="32"/>
      <c r="B49" s="32"/>
      <c r="C49" s="32"/>
      <c r="D49" s="202">
        <f>+D48+D47</f>
        <v>-78503.28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L42" sqref="L42:N42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-60142</v>
      </c>
      <c r="C4" s="11">
        <v>-59836</v>
      </c>
      <c r="D4" s="25">
        <f>+C4-B4</f>
        <v>306</v>
      </c>
    </row>
    <row r="5" spans="1:4" x14ac:dyDescent="0.2">
      <c r="A5" s="10">
        <v>2</v>
      </c>
      <c r="B5" s="129">
        <v>-148602</v>
      </c>
      <c r="C5" s="11">
        <v>-148228</v>
      </c>
      <c r="D5" s="25">
        <f t="shared" ref="D5:D34" si="0">+C5-B5</f>
        <v>374</v>
      </c>
    </row>
    <row r="6" spans="1:4" x14ac:dyDescent="0.2">
      <c r="A6" s="10">
        <v>3</v>
      </c>
      <c r="B6" s="129">
        <v>-162654</v>
      </c>
      <c r="C6" s="11">
        <v>-162408</v>
      </c>
      <c r="D6" s="25">
        <f t="shared" si="0"/>
        <v>246</v>
      </c>
    </row>
    <row r="7" spans="1:4" x14ac:dyDescent="0.2">
      <c r="A7" s="10">
        <v>4</v>
      </c>
      <c r="B7" s="129">
        <v>-146293</v>
      </c>
      <c r="C7" s="11">
        <v>-146688</v>
      </c>
      <c r="D7" s="25">
        <f t="shared" si="0"/>
        <v>-395</v>
      </c>
    </row>
    <row r="8" spans="1:4" x14ac:dyDescent="0.2">
      <c r="A8" s="10">
        <v>5</v>
      </c>
      <c r="B8" s="129">
        <v>-137502</v>
      </c>
      <c r="C8" s="11">
        <v>-143650</v>
      </c>
      <c r="D8" s="25">
        <f t="shared" si="0"/>
        <v>-6148</v>
      </c>
    </row>
    <row r="9" spans="1:4" x14ac:dyDescent="0.2">
      <c r="A9" s="10">
        <v>6</v>
      </c>
      <c r="B9" s="129">
        <v>-138549</v>
      </c>
      <c r="C9" s="11">
        <v>-137657</v>
      </c>
      <c r="D9" s="25">
        <f t="shared" si="0"/>
        <v>892</v>
      </c>
    </row>
    <row r="10" spans="1:4" x14ac:dyDescent="0.2">
      <c r="A10" s="10">
        <v>7</v>
      </c>
      <c r="B10" s="129">
        <v>-125413</v>
      </c>
      <c r="C10" s="11">
        <v>-125287</v>
      </c>
      <c r="D10" s="25">
        <f t="shared" si="0"/>
        <v>126</v>
      </c>
    </row>
    <row r="11" spans="1:4" x14ac:dyDescent="0.2">
      <c r="A11" s="10">
        <v>8</v>
      </c>
      <c r="B11" s="11">
        <v>-156341</v>
      </c>
      <c r="C11" s="11">
        <v>-155615</v>
      </c>
      <c r="D11" s="25">
        <f t="shared" si="0"/>
        <v>726</v>
      </c>
    </row>
    <row r="12" spans="1:4" x14ac:dyDescent="0.2">
      <c r="A12" s="10">
        <v>9</v>
      </c>
      <c r="B12" s="11">
        <v>-154820</v>
      </c>
      <c r="C12" s="11">
        <v>-154562</v>
      </c>
      <c r="D12" s="25">
        <f t="shared" si="0"/>
        <v>258</v>
      </c>
    </row>
    <row r="13" spans="1:4" x14ac:dyDescent="0.2">
      <c r="A13" s="10">
        <v>10</v>
      </c>
      <c r="B13" s="11">
        <v>-89917</v>
      </c>
      <c r="C13" s="11">
        <v>-89317</v>
      </c>
      <c r="D13" s="25">
        <f t="shared" si="0"/>
        <v>600</v>
      </c>
    </row>
    <row r="14" spans="1:4" x14ac:dyDescent="0.2">
      <c r="A14" s="10">
        <v>11</v>
      </c>
      <c r="B14" s="11">
        <v>-75364</v>
      </c>
      <c r="C14" s="11">
        <v>-76138</v>
      </c>
      <c r="D14" s="25">
        <f t="shared" si="0"/>
        <v>-774</v>
      </c>
    </row>
    <row r="15" spans="1:4" x14ac:dyDescent="0.2">
      <c r="A15" s="10">
        <v>12</v>
      </c>
      <c r="B15" s="11">
        <v>-78164</v>
      </c>
      <c r="C15" s="11">
        <v>-72317</v>
      </c>
      <c r="D15" s="25">
        <f t="shared" si="0"/>
        <v>5847</v>
      </c>
    </row>
    <row r="16" spans="1:4" x14ac:dyDescent="0.2">
      <c r="A16" s="10">
        <v>13</v>
      </c>
      <c r="B16" s="11">
        <v>-101376</v>
      </c>
      <c r="C16" s="11">
        <v>-100821</v>
      </c>
      <c r="D16" s="25">
        <f t="shared" si="0"/>
        <v>555</v>
      </c>
    </row>
    <row r="17" spans="1:4" x14ac:dyDescent="0.2">
      <c r="A17" s="10">
        <v>14</v>
      </c>
      <c r="B17" s="11">
        <v>-102003</v>
      </c>
      <c r="C17" s="11">
        <v>-100821</v>
      </c>
      <c r="D17" s="25">
        <f t="shared" si="0"/>
        <v>1182</v>
      </c>
    </row>
    <row r="18" spans="1:4" x14ac:dyDescent="0.2">
      <c r="A18" s="10">
        <v>15</v>
      </c>
      <c r="B18" s="11">
        <v>-79999</v>
      </c>
      <c r="C18" s="11">
        <v>-79808</v>
      </c>
      <c r="D18" s="25">
        <f t="shared" si="0"/>
        <v>191</v>
      </c>
    </row>
    <row r="19" spans="1:4" x14ac:dyDescent="0.2">
      <c r="A19" s="10">
        <v>16</v>
      </c>
      <c r="B19" s="11">
        <v>-115035</v>
      </c>
      <c r="C19" s="11">
        <v>-116162</v>
      </c>
      <c r="D19" s="25">
        <f t="shared" si="0"/>
        <v>-1127</v>
      </c>
    </row>
    <row r="20" spans="1:4" x14ac:dyDescent="0.2">
      <c r="A20" s="10">
        <v>17</v>
      </c>
      <c r="B20" s="11">
        <v>-166379</v>
      </c>
      <c r="C20" s="11">
        <v>-166658</v>
      </c>
      <c r="D20" s="25">
        <f t="shared" si="0"/>
        <v>-279</v>
      </c>
    </row>
    <row r="21" spans="1:4" x14ac:dyDescent="0.2">
      <c r="A21" s="10">
        <v>18</v>
      </c>
      <c r="B21" s="129">
        <v>-181005</v>
      </c>
      <c r="C21" s="11">
        <v>-181657</v>
      </c>
      <c r="D21" s="25">
        <f t="shared" si="0"/>
        <v>-652</v>
      </c>
    </row>
    <row r="22" spans="1:4" x14ac:dyDescent="0.2">
      <c r="A22" s="10">
        <v>19</v>
      </c>
      <c r="B22" s="129">
        <v>-189316</v>
      </c>
      <c r="C22" s="11">
        <v>-188157</v>
      </c>
      <c r="D22" s="25">
        <f t="shared" si="0"/>
        <v>1159</v>
      </c>
    </row>
    <row r="23" spans="1:4" x14ac:dyDescent="0.2">
      <c r="A23" s="10">
        <v>20</v>
      </c>
      <c r="B23" s="11">
        <v>-167424</v>
      </c>
      <c r="C23" s="11">
        <v>-166032</v>
      </c>
      <c r="D23" s="25">
        <f t="shared" si="0"/>
        <v>1392</v>
      </c>
    </row>
    <row r="24" spans="1:4" x14ac:dyDescent="0.2">
      <c r="A24" s="10">
        <v>21</v>
      </c>
      <c r="B24" s="129">
        <v>-190480</v>
      </c>
      <c r="C24" s="11">
        <v>-189299</v>
      </c>
      <c r="D24" s="25">
        <f t="shared" si="0"/>
        <v>1181</v>
      </c>
    </row>
    <row r="25" spans="1:4" x14ac:dyDescent="0.2">
      <c r="A25" s="10">
        <v>22</v>
      </c>
      <c r="B25" s="11">
        <v>-191009</v>
      </c>
      <c r="C25" s="11">
        <v>-191036</v>
      </c>
      <c r="D25" s="25">
        <f t="shared" si="0"/>
        <v>-27</v>
      </c>
    </row>
    <row r="26" spans="1:4" x14ac:dyDescent="0.2">
      <c r="A26" s="10">
        <v>23</v>
      </c>
      <c r="B26" s="129">
        <v>-189883</v>
      </c>
      <c r="C26" s="11">
        <v>-188116</v>
      </c>
      <c r="D26" s="25">
        <f t="shared" si="0"/>
        <v>1767</v>
      </c>
    </row>
    <row r="27" spans="1:4" x14ac:dyDescent="0.2">
      <c r="A27" s="10">
        <v>24</v>
      </c>
      <c r="B27" s="129">
        <v>-166609</v>
      </c>
      <c r="C27" s="11">
        <v>-164658</v>
      </c>
      <c r="D27" s="25">
        <f t="shared" si="0"/>
        <v>1951</v>
      </c>
    </row>
    <row r="28" spans="1:4" x14ac:dyDescent="0.2">
      <c r="A28" s="10">
        <v>25</v>
      </c>
      <c r="B28" s="129">
        <v>-199483</v>
      </c>
      <c r="C28" s="11">
        <v>-198466</v>
      </c>
      <c r="D28" s="25">
        <f t="shared" si="0"/>
        <v>1017</v>
      </c>
    </row>
    <row r="29" spans="1:4" x14ac:dyDescent="0.2">
      <c r="A29" s="10">
        <v>26</v>
      </c>
      <c r="B29" s="129">
        <v>-197510</v>
      </c>
      <c r="C29" s="11">
        <v>-196942</v>
      </c>
      <c r="D29" s="25">
        <f t="shared" si="0"/>
        <v>568</v>
      </c>
    </row>
    <row r="30" spans="1:4" x14ac:dyDescent="0.2">
      <c r="A30" s="10">
        <v>27</v>
      </c>
      <c r="B30" s="129">
        <v>-198688</v>
      </c>
      <c r="C30" s="11">
        <v>-196562</v>
      </c>
      <c r="D30" s="25">
        <f t="shared" si="0"/>
        <v>2126</v>
      </c>
    </row>
    <row r="31" spans="1:4" x14ac:dyDescent="0.2">
      <c r="A31" s="10">
        <v>28</v>
      </c>
      <c r="B31" s="129">
        <v>-213501</v>
      </c>
      <c r="C31" s="11">
        <v>-213815</v>
      </c>
      <c r="D31" s="25">
        <f t="shared" si="0"/>
        <v>-314</v>
      </c>
    </row>
    <row r="32" spans="1:4" x14ac:dyDescent="0.2">
      <c r="A32" s="10">
        <v>29</v>
      </c>
      <c r="B32" s="129">
        <v>-208157</v>
      </c>
      <c r="C32" s="11">
        <v>-207914</v>
      </c>
      <c r="D32" s="25">
        <f t="shared" si="0"/>
        <v>243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-4331618</v>
      </c>
      <c r="C35" s="11">
        <f>SUM(C4:C34)</f>
        <v>-4318627</v>
      </c>
      <c r="D35" s="11">
        <f>SUM(D4:D34)</f>
        <v>12991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7">
        <v>37164</v>
      </c>
      <c r="D38" s="240">
        <v>73067</v>
      </c>
    </row>
    <row r="39" spans="1:30" x14ac:dyDescent="0.2">
      <c r="A39" s="12"/>
      <c r="D39" s="24"/>
    </row>
    <row r="40" spans="1:30" x14ac:dyDescent="0.2">
      <c r="A40" s="247">
        <v>37193</v>
      </c>
      <c r="D40" s="24">
        <f>+D38+D35</f>
        <v>86058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154</v>
      </c>
      <c r="B44" s="32"/>
      <c r="C44" s="32"/>
      <c r="D44" s="47"/>
      <c r="K44"/>
    </row>
    <row r="45" spans="1:30" x14ac:dyDescent="0.2">
      <c r="A45" s="49">
        <f>+A38</f>
        <v>37164</v>
      </c>
      <c r="B45" s="32"/>
      <c r="C45" s="32"/>
      <c r="D45" s="467">
        <v>-48870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37193</v>
      </c>
      <c r="B46" s="32"/>
      <c r="C46" s="32"/>
      <c r="D46" s="399">
        <f>+D35*'by type_area'!J4</f>
        <v>26891.37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-21978.63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E41" sqref="E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-793838</v>
      </c>
      <c r="C4" s="11">
        <v>-792660</v>
      </c>
      <c r="D4" s="11">
        <v>-25145</v>
      </c>
      <c r="E4" s="11">
        <v>-25000</v>
      </c>
      <c r="F4" s="25">
        <f>+E4+C4-D4-B4</f>
        <v>1323</v>
      </c>
      <c r="H4" s="10"/>
      <c r="I4" s="11"/>
    </row>
    <row r="5" spans="1:11" x14ac:dyDescent="0.2">
      <c r="A5" s="10">
        <v>2</v>
      </c>
      <c r="B5" s="11">
        <v>-763037</v>
      </c>
      <c r="C5" s="11">
        <v>-774130</v>
      </c>
      <c r="D5" s="11">
        <v>-3962</v>
      </c>
      <c r="E5" s="11"/>
      <c r="F5" s="25">
        <f t="shared" ref="F5:F34" si="0">+C5-B5+E5-D5</f>
        <v>-7131</v>
      </c>
      <c r="H5" s="10"/>
      <c r="I5" s="11"/>
    </row>
    <row r="6" spans="1:11" x14ac:dyDescent="0.2">
      <c r="A6" s="10">
        <v>3</v>
      </c>
      <c r="B6" s="11">
        <v>-744106</v>
      </c>
      <c r="C6" s="11">
        <v>-759615</v>
      </c>
      <c r="D6" s="11"/>
      <c r="E6" s="11"/>
      <c r="F6" s="25">
        <f t="shared" si="0"/>
        <v>-15509</v>
      </c>
      <c r="H6" s="10"/>
      <c r="I6" s="11"/>
    </row>
    <row r="7" spans="1:11" x14ac:dyDescent="0.2">
      <c r="A7" s="10">
        <v>4</v>
      </c>
      <c r="B7" s="11">
        <v>-728570</v>
      </c>
      <c r="C7" s="11">
        <v>-711610</v>
      </c>
      <c r="D7" s="11"/>
      <c r="E7" s="11"/>
      <c r="F7" s="25">
        <f t="shared" si="0"/>
        <v>16960</v>
      </c>
      <c r="H7" s="10"/>
      <c r="I7" s="11"/>
      <c r="K7" s="25"/>
    </row>
    <row r="8" spans="1:11" x14ac:dyDescent="0.2">
      <c r="A8" s="10">
        <v>5</v>
      </c>
      <c r="B8" s="129">
        <v>-713547</v>
      </c>
      <c r="C8" s="11">
        <v>-708473</v>
      </c>
      <c r="D8" s="11">
        <v>-34889</v>
      </c>
      <c r="E8" s="11">
        <v>-35000</v>
      </c>
      <c r="F8" s="25">
        <f t="shared" si="0"/>
        <v>4963</v>
      </c>
      <c r="H8" s="10"/>
      <c r="I8" s="11"/>
    </row>
    <row r="9" spans="1:11" x14ac:dyDescent="0.2">
      <c r="A9" s="10">
        <v>6</v>
      </c>
      <c r="B9" s="11">
        <v>-676189</v>
      </c>
      <c r="C9" s="11">
        <v>-671926</v>
      </c>
      <c r="D9" s="11">
        <v>-187</v>
      </c>
      <c r="E9" s="11"/>
      <c r="F9" s="25">
        <f t="shared" si="0"/>
        <v>4450</v>
      </c>
      <c r="H9" s="10"/>
      <c r="I9" s="11"/>
    </row>
    <row r="10" spans="1:11" x14ac:dyDescent="0.2">
      <c r="A10" s="10">
        <v>7</v>
      </c>
      <c r="B10" s="129">
        <v>-707431</v>
      </c>
      <c r="C10" s="11">
        <v>-706876</v>
      </c>
      <c r="D10" s="129"/>
      <c r="E10" s="11"/>
      <c r="F10" s="25">
        <f t="shared" si="0"/>
        <v>555</v>
      </c>
      <c r="H10" s="10"/>
      <c r="I10" s="11"/>
    </row>
    <row r="11" spans="1:11" x14ac:dyDescent="0.2">
      <c r="A11" s="10">
        <v>8</v>
      </c>
      <c r="B11" s="11">
        <v>-698518</v>
      </c>
      <c r="C11" s="11">
        <v>-701989</v>
      </c>
      <c r="D11" s="11">
        <v>-30119</v>
      </c>
      <c r="E11" s="11">
        <v>-30000</v>
      </c>
      <c r="F11" s="25">
        <f t="shared" si="0"/>
        <v>-3352</v>
      </c>
      <c r="H11" s="10"/>
      <c r="I11" s="11"/>
    </row>
    <row r="12" spans="1:11" x14ac:dyDescent="0.2">
      <c r="A12" s="10">
        <v>9</v>
      </c>
      <c r="B12" s="11">
        <v>-710988</v>
      </c>
      <c r="C12" s="11">
        <v>-718515</v>
      </c>
      <c r="D12" s="11">
        <v>-40</v>
      </c>
      <c r="E12" s="11"/>
      <c r="F12" s="25">
        <f t="shared" si="0"/>
        <v>-7487</v>
      </c>
      <c r="H12" s="10"/>
      <c r="I12" s="11"/>
    </row>
    <row r="13" spans="1:11" x14ac:dyDescent="0.2">
      <c r="A13" s="10">
        <v>10</v>
      </c>
      <c r="B13" s="11">
        <v>-629018</v>
      </c>
      <c r="C13" s="11">
        <v>-627297</v>
      </c>
      <c r="D13" s="129"/>
      <c r="E13" s="11"/>
      <c r="F13" s="25">
        <f t="shared" si="0"/>
        <v>1721</v>
      </c>
      <c r="H13" s="10"/>
      <c r="I13" s="11"/>
    </row>
    <row r="14" spans="1:11" x14ac:dyDescent="0.2">
      <c r="A14" s="10">
        <v>11</v>
      </c>
      <c r="B14" s="11">
        <v>-684669</v>
      </c>
      <c r="C14" s="11">
        <v>-698981</v>
      </c>
      <c r="D14" s="11">
        <v>-24919</v>
      </c>
      <c r="E14" s="11">
        <v>-25000</v>
      </c>
      <c r="F14" s="25">
        <f t="shared" si="0"/>
        <v>-14393</v>
      </c>
      <c r="H14" s="10"/>
      <c r="I14" s="11"/>
    </row>
    <row r="15" spans="1:11" x14ac:dyDescent="0.2">
      <c r="A15" s="10">
        <v>12</v>
      </c>
      <c r="B15" s="11">
        <v>-654280</v>
      </c>
      <c r="C15" s="11">
        <v>-653453</v>
      </c>
      <c r="D15" s="11">
        <v>-25094</v>
      </c>
      <c r="E15" s="11">
        <v>-25000</v>
      </c>
      <c r="F15" s="25">
        <f t="shared" si="0"/>
        <v>921</v>
      </c>
      <c r="H15" s="10"/>
      <c r="I15" s="11"/>
    </row>
    <row r="16" spans="1:11" x14ac:dyDescent="0.2">
      <c r="A16" s="10">
        <v>13</v>
      </c>
      <c r="B16" s="11">
        <v>-656295</v>
      </c>
      <c r="C16" s="11">
        <v>-655939</v>
      </c>
      <c r="D16" s="11"/>
      <c r="E16" s="11"/>
      <c r="F16" s="25">
        <f t="shared" si="0"/>
        <v>356</v>
      </c>
      <c r="H16" s="10"/>
      <c r="I16" s="11"/>
      <c r="K16" s="25"/>
    </row>
    <row r="17" spans="1:11" x14ac:dyDescent="0.2">
      <c r="A17" s="10">
        <v>14</v>
      </c>
      <c r="B17" s="11">
        <v>-643774</v>
      </c>
      <c r="C17" s="11">
        <v>-643272</v>
      </c>
      <c r="D17" s="11"/>
      <c r="E17" s="11"/>
      <c r="F17" s="25">
        <f t="shared" si="0"/>
        <v>502</v>
      </c>
      <c r="H17" s="10"/>
      <c r="I17" s="11"/>
    </row>
    <row r="18" spans="1:11" x14ac:dyDescent="0.2">
      <c r="A18" s="10">
        <v>15</v>
      </c>
      <c r="B18" s="11">
        <v>-675045</v>
      </c>
      <c r="C18" s="11">
        <v>-674476</v>
      </c>
      <c r="D18" s="11">
        <v>-24877</v>
      </c>
      <c r="E18" s="11">
        <v>-25000</v>
      </c>
      <c r="F18" s="25">
        <f t="shared" si="0"/>
        <v>446</v>
      </c>
      <c r="H18" s="10"/>
      <c r="I18" s="11"/>
    </row>
    <row r="19" spans="1:11" x14ac:dyDescent="0.2">
      <c r="A19" s="10">
        <v>16</v>
      </c>
      <c r="B19" s="11">
        <v>-744554</v>
      </c>
      <c r="C19" s="11">
        <v>-742905</v>
      </c>
      <c r="D19" s="11">
        <v>-1569</v>
      </c>
      <c r="E19" s="11"/>
      <c r="F19" s="25">
        <f t="shared" si="0"/>
        <v>3218</v>
      </c>
      <c r="H19" s="10"/>
      <c r="I19" s="11"/>
    </row>
    <row r="20" spans="1:11" x14ac:dyDescent="0.2">
      <c r="A20" s="10">
        <v>17</v>
      </c>
      <c r="B20" s="11">
        <v>-753011</v>
      </c>
      <c r="C20" s="11">
        <v>-753414</v>
      </c>
      <c r="D20" s="11"/>
      <c r="E20" s="11"/>
      <c r="F20" s="25">
        <f t="shared" si="0"/>
        <v>-403</v>
      </c>
      <c r="H20" s="10"/>
      <c r="I20" s="11"/>
    </row>
    <row r="21" spans="1:11" x14ac:dyDescent="0.2">
      <c r="A21" s="10">
        <v>18</v>
      </c>
      <c r="B21" s="11">
        <v>-717636</v>
      </c>
      <c r="C21" s="11">
        <v>-732405</v>
      </c>
      <c r="D21" s="11"/>
      <c r="E21" s="11"/>
      <c r="F21" s="25">
        <f t="shared" si="0"/>
        <v>-14769</v>
      </c>
      <c r="H21" s="10"/>
      <c r="I21" s="11"/>
    </row>
    <row r="22" spans="1:11" x14ac:dyDescent="0.2">
      <c r="A22" s="10">
        <v>19</v>
      </c>
      <c r="B22" s="11">
        <v>-686803</v>
      </c>
      <c r="C22" s="11">
        <v>-686088</v>
      </c>
      <c r="D22" s="11">
        <v>-25335</v>
      </c>
      <c r="E22" s="11">
        <v>-25000</v>
      </c>
      <c r="F22" s="25">
        <f t="shared" si="0"/>
        <v>1050</v>
      </c>
      <c r="H22" s="10"/>
      <c r="I22" s="11"/>
    </row>
    <row r="23" spans="1:11" x14ac:dyDescent="0.2">
      <c r="A23" s="10">
        <v>20</v>
      </c>
      <c r="B23" s="11">
        <v>-639011</v>
      </c>
      <c r="C23" s="11">
        <v>-618412</v>
      </c>
      <c r="D23" s="11">
        <v>-27933</v>
      </c>
      <c r="E23" s="11">
        <v>-25000</v>
      </c>
      <c r="F23" s="25">
        <f t="shared" si="0"/>
        <v>23532</v>
      </c>
      <c r="H23" s="10"/>
      <c r="I23" s="11"/>
    </row>
    <row r="24" spans="1:11" x14ac:dyDescent="0.2">
      <c r="A24" s="10">
        <v>21</v>
      </c>
      <c r="B24" s="11">
        <v>-617877</v>
      </c>
      <c r="C24" s="11">
        <v>-618412</v>
      </c>
      <c r="D24" s="129"/>
      <c r="E24" s="11"/>
      <c r="F24" s="25">
        <f t="shared" si="0"/>
        <v>-535</v>
      </c>
      <c r="H24" s="10"/>
      <c r="I24" s="11"/>
      <c r="K24" s="25"/>
    </row>
    <row r="25" spans="1:11" x14ac:dyDescent="0.2">
      <c r="A25" s="10">
        <v>22</v>
      </c>
      <c r="B25" s="11">
        <v>-617528</v>
      </c>
      <c r="C25" s="11">
        <v>-618109</v>
      </c>
      <c r="D25" s="11"/>
      <c r="E25" s="11"/>
      <c r="F25" s="25">
        <f t="shared" si="0"/>
        <v>-581</v>
      </c>
      <c r="H25" s="10"/>
      <c r="I25" s="11"/>
    </row>
    <row r="26" spans="1:11" x14ac:dyDescent="0.2">
      <c r="A26" s="10">
        <v>23</v>
      </c>
      <c r="B26" s="11">
        <v>-673301</v>
      </c>
      <c r="C26" s="11">
        <v>-678640</v>
      </c>
      <c r="D26" s="11"/>
      <c r="E26" s="11"/>
      <c r="F26" s="25">
        <f t="shared" si="0"/>
        <v>-5339</v>
      </c>
      <c r="H26" s="10"/>
      <c r="I26" s="11"/>
    </row>
    <row r="27" spans="1:11" x14ac:dyDescent="0.2">
      <c r="A27" s="10">
        <v>24</v>
      </c>
      <c r="B27" s="11">
        <v>-710331</v>
      </c>
      <c r="C27" s="11">
        <v>-696089</v>
      </c>
      <c r="D27" s="11">
        <v>-25656</v>
      </c>
      <c r="E27" s="11">
        <v>-25000</v>
      </c>
      <c r="F27" s="25">
        <f t="shared" si="0"/>
        <v>14898</v>
      </c>
      <c r="H27" s="10"/>
      <c r="I27" s="11"/>
      <c r="K27" s="25"/>
    </row>
    <row r="28" spans="1:11" x14ac:dyDescent="0.2">
      <c r="A28" s="10">
        <v>25</v>
      </c>
      <c r="B28" s="11">
        <v>-659318</v>
      </c>
      <c r="C28" s="11">
        <v>-660078</v>
      </c>
      <c r="D28" s="11">
        <v>-26155</v>
      </c>
      <c r="E28" s="11">
        <v>-25000</v>
      </c>
      <c r="F28" s="25">
        <f t="shared" si="0"/>
        <v>395</v>
      </c>
      <c r="H28" s="10"/>
      <c r="I28" s="11"/>
      <c r="K28" s="25"/>
    </row>
    <row r="29" spans="1:11" x14ac:dyDescent="0.2">
      <c r="A29" s="10">
        <v>26</v>
      </c>
      <c r="B29" s="11">
        <v>-587898</v>
      </c>
      <c r="C29" s="11">
        <v>-587748</v>
      </c>
      <c r="D29" s="11">
        <v>-35192</v>
      </c>
      <c r="E29" s="11">
        <v>-35000</v>
      </c>
      <c r="F29" s="25">
        <f t="shared" si="0"/>
        <v>342</v>
      </c>
      <c r="H29" s="10"/>
      <c r="I29" s="11"/>
      <c r="K29" s="25"/>
    </row>
    <row r="30" spans="1:11" x14ac:dyDescent="0.2">
      <c r="A30" s="10">
        <v>27</v>
      </c>
      <c r="B30" s="11">
        <v>-600891</v>
      </c>
      <c r="C30" s="11">
        <v>-596637</v>
      </c>
      <c r="D30" s="11">
        <v>-807</v>
      </c>
      <c r="E30" s="11"/>
      <c r="F30" s="25">
        <f t="shared" si="0"/>
        <v>5061</v>
      </c>
      <c r="H30" s="10"/>
      <c r="I30" s="11"/>
      <c r="K30" s="25"/>
    </row>
    <row r="31" spans="1:11" x14ac:dyDescent="0.2">
      <c r="A31" s="10">
        <v>28</v>
      </c>
      <c r="B31" s="11">
        <v>-598292</v>
      </c>
      <c r="C31" s="11">
        <v>-600453</v>
      </c>
      <c r="D31" s="11"/>
      <c r="E31" s="11"/>
      <c r="F31" s="25">
        <f t="shared" si="0"/>
        <v>-2161</v>
      </c>
      <c r="H31" s="10"/>
      <c r="I31" s="11"/>
    </row>
    <row r="32" spans="1:11" x14ac:dyDescent="0.2">
      <c r="A32" s="10">
        <v>29</v>
      </c>
      <c r="B32" s="11">
        <v>-595094</v>
      </c>
      <c r="C32" s="11">
        <v>-600458</v>
      </c>
      <c r="D32" s="11"/>
      <c r="E32" s="11"/>
      <c r="F32" s="25">
        <f t="shared" si="0"/>
        <v>-5364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-19680850</v>
      </c>
      <c r="C35" s="11">
        <f>SUM(C4:C34)</f>
        <v>-19689060</v>
      </c>
      <c r="D35" s="11">
        <f>SUM(D4:D34)</f>
        <v>-311879</v>
      </c>
      <c r="E35" s="11">
        <f>SUM(E4:E34)</f>
        <v>-300000</v>
      </c>
      <c r="F35" s="11">
        <f>SUM(F4:F34)</f>
        <v>3669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37164</v>
      </c>
      <c r="F38" s="517">
        <v>294649</v>
      </c>
    </row>
    <row r="39" spans="1:45" x14ac:dyDescent="0.2">
      <c r="A39" s="2"/>
      <c r="F39" s="24"/>
    </row>
    <row r="40" spans="1:45" x14ac:dyDescent="0.2">
      <c r="A40" s="57">
        <v>37193</v>
      </c>
      <c r="F40" s="51">
        <f>+F38+F35</f>
        <v>298318</v>
      </c>
    </row>
    <row r="42" spans="1:45" x14ac:dyDescent="0.2"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6"/>
      <c r="AG43" s="305"/>
      <c r="AH43" s="305"/>
      <c r="AI43" s="307"/>
      <c r="AJ43" s="306"/>
      <c r="AK43" s="305"/>
      <c r="AL43" s="305"/>
      <c r="AM43" s="307"/>
      <c r="AN43" s="306"/>
      <c r="AO43" s="305"/>
      <c r="AP43" s="305"/>
      <c r="AQ43" s="305"/>
      <c r="AR43" s="305"/>
      <c r="AS43" s="305"/>
    </row>
    <row r="44" spans="1:45" x14ac:dyDescent="0.2">
      <c r="A44" s="32" t="s">
        <v>154</v>
      </c>
      <c r="B44" s="32"/>
      <c r="C44" s="32"/>
      <c r="D44" s="47"/>
      <c r="K44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</row>
    <row r="45" spans="1:45" x14ac:dyDescent="0.2">
      <c r="A45" s="49">
        <f>+A38</f>
        <v>37164</v>
      </c>
      <c r="B45" s="32"/>
      <c r="C45" s="32"/>
      <c r="D45" s="430">
        <v>730941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8"/>
      <c r="AG45" s="308"/>
      <c r="AH45" s="305"/>
      <c r="AI45" s="309"/>
      <c r="AJ45" s="308"/>
      <c r="AK45" s="308"/>
      <c r="AL45" s="305"/>
      <c r="AM45" s="309"/>
      <c r="AN45" s="308"/>
      <c r="AO45" s="308"/>
      <c r="AP45" s="305"/>
      <c r="AQ45" s="305"/>
      <c r="AR45" s="305"/>
      <c r="AS45" s="305"/>
    </row>
    <row r="46" spans="1:45" x14ac:dyDescent="0.2">
      <c r="A46" s="49">
        <f>+A40</f>
        <v>37193</v>
      </c>
      <c r="B46" s="32"/>
      <c r="C46" s="32"/>
      <c r="D46" s="399">
        <f>+F35*'by type_area'!J4</f>
        <v>7594.829999999999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0"/>
      <c r="AG46" s="310"/>
      <c r="AH46" s="311"/>
      <c r="AI46" s="312"/>
      <c r="AJ46" s="310"/>
      <c r="AK46" s="310"/>
      <c r="AL46" s="311"/>
      <c r="AM46" s="312"/>
      <c r="AN46" s="310"/>
      <c r="AO46" s="310"/>
      <c r="AP46" s="311"/>
      <c r="AQ46" s="305"/>
      <c r="AR46" s="305"/>
      <c r="AS46" s="305"/>
    </row>
    <row r="47" spans="1:45" x14ac:dyDescent="0.2">
      <c r="A47" s="32"/>
      <c r="B47" s="32"/>
      <c r="C47" s="32"/>
      <c r="D47" s="202">
        <f>+D46+D45</f>
        <v>738535.83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0"/>
      <c r="AG47" s="310"/>
      <c r="AH47" s="311"/>
      <c r="AI47" s="312"/>
      <c r="AJ47" s="310"/>
      <c r="AK47" s="310"/>
      <c r="AL47" s="311"/>
      <c r="AM47" s="312"/>
      <c r="AN47" s="310"/>
      <c r="AO47" s="310"/>
      <c r="AP47" s="311"/>
      <c r="AQ47" s="305"/>
      <c r="AR47" s="305"/>
      <c r="AS47" s="305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0"/>
      <c r="AG48" s="310"/>
      <c r="AH48" s="311"/>
      <c r="AI48" s="312"/>
      <c r="AJ48" s="310"/>
      <c r="AK48" s="310"/>
      <c r="AL48" s="311"/>
      <c r="AM48" s="312"/>
      <c r="AN48" s="310"/>
      <c r="AO48" s="310"/>
      <c r="AP48" s="311"/>
      <c r="AQ48" s="305"/>
      <c r="AR48" s="305"/>
      <c r="AS48" s="305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0"/>
      <c r="AG49" s="310"/>
      <c r="AH49" s="311"/>
      <c r="AI49" s="312"/>
      <c r="AJ49" s="310"/>
      <c r="AK49" s="310"/>
      <c r="AL49" s="311"/>
      <c r="AM49" s="312"/>
      <c r="AN49" s="310"/>
      <c r="AO49" s="310"/>
      <c r="AP49" s="311"/>
      <c r="AQ49" s="305"/>
      <c r="AR49" s="305"/>
      <c r="AS49" s="305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0"/>
      <c r="AG50" s="310"/>
      <c r="AH50" s="311"/>
      <c r="AI50" s="312"/>
      <c r="AJ50" s="310"/>
      <c r="AK50" s="310"/>
      <c r="AL50" s="311"/>
      <c r="AM50" s="312"/>
      <c r="AN50" s="310"/>
      <c r="AO50" s="310"/>
      <c r="AP50" s="311"/>
      <c r="AQ50" s="305"/>
      <c r="AR50" s="305"/>
      <c r="AS50" s="305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0"/>
      <c r="AG51" s="310"/>
      <c r="AH51" s="311"/>
      <c r="AI51" s="312"/>
      <c r="AJ51" s="310"/>
      <c r="AK51" s="310"/>
      <c r="AL51" s="311"/>
      <c r="AM51" s="312"/>
      <c r="AN51" s="310"/>
      <c r="AO51" s="310"/>
      <c r="AP51" s="311"/>
      <c r="AQ51" s="305"/>
      <c r="AR51" s="305"/>
      <c r="AS51" s="305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0"/>
      <c r="AG52" s="310"/>
      <c r="AH52" s="311"/>
      <c r="AI52" s="312"/>
      <c r="AJ52" s="310"/>
      <c r="AK52" s="310"/>
      <c r="AL52" s="311"/>
      <c r="AM52" s="312"/>
      <c r="AN52" s="310"/>
      <c r="AO52" s="310"/>
      <c r="AP52" s="311"/>
      <c r="AQ52" s="305"/>
      <c r="AR52" s="305"/>
      <c r="AS52" s="305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0"/>
      <c r="AG53" s="310"/>
      <c r="AH53" s="311"/>
      <c r="AI53" s="312"/>
      <c r="AJ53" s="310"/>
      <c r="AK53" s="310"/>
      <c r="AL53" s="311"/>
      <c r="AM53" s="312"/>
      <c r="AN53" s="310"/>
      <c r="AO53" s="310"/>
      <c r="AP53" s="311"/>
      <c r="AQ53" s="305"/>
      <c r="AR53" s="305"/>
      <c r="AS53" s="305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0"/>
      <c r="AG54" s="310"/>
      <c r="AH54" s="311"/>
      <c r="AI54" s="312"/>
      <c r="AJ54" s="310"/>
      <c r="AK54" s="310"/>
      <c r="AL54" s="311"/>
      <c r="AM54" s="312"/>
      <c r="AN54" s="310"/>
      <c r="AO54" s="310"/>
      <c r="AP54" s="311"/>
      <c r="AQ54" s="305"/>
      <c r="AR54" s="305"/>
      <c r="AS54" s="305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0"/>
      <c r="AG55" s="310"/>
      <c r="AH55" s="311"/>
      <c r="AI55" s="312"/>
      <c r="AJ55" s="310"/>
      <c r="AK55" s="310"/>
      <c r="AL55" s="311"/>
      <c r="AM55" s="312"/>
      <c r="AN55" s="310"/>
      <c r="AO55" s="310"/>
      <c r="AP55" s="311"/>
      <c r="AQ55" s="305"/>
      <c r="AR55" s="305"/>
      <c r="AS55" s="305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0"/>
      <c r="AG56" s="310"/>
      <c r="AH56" s="311"/>
      <c r="AI56" s="312"/>
      <c r="AJ56" s="310"/>
      <c r="AK56" s="310"/>
      <c r="AL56" s="311"/>
      <c r="AM56" s="312"/>
      <c r="AN56" s="310"/>
      <c r="AO56" s="310"/>
      <c r="AP56" s="311"/>
      <c r="AQ56" s="305"/>
      <c r="AR56" s="305"/>
      <c r="AS56" s="305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0"/>
      <c r="AG57" s="310"/>
      <c r="AH57" s="311"/>
      <c r="AI57" s="312"/>
      <c r="AJ57" s="310"/>
      <c r="AK57" s="310"/>
      <c r="AL57" s="311"/>
      <c r="AM57" s="312"/>
      <c r="AN57" s="310"/>
      <c r="AO57" s="310"/>
      <c r="AP57" s="311"/>
      <c r="AQ57" s="305"/>
      <c r="AR57" s="305"/>
      <c r="AS57" s="305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0"/>
      <c r="AG58" s="310"/>
      <c r="AH58" s="311"/>
      <c r="AI58" s="312"/>
      <c r="AJ58" s="310"/>
      <c r="AK58" s="310"/>
      <c r="AL58" s="311"/>
      <c r="AM58" s="312"/>
      <c r="AN58" s="310"/>
      <c r="AO58" s="310"/>
      <c r="AP58" s="311"/>
      <c r="AQ58" s="305"/>
      <c r="AR58" s="305"/>
      <c r="AS58" s="305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0"/>
      <c r="AG59" s="310"/>
      <c r="AH59" s="311"/>
      <c r="AI59" s="312"/>
      <c r="AJ59" s="310"/>
      <c r="AK59" s="310"/>
      <c r="AL59" s="311"/>
      <c r="AM59" s="312"/>
      <c r="AN59" s="310"/>
      <c r="AO59" s="310"/>
      <c r="AP59" s="311"/>
      <c r="AQ59" s="305"/>
      <c r="AR59" s="305"/>
      <c r="AS59" s="305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0"/>
      <c r="AG60" s="310"/>
      <c r="AH60" s="311"/>
      <c r="AI60" s="312"/>
      <c r="AJ60" s="310"/>
      <c r="AK60" s="310"/>
      <c r="AL60" s="311"/>
      <c r="AM60" s="312"/>
      <c r="AN60" s="310"/>
      <c r="AO60" s="310"/>
      <c r="AP60" s="311"/>
      <c r="AQ60" s="305"/>
      <c r="AR60" s="305"/>
      <c r="AS60" s="305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0"/>
      <c r="AG61" s="310"/>
      <c r="AH61" s="311"/>
      <c r="AI61" s="312"/>
      <c r="AJ61" s="310"/>
      <c r="AK61" s="310"/>
      <c r="AL61" s="311"/>
      <c r="AM61" s="312"/>
      <c r="AN61" s="310"/>
      <c r="AO61" s="310"/>
      <c r="AP61" s="311"/>
      <c r="AQ61" s="305"/>
      <c r="AR61" s="305"/>
      <c r="AS61" s="305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0"/>
      <c r="AG62" s="310"/>
      <c r="AH62" s="311"/>
      <c r="AI62" s="312"/>
      <c r="AJ62" s="310"/>
      <c r="AK62" s="310"/>
      <c r="AL62" s="311"/>
      <c r="AM62" s="312"/>
      <c r="AN62" s="310"/>
      <c r="AO62" s="310"/>
      <c r="AP62" s="311"/>
      <c r="AQ62" s="305"/>
      <c r="AR62" s="305"/>
      <c r="AS62" s="305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0"/>
      <c r="AG63" s="310"/>
      <c r="AH63" s="311"/>
      <c r="AI63" s="312"/>
      <c r="AJ63" s="310"/>
      <c r="AK63" s="310"/>
      <c r="AL63" s="311"/>
      <c r="AM63" s="312"/>
      <c r="AN63" s="310"/>
      <c r="AO63" s="310"/>
      <c r="AP63" s="311"/>
      <c r="AQ63" s="305"/>
      <c r="AR63" s="305"/>
      <c r="AS63" s="305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0"/>
      <c r="AG64" s="310"/>
      <c r="AH64" s="311"/>
      <c r="AI64" s="312"/>
      <c r="AJ64" s="310"/>
      <c r="AK64" s="310"/>
      <c r="AL64" s="311"/>
      <c r="AM64" s="312"/>
      <c r="AN64" s="310"/>
      <c r="AO64" s="310"/>
      <c r="AP64" s="311"/>
      <c r="AQ64" s="305"/>
      <c r="AR64" s="305"/>
      <c r="AS64" s="305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0"/>
      <c r="AG65" s="310"/>
      <c r="AH65" s="311"/>
      <c r="AI65" s="312"/>
      <c r="AJ65" s="310"/>
      <c r="AK65" s="310"/>
      <c r="AL65" s="311"/>
      <c r="AM65" s="312"/>
      <c r="AN65" s="310"/>
      <c r="AO65" s="310"/>
      <c r="AP65" s="311"/>
      <c r="AQ65" s="305"/>
      <c r="AR65" s="305"/>
      <c r="AS65" s="305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0"/>
      <c r="AG66" s="310"/>
      <c r="AH66" s="311"/>
      <c r="AI66" s="312"/>
      <c r="AJ66" s="310"/>
      <c r="AK66" s="310"/>
      <c r="AL66" s="311"/>
      <c r="AM66" s="312"/>
      <c r="AN66" s="310"/>
      <c r="AO66" s="310"/>
      <c r="AP66" s="311"/>
      <c r="AQ66" s="305"/>
      <c r="AR66" s="305"/>
      <c r="AS66" s="305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0"/>
      <c r="AG67" s="310"/>
      <c r="AH67" s="311"/>
      <c r="AI67" s="312"/>
      <c r="AJ67" s="310"/>
      <c r="AK67" s="310"/>
      <c r="AL67" s="311"/>
      <c r="AM67" s="312"/>
      <c r="AN67" s="310"/>
      <c r="AO67" s="310"/>
      <c r="AP67" s="311"/>
      <c r="AQ67" s="305"/>
      <c r="AR67" s="305"/>
      <c r="AS67" s="305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0"/>
      <c r="AG68" s="310"/>
      <c r="AH68" s="311"/>
      <c r="AI68" s="312"/>
      <c r="AJ68" s="310"/>
      <c r="AK68" s="310"/>
      <c r="AL68" s="311"/>
      <c r="AM68" s="312"/>
      <c r="AN68" s="310"/>
      <c r="AO68" s="310"/>
      <c r="AP68" s="311"/>
      <c r="AQ68" s="305"/>
      <c r="AR68" s="305"/>
      <c r="AS68" s="305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0"/>
      <c r="AG69" s="310"/>
      <c r="AH69" s="311"/>
      <c r="AI69" s="312"/>
      <c r="AJ69" s="310"/>
      <c r="AK69" s="310"/>
      <c r="AL69" s="311"/>
      <c r="AM69" s="312"/>
      <c r="AN69" s="310"/>
      <c r="AO69" s="310"/>
      <c r="AP69" s="311"/>
      <c r="AQ69" s="305"/>
      <c r="AR69" s="305"/>
      <c r="AS69" s="305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0"/>
      <c r="AG70" s="310"/>
      <c r="AH70" s="311"/>
      <c r="AI70" s="312"/>
      <c r="AJ70" s="310"/>
      <c r="AK70" s="310"/>
      <c r="AL70" s="311"/>
      <c r="AM70" s="312"/>
      <c r="AN70" s="310"/>
      <c r="AO70" s="310"/>
      <c r="AP70" s="311"/>
      <c r="AQ70" s="305"/>
      <c r="AR70" s="305"/>
      <c r="AS70" s="305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0"/>
      <c r="AG71" s="310"/>
      <c r="AH71" s="311"/>
      <c r="AI71" s="312"/>
      <c r="AJ71" s="310"/>
      <c r="AK71" s="310"/>
      <c r="AL71" s="311"/>
      <c r="AM71" s="312"/>
      <c r="AN71" s="310"/>
      <c r="AO71" s="310"/>
      <c r="AP71" s="311"/>
      <c r="AQ71" s="305"/>
      <c r="AR71" s="305"/>
      <c r="AS71" s="305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0"/>
      <c r="AG72" s="310"/>
      <c r="AH72" s="311"/>
      <c r="AI72" s="312"/>
      <c r="AJ72" s="310"/>
      <c r="AK72" s="310"/>
      <c r="AL72" s="311"/>
      <c r="AM72" s="312"/>
      <c r="AN72" s="310"/>
      <c r="AO72" s="310"/>
      <c r="AP72" s="311"/>
      <c r="AQ72" s="305"/>
      <c r="AR72" s="305"/>
      <c r="AS72" s="305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0"/>
      <c r="AG73" s="310"/>
      <c r="AH73" s="311"/>
      <c r="AI73" s="312"/>
      <c r="AJ73" s="310"/>
      <c r="AK73" s="310"/>
      <c r="AL73" s="311"/>
      <c r="AM73" s="312"/>
      <c r="AN73" s="310"/>
      <c r="AO73" s="310"/>
      <c r="AP73" s="311"/>
      <c r="AQ73" s="305"/>
      <c r="AR73" s="305"/>
      <c r="AS73" s="305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0"/>
      <c r="AG74" s="310"/>
      <c r="AH74" s="311"/>
      <c r="AI74" s="312"/>
      <c r="AJ74" s="310"/>
      <c r="AK74" s="310"/>
      <c r="AL74" s="311"/>
      <c r="AM74" s="312"/>
      <c r="AN74" s="310"/>
      <c r="AO74" s="310"/>
      <c r="AP74" s="311"/>
      <c r="AQ74" s="305"/>
      <c r="AR74" s="305"/>
      <c r="AS74" s="305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0"/>
      <c r="AG75" s="310"/>
      <c r="AH75" s="311"/>
      <c r="AI75" s="312"/>
      <c r="AJ75" s="310"/>
      <c r="AK75" s="310"/>
      <c r="AL75" s="311"/>
      <c r="AM75" s="312"/>
      <c r="AN75" s="310"/>
      <c r="AO75" s="310"/>
      <c r="AP75" s="311"/>
      <c r="AQ75" s="305"/>
      <c r="AR75" s="305"/>
      <c r="AS75" s="305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0"/>
      <c r="AG76" s="310"/>
      <c r="AH76" s="311"/>
      <c r="AI76" s="312"/>
      <c r="AJ76" s="310"/>
      <c r="AK76" s="310"/>
      <c r="AL76" s="311"/>
      <c r="AM76" s="312"/>
      <c r="AN76" s="310"/>
      <c r="AO76" s="310"/>
      <c r="AP76" s="311"/>
      <c r="AQ76" s="305"/>
      <c r="AR76" s="305"/>
      <c r="AS76" s="305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0"/>
      <c r="AG77" s="310"/>
      <c r="AH77" s="310"/>
      <c r="AI77" s="312"/>
      <c r="AJ77" s="310"/>
      <c r="AK77" s="310"/>
      <c r="AL77" s="310"/>
      <c r="AM77" s="312"/>
      <c r="AN77" s="310"/>
      <c r="AO77" s="310"/>
      <c r="AP77" s="310"/>
      <c r="AQ77" s="305"/>
      <c r="AR77" s="305"/>
      <c r="AS77" s="305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5"/>
      <c r="AG78" s="311"/>
      <c r="AH78" s="313"/>
      <c r="AI78" s="314"/>
      <c r="AJ78" s="305"/>
      <c r="AK78" s="311"/>
      <c r="AL78" s="313"/>
      <c r="AM78" s="314"/>
      <c r="AN78" s="305"/>
      <c r="AO78" s="311"/>
      <c r="AP78" s="313"/>
      <c r="AQ78" s="305"/>
      <c r="AR78" s="305"/>
      <c r="AS78" s="305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5"/>
      <c r="AG79" s="305"/>
      <c r="AH79" s="315"/>
      <c r="AI79" s="305"/>
      <c r="AJ79" s="305"/>
      <c r="AK79" s="305"/>
      <c r="AL79" s="315"/>
      <c r="AM79" s="305"/>
      <c r="AN79" s="305"/>
      <c r="AO79" s="305"/>
      <c r="AP79" s="315"/>
      <c r="AQ79" s="305"/>
      <c r="AR79" s="305"/>
      <c r="AS79" s="305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5"/>
      <c r="AG80" s="305"/>
      <c r="AH80" s="315"/>
      <c r="AI80" s="316"/>
      <c r="AJ80" s="305"/>
      <c r="AK80" s="305"/>
      <c r="AL80" s="315"/>
      <c r="AM80" s="316"/>
      <c r="AN80" s="305"/>
      <c r="AO80" s="305"/>
      <c r="AP80" s="315"/>
      <c r="AQ80" s="305"/>
      <c r="AR80" s="305"/>
      <c r="AS80" s="305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5"/>
      <c r="AG81" s="305"/>
      <c r="AH81" s="315"/>
      <c r="AI81" s="313"/>
      <c r="AJ81" s="305"/>
      <c r="AK81" s="305"/>
      <c r="AL81" s="315"/>
      <c r="AM81" s="313"/>
      <c r="AN81" s="305"/>
      <c r="AO81" s="305"/>
      <c r="AP81" s="315"/>
      <c r="AQ81" s="305"/>
      <c r="AR81" s="305"/>
      <c r="AS81" s="305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5"/>
      <c r="AG82" s="305"/>
      <c r="AH82" s="315"/>
      <c r="AI82" s="316"/>
      <c r="AJ82" s="305"/>
      <c r="AK82" s="305"/>
      <c r="AL82" s="315"/>
      <c r="AM82" s="316"/>
      <c r="AN82" s="305"/>
      <c r="AO82" s="305"/>
      <c r="AP82" s="315"/>
      <c r="AQ82" s="305"/>
      <c r="AR82" s="305"/>
      <c r="AS82" s="305"/>
    </row>
    <row r="83" spans="4:45" x14ac:dyDescent="0.2">
      <c r="AE83" s="32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</row>
    <row r="84" spans="4:45" x14ac:dyDescent="0.2">
      <c r="AE84" s="32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</row>
    <row r="85" spans="4:45" x14ac:dyDescent="0.2"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</row>
    <row r="86" spans="4:45" x14ac:dyDescent="0.2"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</row>
    <row r="87" spans="4:45" x14ac:dyDescent="0.2"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</row>
    <row r="88" spans="4:45" x14ac:dyDescent="0.2"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</row>
    <row r="89" spans="4:45" x14ac:dyDescent="0.2"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</row>
    <row r="90" spans="4:45" x14ac:dyDescent="0.2"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</row>
    <row r="91" spans="4:45" x14ac:dyDescent="0.2"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</row>
    <row r="92" spans="4:45" x14ac:dyDescent="0.2"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</row>
    <row r="93" spans="4:45" x14ac:dyDescent="0.2"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</row>
    <row r="94" spans="4:45" x14ac:dyDescent="0.2"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</row>
    <row r="95" spans="4:45" x14ac:dyDescent="0.2"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</row>
    <row r="96" spans="4:45" x14ac:dyDescent="0.2"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</row>
    <row r="97" spans="32:45" x14ac:dyDescent="0.2"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</row>
    <row r="98" spans="32:45" x14ac:dyDescent="0.2"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</row>
    <row r="99" spans="32:45" x14ac:dyDescent="0.2"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</row>
    <row r="100" spans="32:45" x14ac:dyDescent="0.2"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</row>
    <row r="101" spans="32:45" x14ac:dyDescent="0.2"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</row>
    <row r="102" spans="32:45" x14ac:dyDescent="0.2"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</row>
    <row r="103" spans="32:45" x14ac:dyDescent="0.2">
      <c r="AF103" s="305"/>
      <c r="AG103" s="305"/>
      <c r="AH103" s="305"/>
      <c r="AI103" s="305"/>
      <c r="AJ103" s="305"/>
      <c r="AK103" s="305"/>
      <c r="AL103" s="305"/>
      <c r="AM103" s="305"/>
      <c r="AN103" s="305"/>
      <c r="AO103" s="305"/>
      <c r="AP103" s="305"/>
      <c r="AQ103" s="305"/>
      <c r="AR103" s="305"/>
      <c r="AS103" s="305"/>
    </row>
    <row r="104" spans="32:45" x14ac:dyDescent="0.2">
      <c r="AF104" s="305"/>
      <c r="AG104" s="305"/>
      <c r="AH104" s="305"/>
      <c r="AI104" s="305"/>
      <c r="AJ104" s="305"/>
      <c r="AK104" s="305"/>
      <c r="AL104" s="305"/>
      <c r="AM104" s="305"/>
      <c r="AN104" s="305"/>
      <c r="AO104" s="305"/>
      <c r="AP104" s="305"/>
      <c r="AQ104" s="305"/>
      <c r="AR104" s="305"/>
      <c r="AS104" s="305"/>
    </row>
    <row r="105" spans="32:45" x14ac:dyDescent="0.2"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0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-122197</v>
      </c>
      <c r="C4" s="11">
        <v>-31314</v>
      </c>
      <c r="D4" s="11"/>
      <c r="E4" s="11">
        <v>-90498</v>
      </c>
      <c r="F4" s="11"/>
      <c r="G4" s="11"/>
      <c r="H4" s="11">
        <f>+G4+E4+C4-F4-D4-B4</f>
        <v>385</v>
      </c>
      <c r="I4" s="11"/>
      <c r="J4" s="102"/>
      <c r="K4" s="439"/>
      <c r="L4" s="439"/>
      <c r="M4" s="439"/>
      <c r="N4" s="439"/>
      <c r="O4" s="293"/>
      <c r="P4" s="293"/>
    </row>
    <row r="5" spans="1:17" ht="12.75" x14ac:dyDescent="0.2">
      <c r="A5" s="41">
        <v>2</v>
      </c>
      <c r="B5" s="11">
        <v>-70606</v>
      </c>
      <c r="C5" s="11">
        <v>-48264</v>
      </c>
      <c r="D5" s="129"/>
      <c r="E5" s="11">
        <v>-22761</v>
      </c>
      <c r="F5" s="11"/>
      <c r="G5" s="11"/>
      <c r="H5" s="11">
        <f t="shared" ref="H5:H34" si="0">+G5+E5+C5-F5-D5-B5</f>
        <v>-419</v>
      </c>
      <c r="I5" s="11"/>
      <c r="J5" s="102"/>
      <c r="K5" s="118"/>
      <c r="L5" s="34"/>
      <c r="M5" s="34"/>
      <c r="N5" s="189"/>
      <c r="O5" s="440" t="s">
        <v>183</v>
      </c>
      <c r="P5" s="189"/>
      <c r="Q5" s="2"/>
    </row>
    <row r="6" spans="1:17" ht="12.75" x14ac:dyDescent="0.2">
      <c r="A6" s="41">
        <v>3</v>
      </c>
      <c r="B6" s="11">
        <v>-63000</v>
      </c>
      <c r="C6" s="11">
        <v>-52395</v>
      </c>
      <c r="D6" s="11"/>
      <c r="E6" s="11">
        <v>-11665</v>
      </c>
      <c r="F6" s="11"/>
      <c r="G6" s="11"/>
      <c r="H6" s="11">
        <f t="shared" si="0"/>
        <v>-1060</v>
      </c>
      <c r="I6" s="11"/>
      <c r="J6" s="102"/>
      <c r="K6" s="118" t="s">
        <v>40</v>
      </c>
      <c r="L6" s="441" t="s">
        <v>20</v>
      </c>
      <c r="M6" s="441" t="s">
        <v>21</v>
      </c>
      <c r="N6" s="442" t="s">
        <v>50</v>
      </c>
      <c r="O6" s="44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-61864</v>
      </c>
      <c r="C7" s="11">
        <v>-36331</v>
      </c>
      <c r="D7" s="129"/>
      <c r="E7" s="11">
        <v>-26182</v>
      </c>
      <c r="F7" s="11"/>
      <c r="G7" s="11"/>
      <c r="H7" s="11">
        <f t="shared" si="0"/>
        <v>-649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-61117</v>
      </c>
      <c r="C8" s="11">
        <v>-47080</v>
      </c>
      <c r="D8" s="11"/>
      <c r="E8" s="11">
        <v>-14935</v>
      </c>
      <c r="F8" s="11"/>
      <c r="G8" s="11"/>
      <c r="H8" s="11">
        <f t="shared" si="0"/>
        <v>-898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-39126</v>
      </c>
      <c r="C9" s="11">
        <v>-39080</v>
      </c>
      <c r="D9" s="11"/>
      <c r="E9" s="11">
        <v>65</v>
      </c>
      <c r="F9" s="11"/>
      <c r="G9" s="11"/>
      <c r="H9" s="11">
        <f t="shared" si="0"/>
        <v>111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0">
        <v>8.2100000000000009</v>
      </c>
      <c r="P9" s="44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-25223</v>
      </c>
      <c r="C10" s="11">
        <v>-24080</v>
      </c>
      <c r="D10" s="11"/>
      <c r="E10" s="11">
        <v>65</v>
      </c>
      <c r="F10" s="11"/>
      <c r="G10" s="11"/>
      <c r="H10" s="11">
        <f t="shared" si="0"/>
        <v>1208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0">
        <v>5.62</v>
      </c>
      <c r="P10" s="44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-28921</v>
      </c>
      <c r="C11" s="11">
        <v>-24081</v>
      </c>
      <c r="D11" s="129"/>
      <c r="E11" s="11">
        <v>-4514</v>
      </c>
      <c r="F11" s="11"/>
      <c r="G11" s="11"/>
      <c r="H11" s="11">
        <f t="shared" si="0"/>
        <v>326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0">
        <v>4.9800000000000004</v>
      </c>
      <c r="P11" s="44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-67767</v>
      </c>
      <c r="C12" s="11">
        <v>-52120</v>
      </c>
      <c r="D12" s="11"/>
      <c r="E12" s="11">
        <v>-14722</v>
      </c>
      <c r="F12" s="11"/>
      <c r="G12" s="11"/>
      <c r="H12" s="11">
        <f t="shared" si="0"/>
        <v>925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0">
        <v>4.87</v>
      </c>
      <c r="P12" s="44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-64994</v>
      </c>
      <c r="C13" s="11">
        <v>-56959</v>
      </c>
      <c r="D13" s="11"/>
      <c r="E13" s="129">
        <v>-7892</v>
      </c>
      <c r="F13" s="11"/>
      <c r="G13" s="11"/>
      <c r="H13" s="11">
        <f t="shared" si="0"/>
        <v>143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0">
        <v>3.82</v>
      </c>
      <c r="P13" s="44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-74555</v>
      </c>
      <c r="C14" s="11">
        <v>-64985</v>
      </c>
      <c r="D14" s="11"/>
      <c r="E14" s="11">
        <v>-9247</v>
      </c>
      <c r="F14" s="11"/>
      <c r="G14" s="11"/>
      <c r="H14" s="11">
        <f t="shared" si="0"/>
        <v>323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0">
        <v>3.2</v>
      </c>
      <c r="P14" s="44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-124326</v>
      </c>
      <c r="C15" s="11">
        <v>-70361</v>
      </c>
      <c r="D15" s="11">
        <v>-35856</v>
      </c>
      <c r="E15" s="11">
        <v>-88435</v>
      </c>
      <c r="F15" s="11"/>
      <c r="G15" s="11"/>
      <c r="H15" s="11">
        <f t="shared" si="0"/>
        <v>1386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0">
        <v>2.77</v>
      </c>
      <c r="P15" s="44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-95811</v>
      </c>
      <c r="C16" s="11">
        <v>-81732</v>
      </c>
      <c r="D16" s="11">
        <v>-1785</v>
      </c>
      <c r="E16" s="11">
        <v>-14393</v>
      </c>
      <c r="F16" s="11"/>
      <c r="G16" s="11"/>
      <c r="H16" s="11">
        <f t="shared" si="0"/>
        <v>1471</v>
      </c>
      <c r="I16" s="11"/>
      <c r="J16" s="102"/>
      <c r="K16" s="34"/>
      <c r="L16" s="119"/>
      <c r="M16" s="119"/>
      <c r="N16" s="119"/>
      <c r="O16" s="443"/>
      <c r="P16" s="444">
        <f>SUM(P9:P15)</f>
        <v>460835.37</v>
      </c>
      <c r="Q16" s="2"/>
    </row>
    <row r="17" spans="1:17" ht="13.5" thickTop="1" x14ac:dyDescent="0.2">
      <c r="A17" s="41">
        <v>14</v>
      </c>
      <c r="B17" s="11">
        <v>-90711</v>
      </c>
      <c r="C17" s="11">
        <v>-79809</v>
      </c>
      <c r="D17" s="11"/>
      <c r="E17" s="11">
        <v>-9781</v>
      </c>
      <c r="F17" s="11"/>
      <c r="G17" s="11"/>
      <c r="H17" s="11">
        <f t="shared" si="0"/>
        <v>1121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-96221</v>
      </c>
      <c r="C18" s="11">
        <v>-81732</v>
      </c>
      <c r="D18" s="11"/>
      <c r="E18" s="11">
        <v>-14393</v>
      </c>
      <c r="F18" s="11"/>
      <c r="G18" s="11"/>
      <c r="H18" s="11">
        <f t="shared" si="0"/>
        <v>96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-97644</v>
      </c>
      <c r="C19" s="11">
        <v>-42066</v>
      </c>
      <c r="D19" s="11"/>
      <c r="E19" s="11">
        <v>-57493</v>
      </c>
      <c r="F19" s="11"/>
      <c r="G19" s="11"/>
      <c r="H19" s="11">
        <f t="shared" si="0"/>
        <v>-1915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549">
        <v>-85821</v>
      </c>
      <c r="C20" s="11">
        <v>-61876</v>
      </c>
      <c r="D20" s="11"/>
      <c r="E20" s="11">
        <v>-21493</v>
      </c>
      <c r="F20" s="11"/>
      <c r="G20" s="11"/>
      <c r="H20" s="11">
        <f t="shared" si="0"/>
        <v>2452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-65478</v>
      </c>
      <c r="C21" s="11">
        <v>-48928</v>
      </c>
      <c r="D21" s="11"/>
      <c r="E21" s="11">
        <v>-16535</v>
      </c>
      <c r="F21" s="11"/>
      <c r="G21" s="11"/>
      <c r="H21" s="11">
        <f t="shared" si="0"/>
        <v>15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-90715</v>
      </c>
      <c r="C22" s="11">
        <v>-52065</v>
      </c>
      <c r="D22" s="11"/>
      <c r="E22" s="11">
        <v>-39935</v>
      </c>
      <c r="F22" s="11"/>
      <c r="G22" s="11"/>
      <c r="H22" s="11">
        <f t="shared" si="0"/>
        <v>-1285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-92606</v>
      </c>
      <c r="C23" s="11">
        <v>-66623</v>
      </c>
      <c r="D23" s="11"/>
      <c r="E23" s="11">
        <v>-28649</v>
      </c>
      <c r="F23" s="11"/>
      <c r="G23" s="11"/>
      <c r="H23" s="11">
        <f t="shared" si="0"/>
        <v>-2666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-93668</v>
      </c>
      <c r="C24" s="11">
        <v>-66623</v>
      </c>
      <c r="D24" s="11"/>
      <c r="E24" s="11">
        <v>-28599</v>
      </c>
      <c r="F24" s="11"/>
      <c r="G24" s="11"/>
      <c r="H24" s="11">
        <f t="shared" si="0"/>
        <v>-1554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-123241</v>
      </c>
      <c r="C25" s="11">
        <v>-66585</v>
      </c>
      <c r="D25" s="11"/>
      <c r="E25" s="11">
        <v>-58482</v>
      </c>
      <c r="F25" s="11"/>
      <c r="G25" s="11"/>
      <c r="H25" s="11">
        <f t="shared" si="0"/>
        <v>-1826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-96290</v>
      </c>
      <c r="C26" s="11">
        <v>-36521</v>
      </c>
      <c r="D26" s="11"/>
      <c r="E26" s="11">
        <v>-59935</v>
      </c>
      <c r="F26" s="11"/>
      <c r="G26" s="11"/>
      <c r="H26" s="11">
        <f t="shared" si="0"/>
        <v>-166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-54878</v>
      </c>
      <c r="C27" s="11">
        <v>-54026</v>
      </c>
      <c r="D27" s="11"/>
      <c r="E27" s="11">
        <v>26</v>
      </c>
      <c r="F27" s="11"/>
      <c r="G27" s="11"/>
      <c r="H27" s="11">
        <f t="shared" si="0"/>
        <v>878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-53176</v>
      </c>
      <c r="C28" s="11">
        <v>-31616</v>
      </c>
      <c r="D28" s="11"/>
      <c r="E28" s="11">
        <v>-22630</v>
      </c>
      <c r="F28" s="11"/>
      <c r="G28" s="11"/>
      <c r="H28" s="11">
        <f t="shared" si="0"/>
        <v>-1070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-83710</v>
      </c>
      <c r="C29" s="11">
        <v>-44612</v>
      </c>
      <c r="D29" s="11"/>
      <c r="E29" s="11">
        <v>-39935</v>
      </c>
      <c r="F29" s="11"/>
      <c r="G29" s="11"/>
      <c r="H29" s="11">
        <f t="shared" si="0"/>
        <v>-837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-120198</v>
      </c>
      <c r="C30" s="11">
        <v>-84860</v>
      </c>
      <c r="D30" s="11"/>
      <c r="E30" s="11">
        <v>-33000</v>
      </c>
      <c r="F30" s="11"/>
      <c r="G30" s="11"/>
      <c r="H30" s="11">
        <f t="shared" si="0"/>
        <v>2338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-116777</v>
      </c>
      <c r="C31" s="11">
        <v>-84860</v>
      </c>
      <c r="D31" s="129"/>
      <c r="E31" s="11">
        <v>-33000</v>
      </c>
      <c r="F31" s="11"/>
      <c r="G31" s="11"/>
      <c r="H31" s="11">
        <f t="shared" si="0"/>
        <v>-1083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-116013</v>
      </c>
      <c r="C32" s="11">
        <v>-84860</v>
      </c>
      <c r="D32" s="11"/>
      <c r="E32" s="11">
        <v>-33000</v>
      </c>
      <c r="F32" s="11"/>
      <c r="G32" s="11"/>
      <c r="H32" s="11">
        <f t="shared" si="0"/>
        <v>-1847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-2376654</v>
      </c>
      <c r="C35" s="44">
        <f t="shared" si="3"/>
        <v>-1616444</v>
      </c>
      <c r="D35" s="11">
        <f t="shared" si="3"/>
        <v>-37641</v>
      </c>
      <c r="E35" s="44">
        <f t="shared" si="3"/>
        <v>-801948</v>
      </c>
      <c r="F35" s="11">
        <f t="shared" si="3"/>
        <v>0</v>
      </c>
      <c r="G35" s="11">
        <f t="shared" si="3"/>
        <v>0</v>
      </c>
      <c r="H35" s="11">
        <f t="shared" si="3"/>
        <v>-4097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2.0699999999999998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-8480.7899999999991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37164</v>
      </c>
      <c r="F38" s="47"/>
      <c r="G38" s="48"/>
      <c r="H38" s="520">
        <v>448901.78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37193</v>
      </c>
      <c r="F39" s="47"/>
      <c r="G39" s="47"/>
      <c r="H39" s="137">
        <f>+H38+H37</f>
        <v>440420.99000000005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153</v>
      </c>
      <c r="F45" s="11"/>
      <c r="G45" s="11"/>
      <c r="H45" s="11"/>
      <c r="J45" s="102"/>
    </row>
    <row r="46" spans="1:14" x14ac:dyDescent="0.2">
      <c r="A46" s="101"/>
      <c r="B46" s="49">
        <f>+E38</f>
        <v>37164</v>
      </c>
      <c r="E46" s="519">
        <v>105384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37193</v>
      </c>
      <c r="E47" s="370">
        <f>+H35</f>
        <v>-4097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101287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B29" sqref="B29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-315175-750</f>
        <v>-315925</v>
      </c>
      <c r="E5" s="11">
        <v>-314073</v>
      </c>
      <c r="F5" s="11"/>
      <c r="G5" s="11"/>
      <c r="H5" s="24">
        <f>+E5-D5+C5-B5</f>
        <v>1852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f>-294010-750</f>
        <v>-294760</v>
      </c>
      <c r="E6" s="11">
        <v>-298958</v>
      </c>
      <c r="F6" s="11"/>
      <c r="G6" s="11"/>
      <c r="H6" s="24">
        <f t="shared" ref="H6:H35" si="0">+E6-D6+C6-B6</f>
        <v>-4198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1">
        <f>-282296-750</f>
        <v>-283046</v>
      </c>
      <c r="E7" s="129">
        <v>-284097</v>
      </c>
      <c r="F7" s="11"/>
      <c r="G7" s="11"/>
      <c r="H7" s="24">
        <f t="shared" si="0"/>
        <v>-1051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f>-250828-750</f>
        <v>-251578</v>
      </c>
      <c r="E8" s="129">
        <v>-255938</v>
      </c>
      <c r="F8" s="11"/>
      <c r="G8" s="11"/>
      <c r="H8" s="24">
        <f t="shared" si="0"/>
        <v>-4360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-288293-750</f>
        <v>-289043</v>
      </c>
      <c r="E9" s="11">
        <v>-289800</v>
      </c>
      <c r="F9" s="11"/>
      <c r="G9" s="11"/>
      <c r="H9" s="24">
        <f t="shared" si="0"/>
        <v>-757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-260814-750</f>
        <v>-261564</v>
      </c>
      <c r="E10" s="11">
        <v>-260721</v>
      </c>
      <c r="F10" s="11"/>
      <c r="G10" s="11"/>
      <c r="H10" s="24">
        <f t="shared" si="0"/>
        <v>843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-261652</v>
      </c>
      <c r="E11" s="11">
        <v>-259195</v>
      </c>
      <c r="F11" s="11"/>
      <c r="G11" s="11"/>
      <c r="H11" s="24">
        <f t="shared" si="0"/>
        <v>2457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-257738</v>
      </c>
      <c r="E12" s="11">
        <v>-257118</v>
      </c>
      <c r="F12" s="11"/>
      <c r="G12" s="11"/>
      <c r="H12" s="24">
        <f t="shared" si="0"/>
        <v>620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-249094</v>
      </c>
      <c r="E13" s="11">
        <v>-249056</v>
      </c>
      <c r="F13" s="11"/>
      <c r="G13" s="11"/>
      <c r="H13" s="24">
        <f t="shared" si="0"/>
        <v>38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-286166</v>
      </c>
      <c r="E14" s="11">
        <v>-286374</v>
      </c>
      <c r="F14" s="11"/>
      <c r="G14" s="11"/>
      <c r="H14" s="24">
        <f t="shared" si="0"/>
        <v>-208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-304074</v>
      </c>
      <c r="E15" s="11">
        <v>-298375</v>
      </c>
      <c r="F15" s="11"/>
      <c r="G15" s="11"/>
      <c r="H15" s="24">
        <f t="shared" si="0"/>
        <v>5699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-284854</v>
      </c>
      <c r="E16" s="11">
        <v>-286346</v>
      </c>
      <c r="F16" s="11"/>
      <c r="G16" s="11"/>
      <c r="H16" s="24">
        <f t="shared" si="0"/>
        <v>-1492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-306057</v>
      </c>
      <c r="E17" s="11">
        <v>-301491</v>
      </c>
      <c r="F17" s="11"/>
      <c r="G17" s="11"/>
      <c r="H17" s="24">
        <f t="shared" si="0"/>
        <v>4566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-270938</v>
      </c>
      <c r="E18" s="11">
        <v>-276611</v>
      </c>
      <c r="F18" s="11"/>
      <c r="G18" s="11"/>
      <c r="H18" s="24">
        <f t="shared" si="0"/>
        <v>-5673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-279982</v>
      </c>
      <c r="E19" s="11">
        <v>-283529</v>
      </c>
      <c r="F19" s="11"/>
      <c r="G19" s="11"/>
      <c r="H19" s="24">
        <f t="shared" si="0"/>
        <v>-3547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-289078</v>
      </c>
      <c r="E20" s="11">
        <v>-303866</v>
      </c>
      <c r="F20" s="11"/>
      <c r="G20" s="11"/>
      <c r="H20" s="24">
        <f t="shared" si="0"/>
        <v>-14788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-317537</v>
      </c>
      <c r="E21" s="11">
        <v>-324078</v>
      </c>
      <c r="F21" s="11"/>
      <c r="G21" s="11"/>
      <c r="H21" s="24">
        <f t="shared" si="0"/>
        <v>-6541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-308051</v>
      </c>
      <c r="E22" s="11">
        <v>-308149</v>
      </c>
      <c r="F22" s="11"/>
      <c r="G22" s="11"/>
      <c r="H22" s="24">
        <f t="shared" si="0"/>
        <v>-98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-278745</v>
      </c>
      <c r="E23" s="11">
        <v>-280752</v>
      </c>
      <c r="F23" s="11"/>
      <c r="G23" s="11"/>
      <c r="H23" s="24">
        <f t="shared" si="0"/>
        <v>-2007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548"/>
      <c r="C24" s="11"/>
      <c r="D24" s="548">
        <v>-260078</v>
      </c>
      <c r="E24" s="11">
        <v>-260078</v>
      </c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-271793</v>
      </c>
      <c r="E25" s="11">
        <v>-275038</v>
      </c>
      <c r="F25" s="11"/>
      <c r="G25" s="11"/>
      <c r="H25" s="24">
        <f t="shared" si="0"/>
        <v>-3245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-251381</v>
      </c>
      <c r="E26" s="11">
        <v>-248012</v>
      </c>
      <c r="F26" s="11"/>
      <c r="G26" s="11"/>
      <c r="H26" s="24">
        <f t="shared" si="0"/>
        <v>3369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-290668</v>
      </c>
      <c r="E27" s="11">
        <v>-289345</v>
      </c>
      <c r="F27" s="11"/>
      <c r="G27" s="11"/>
      <c r="H27" s="24">
        <f t="shared" si="0"/>
        <v>1323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-261673</v>
      </c>
      <c r="E28" s="11">
        <v>-260436</v>
      </c>
      <c r="F28" s="11"/>
      <c r="G28" s="11"/>
      <c r="H28" s="24">
        <f t="shared" si="0"/>
        <v>1237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-272811</v>
      </c>
      <c r="E29" s="11">
        <v>-272674</v>
      </c>
      <c r="F29" s="11"/>
      <c r="G29" s="11"/>
      <c r="H29" s="24">
        <f t="shared" si="0"/>
        <v>137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-308645</v>
      </c>
      <c r="E30" s="11">
        <v>-307332</v>
      </c>
      <c r="F30" s="11"/>
      <c r="G30" s="11"/>
      <c r="H30" s="24">
        <f t="shared" si="0"/>
        <v>1313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-253386</v>
      </c>
      <c r="E31" s="11">
        <v>-248915</v>
      </c>
      <c r="F31" s="11"/>
      <c r="G31" s="11"/>
      <c r="H31" s="24">
        <f t="shared" si="0"/>
        <v>4471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-255743</v>
      </c>
      <c r="E32" s="11">
        <v>-254931</v>
      </c>
      <c r="F32" s="11"/>
      <c r="G32" s="11"/>
      <c r="H32" s="24">
        <f t="shared" si="0"/>
        <v>812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-269464</v>
      </c>
      <c r="E33" s="11">
        <v>-269113</v>
      </c>
      <c r="F33" s="11"/>
      <c r="G33" s="11"/>
      <c r="H33" s="24">
        <f t="shared" si="0"/>
        <v>351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-8085524</v>
      </c>
      <c r="E36" s="11">
        <f t="shared" si="15"/>
        <v>-8104401</v>
      </c>
      <c r="F36" s="11">
        <f t="shared" si="15"/>
        <v>0</v>
      </c>
      <c r="G36" s="11">
        <f t="shared" si="15"/>
        <v>0</v>
      </c>
      <c r="H36" s="11">
        <f t="shared" si="15"/>
        <v>-18877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-18877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37164</v>
      </c>
      <c r="B38" s="2" t="s">
        <v>46</v>
      </c>
      <c r="C38" s="515">
        <v>64269</v>
      </c>
      <c r="D38" s="335"/>
      <c r="E38" s="516">
        <v>-75692</v>
      </c>
      <c r="F38" s="24"/>
      <c r="G38" s="24"/>
      <c r="H38" s="238">
        <f>+C38+E38+G38</f>
        <v>-11423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37193</v>
      </c>
      <c r="B39" s="2" t="s">
        <v>46</v>
      </c>
      <c r="C39" s="131">
        <f>+C38+C37</f>
        <v>64269</v>
      </c>
      <c r="D39" s="257"/>
      <c r="E39" s="131">
        <f>+E38+E37</f>
        <v>-94569</v>
      </c>
      <c r="F39" s="257"/>
      <c r="G39" s="131"/>
      <c r="H39" s="131">
        <f>+H38+H36</f>
        <v>-30300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5"/>
      <c r="E41" s="36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154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37164</v>
      </c>
      <c r="B44" s="32"/>
      <c r="C44" s="458">
        <v>-1583008</v>
      </c>
      <c r="D44" s="207"/>
      <c r="E44" s="459">
        <v>953705</v>
      </c>
      <c r="F44" s="47">
        <f>+E44+C44</f>
        <v>-629303</v>
      </c>
      <c r="G44" s="250"/>
      <c r="H44" s="403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37193</v>
      </c>
      <c r="B45" s="32"/>
      <c r="C45" s="47">
        <f>+C37*summary!H4</f>
        <v>0</v>
      </c>
      <c r="D45" s="207"/>
      <c r="E45" s="401">
        <f>+E37*summary!H3</f>
        <v>-37754</v>
      </c>
      <c r="F45" s="47">
        <f>+E45+C45</f>
        <v>-37754</v>
      </c>
      <c r="G45" s="250"/>
      <c r="H45" s="403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-1583008</v>
      </c>
      <c r="D46" s="207"/>
      <c r="E46" s="401">
        <v>925707</v>
      </c>
      <c r="F46" s="47">
        <f>+E46+C46</f>
        <v>-657301</v>
      </c>
      <c r="G46" s="250"/>
      <c r="H46" s="403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1"/>
      <c r="D47" s="401"/>
      <c r="E47" s="401"/>
      <c r="F47" s="47"/>
      <c r="G47" s="250"/>
      <c r="H47" s="403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27</vt:i4>
      </vt:variant>
    </vt:vector>
  </HeadingPairs>
  <TitlesOfParts>
    <vt:vector size="68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2001-10-31T01:44:53Z</cp:lastPrinted>
  <dcterms:created xsi:type="dcterms:W3CDTF">2000-03-28T16:52:23Z</dcterms:created>
  <dcterms:modified xsi:type="dcterms:W3CDTF">2023-09-16T20:10:12Z</dcterms:modified>
</cp:coreProperties>
</file>