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FEA817-3911-440C-95F5-765C78E1A965}" xr6:coauthVersionLast="47" xr6:coauthVersionMax="47" xr10:uidLastSave="{00000000-0000-0000-0000-000000000000}"/>
  <bookViews>
    <workbookView xWindow="-120" yWindow="-120" windowWidth="38640" windowHeight="15720" activeTab="1"/>
  </bookViews>
  <sheets>
    <sheet name="Aug 00" sheetId="1" r:id="rId1"/>
    <sheet name="Sep 00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6" i="1" l="1"/>
  <c r="D6" i="1"/>
  <c r="F6" i="1"/>
  <c r="H6" i="1"/>
  <c r="J6" i="1"/>
  <c r="L6" i="1"/>
  <c r="N6" i="1"/>
  <c r="P6" i="1"/>
  <c r="R6" i="1"/>
  <c r="T6" i="1"/>
  <c r="V6" i="1"/>
  <c r="X6" i="1"/>
  <c r="Z6" i="1"/>
  <c r="AB6" i="1"/>
  <c r="AD6" i="1"/>
  <c r="AF6" i="1"/>
  <c r="AH6" i="1"/>
  <c r="AJ6" i="1"/>
  <c r="AL6" i="1"/>
  <c r="AN6" i="1"/>
  <c r="AP6" i="1"/>
  <c r="AR6" i="1"/>
  <c r="AT6" i="1"/>
  <c r="AV6" i="1"/>
  <c r="AZ6" i="1"/>
  <c r="B8" i="1"/>
  <c r="D8" i="1"/>
  <c r="F8" i="1"/>
  <c r="H8" i="1"/>
  <c r="J8" i="1"/>
  <c r="L8" i="1"/>
  <c r="N8" i="1"/>
  <c r="P8" i="1"/>
  <c r="R8" i="1"/>
  <c r="T8" i="1"/>
  <c r="V8" i="1"/>
  <c r="X8" i="1"/>
  <c r="Z8" i="1"/>
  <c r="AB8" i="1"/>
  <c r="AD8" i="1"/>
  <c r="AF8" i="1"/>
  <c r="AH8" i="1"/>
  <c r="AJ8" i="1"/>
  <c r="AL8" i="1"/>
  <c r="AN8" i="1"/>
  <c r="AP8" i="1"/>
  <c r="AR8" i="1"/>
  <c r="AT8" i="1"/>
  <c r="AV8" i="1"/>
  <c r="AZ8" i="1"/>
  <c r="B10" i="1"/>
  <c r="D10" i="1"/>
  <c r="F10" i="1"/>
  <c r="H10" i="1"/>
  <c r="J10" i="1"/>
  <c r="L10" i="1"/>
  <c r="N10" i="1"/>
  <c r="P10" i="1"/>
  <c r="R10" i="1"/>
  <c r="T10" i="1"/>
  <c r="V10" i="1"/>
  <c r="X10" i="1"/>
  <c r="Z10" i="1"/>
  <c r="AB10" i="1"/>
  <c r="AD10" i="1"/>
  <c r="AF10" i="1"/>
  <c r="AH10" i="1"/>
  <c r="AJ10" i="1"/>
  <c r="AL10" i="1"/>
  <c r="AN10" i="1"/>
  <c r="AP10" i="1"/>
  <c r="AR10" i="1"/>
  <c r="AT10" i="1"/>
  <c r="AV10" i="1"/>
  <c r="AZ10" i="1"/>
  <c r="B12" i="1"/>
  <c r="D12" i="1"/>
  <c r="F12" i="1"/>
  <c r="H12" i="1"/>
  <c r="J12" i="1"/>
  <c r="L12" i="1"/>
  <c r="R12" i="1"/>
  <c r="V12" i="1"/>
  <c r="X12" i="1"/>
  <c r="Z12" i="1"/>
  <c r="AB12" i="1"/>
  <c r="AD12" i="1"/>
  <c r="AF12" i="1"/>
  <c r="AH12" i="1"/>
  <c r="AJ12" i="1"/>
  <c r="AL12" i="1"/>
  <c r="AN12" i="1"/>
  <c r="AP12" i="1"/>
  <c r="AR12" i="1"/>
  <c r="AT12" i="1"/>
  <c r="AV12" i="1"/>
  <c r="AZ12" i="1"/>
  <c r="B14" i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AR14" i="1"/>
  <c r="AT14" i="1"/>
  <c r="AV14" i="1"/>
  <c r="AZ14" i="1"/>
  <c r="B16" i="1"/>
  <c r="D16" i="1"/>
  <c r="F16" i="1"/>
  <c r="H16" i="1"/>
  <c r="J16" i="1"/>
  <c r="L16" i="1"/>
  <c r="N16" i="1"/>
  <c r="P16" i="1"/>
  <c r="R16" i="1"/>
  <c r="T16" i="1"/>
  <c r="V16" i="1"/>
  <c r="X16" i="1"/>
  <c r="Z16" i="1"/>
  <c r="AB16" i="1"/>
  <c r="AD16" i="1"/>
  <c r="AF16" i="1"/>
  <c r="AH16" i="1"/>
  <c r="AJ16" i="1"/>
  <c r="AL16" i="1"/>
  <c r="AN16" i="1"/>
  <c r="AP16" i="1"/>
  <c r="AR16" i="1"/>
  <c r="AT16" i="1"/>
  <c r="AV16" i="1"/>
  <c r="AX16" i="1"/>
  <c r="AZ16" i="1"/>
  <c r="AC4" i="2"/>
  <c r="C6" i="2"/>
  <c r="E6" i="2"/>
  <c r="G6" i="2"/>
  <c r="I6" i="2"/>
  <c r="K6" i="2"/>
  <c r="M6" i="2"/>
  <c r="O6" i="2"/>
  <c r="Q6" i="2"/>
  <c r="S6" i="2"/>
  <c r="U6" i="2"/>
  <c r="W6" i="2"/>
  <c r="Y6" i="2"/>
  <c r="AC6" i="2"/>
  <c r="C8" i="2"/>
  <c r="E8" i="2"/>
  <c r="G8" i="2"/>
  <c r="K8" i="2"/>
  <c r="S8" i="2"/>
  <c r="Y8" i="2"/>
  <c r="AC8" i="2"/>
  <c r="C10" i="2"/>
  <c r="E10" i="2"/>
  <c r="G10" i="2"/>
  <c r="I10" i="2"/>
  <c r="K10" i="2"/>
  <c r="M10" i="2"/>
  <c r="O10" i="2"/>
  <c r="Q10" i="2"/>
  <c r="S10" i="2"/>
  <c r="U10" i="2"/>
  <c r="W10" i="2"/>
  <c r="Y10" i="2"/>
  <c r="AC10" i="2"/>
  <c r="C12" i="2"/>
  <c r="E12" i="2"/>
  <c r="G12" i="2"/>
  <c r="I12" i="2"/>
  <c r="K12" i="2"/>
  <c r="M12" i="2"/>
  <c r="O12" i="2"/>
  <c r="Q12" i="2"/>
  <c r="S12" i="2"/>
  <c r="U12" i="2"/>
  <c r="W12" i="2"/>
  <c r="Y12" i="2"/>
  <c r="AC12" i="2"/>
  <c r="C14" i="2"/>
  <c r="E14" i="2"/>
  <c r="G14" i="2"/>
  <c r="K14" i="2"/>
  <c r="M14" i="2"/>
  <c r="O14" i="2"/>
  <c r="Q14" i="2"/>
  <c r="S14" i="2"/>
  <c r="U14" i="2"/>
  <c r="W14" i="2"/>
  <c r="Y14" i="2"/>
  <c r="AC14" i="2"/>
  <c r="C16" i="2"/>
  <c r="E16" i="2"/>
  <c r="G16" i="2"/>
  <c r="I16" i="2"/>
  <c r="K16" i="2"/>
  <c r="M16" i="2"/>
  <c r="O16" i="2"/>
  <c r="Q16" i="2"/>
  <c r="S16" i="2"/>
  <c r="U16" i="2"/>
  <c r="W16" i="2"/>
  <c r="Y16" i="2"/>
  <c r="AA16" i="2"/>
  <c r="AC16" i="2"/>
</calcChain>
</file>

<file path=xl/sharedStrings.xml><?xml version="1.0" encoding="utf-8"?>
<sst xmlns="http://schemas.openxmlformats.org/spreadsheetml/2006/main" count="22" uniqueCount="12">
  <si>
    <t>Allen</t>
  </si>
  <si>
    <t>South</t>
  </si>
  <si>
    <t>Tholt</t>
  </si>
  <si>
    <t>Lenhart</t>
  </si>
  <si>
    <t>Kuykendall</t>
  </si>
  <si>
    <t>MTD</t>
  </si>
  <si>
    <t xml:space="preserve">YTD </t>
  </si>
  <si>
    <t>(as of 7/31)</t>
  </si>
  <si>
    <t>YTD</t>
  </si>
  <si>
    <t>Total</t>
  </si>
  <si>
    <t>(as of 8/31)</t>
  </si>
  <si>
    <t>this is last day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</si>
</sst>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1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1" applyNumberFormat="1" applyFont="1" applyBorder="1"/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BA26"/>
  <sheetViews>
    <sheetView topLeftCell="AP1" workbookViewId="0">
      <selection activeCell="AZ6" sqref="AZ6"/>
    </sheetView>
  </sheetViews>
  <sheetFormatPr defaultRowHeight="12.75" x14ac:dyDescent="0.2"/>
  <cols>
    <col min="1" max="1" width="10.140625" bestFit="1" customWidth="1"/>
    <col min="2" max="2" width="11.28515625" bestFit="1" customWidth="1"/>
    <col min="3" max="3" width="2" customWidth="1"/>
    <col min="4" max="4" width="10.28515625" bestFit="1" customWidth="1"/>
    <col min="5" max="5" width="0.7109375" customWidth="1"/>
    <col min="6" max="6" width="10.28515625" customWidth="1"/>
    <col min="7" max="7" width="0.85546875" customWidth="1"/>
    <col min="8" max="8" width="10.28515625" customWidth="1"/>
    <col min="9" max="9" width="0.85546875" customWidth="1"/>
    <col min="10" max="10" width="10.28515625" customWidth="1"/>
    <col min="11" max="11" width="0.85546875" customWidth="1"/>
    <col min="12" max="12" width="11.42578125" customWidth="1"/>
    <col min="13" max="13" width="1" customWidth="1"/>
    <col min="14" max="14" width="11.42578125" customWidth="1"/>
    <col min="15" max="15" width="1" customWidth="1"/>
    <col min="16" max="16" width="12.28515625" customWidth="1"/>
    <col min="17" max="17" width="1" customWidth="1"/>
    <col min="18" max="18" width="12.28515625" customWidth="1"/>
    <col min="19" max="19" width="0.85546875" customWidth="1"/>
    <col min="20" max="20" width="12.28515625" customWidth="1"/>
    <col min="21" max="21" width="0.85546875" customWidth="1"/>
    <col min="22" max="22" width="12.28515625" customWidth="1"/>
    <col min="23" max="23" width="0.85546875" customWidth="1"/>
    <col min="24" max="24" width="12.28515625" customWidth="1"/>
    <col min="25" max="25" width="0.7109375" customWidth="1"/>
    <col min="26" max="26" width="12.28515625" customWidth="1"/>
    <col min="27" max="27" width="0.7109375" customWidth="1"/>
    <col min="28" max="28" width="12.28515625" customWidth="1"/>
    <col min="29" max="29" width="0.85546875" customWidth="1"/>
    <col min="30" max="30" width="13.140625" customWidth="1"/>
    <col min="31" max="31" width="0.7109375" customWidth="1"/>
    <col min="32" max="32" width="13.7109375" customWidth="1"/>
    <col min="33" max="33" width="0.42578125" customWidth="1"/>
    <col min="34" max="34" width="13.7109375" customWidth="1"/>
    <col min="35" max="35" width="0.42578125" customWidth="1"/>
    <col min="36" max="36" width="13.7109375" customWidth="1"/>
    <col min="37" max="37" width="0.5703125" customWidth="1"/>
    <col min="38" max="38" width="13.7109375" customWidth="1"/>
    <col min="39" max="39" width="0.5703125" customWidth="1"/>
    <col min="40" max="40" width="13.7109375" customWidth="1"/>
    <col min="41" max="41" width="0.5703125" customWidth="1"/>
    <col min="42" max="42" width="13.7109375" customWidth="1"/>
    <col min="43" max="43" width="0.5703125" customWidth="1"/>
    <col min="44" max="44" width="13.7109375" customWidth="1"/>
    <col min="45" max="45" width="0.7109375" customWidth="1"/>
    <col min="46" max="46" width="13.7109375" customWidth="1"/>
    <col min="47" max="47" width="0.5703125" customWidth="1"/>
    <col min="48" max="48" width="11.85546875" bestFit="1" customWidth="1"/>
    <col min="49" max="49" width="1" customWidth="1"/>
    <col min="50" max="50" width="12.5703125" customWidth="1"/>
    <col min="51" max="51" width="1.42578125" customWidth="1"/>
    <col min="52" max="52" width="12.85546875" customWidth="1"/>
  </cols>
  <sheetData>
    <row r="3" spans="1:53" x14ac:dyDescent="0.2">
      <c r="B3" s="6">
        <v>36739</v>
      </c>
      <c r="C3" s="7"/>
      <c r="D3" s="6">
        <v>36740</v>
      </c>
      <c r="E3" s="6"/>
      <c r="F3" s="6">
        <v>36741</v>
      </c>
      <c r="G3" s="6"/>
      <c r="H3" s="6">
        <v>36742</v>
      </c>
      <c r="I3" s="6"/>
      <c r="J3" s="6">
        <v>36745</v>
      </c>
      <c r="K3" s="6"/>
      <c r="L3" s="6">
        <v>36746</v>
      </c>
      <c r="M3" s="6"/>
      <c r="N3" s="6">
        <v>36747</v>
      </c>
      <c r="O3" s="6"/>
      <c r="P3" s="6">
        <v>36748</v>
      </c>
      <c r="Q3" s="6"/>
      <c r="R3" s="6">
        <v>36749</v>
      </c>
      <c r="S3" s="6"/>
      <c r="T3" s="6">
        <v>36752</v>
      </c>
      <c r="U3" s="6"/>
      <c r="V3" s="6">
        <v>36753</v>
      </c>
      <c r="W3" s="6"/>
      <c r="X3" s="6">
        <v>36754</v>
      </c>
      <c r="Y3" s="6"/>
      <c r="Z3" s="6">
        <v>36755</v>
      </c>
      <c r="AA3" s="6"/>
      <c r="AB3" s="6">
        <v>36756</v>
      </c>
      <c r="AC3" s="6"/>
      <c r="AD3" s="6">
        <v>36759</v>
      </c>
      <c r="AE3" s="6"/>
      <c r="AF3" s="6">
        <v>36760</v>
      </c>
      <c r="AG3" s="6"/>
      <c r="AH3" s="6">
        <v>36761</v>
      </c>
      <c r="AI3" s="6"/>
      <c r="AJ3" s="6">
        <v>36762</v>
      </c>
      <c r="AK3" s="6"/>
      <c r="AL3" s="6">
        <v>36763</v>
      </c>
      <c r="AM3" s="6"/>
      <c r="AN3" s="6">
        <v>36766</v>
      </c>
      <c r="AO3" s="6"/>
      <c r="AP3" s="6">
        <v>36767</v>
      </c>
      <c r="AQ3" s="6"/>
      <c r="AR3" s="6">
        <v>36768</v>
      </c>
      <c r="AS3" s="6"/>
      <c r="AT3" s="6">
        <v>36769</v>
      </c>
      <c r="AU3" s="8"/>
      <c r="AV3" s="7" t="s">
        <v>5</v>
      </c>
      <c r="AW3" s="8"/>
      <c r="AX3" s="7" t="s">
        <v>6</v>
      </c>
      <c r="AY3" s="8"/>
      <c r="AZ3" s="7" t="s">
        <v>8</v>
      </c>
    </row>
    <row r="4" spans="1:53" x14ac:dyDescent="0.2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7" t="s">
        <v>7</v>
      </c>
      <c r="AY4" s="8"/>
      <c r="AZ4" s="7" t="s">
        <v>10</v>
      </c>
    </row>
    <row r="5" spans="1:53" x14ac:dyDescent="0.2">
      <c r="AX5" s="3"/>
    </row>
    <row r="6" spans="1:53" x14ac:dyDescent="0.2">
      <c r="A6" s="8" t="s">
        <v>0</v>
      </c>
      <c r="B6" s="1">
        <f>1878061-1766880+162933</f>
        <v>274114</v>
      </c>
      <c r="D6" s="1">
        <f>2750298+4365187-8288</f>
        <v>7107197</v>
      </c>
      <c r="E6" s="1"/>
      <c r="F6" s="1">
        <f>390644+2471966-29475</f>
        <v>2833135</v>
      </c>
      <c r="G6" s="1"/>
      <c r="H6" s="1">
        <f>128885+970289-30075</f>
        <v>1069099</v>
      </c>
      <c r="I6" s="1"/>
      <c r="J6" s="1">
        <f>383031+3167018-9050</f>
        <v>3540999</v>
      </c>
      <c r="K6" s="1"/>
      <c r="L6" s="1">
        <f>280855+895829-17100</f>
        <v>1159584</v>
      </c>
      <c r="M6" s="1"/>
      <c r="N6" s="1">
        <f>-53656+644920-23025</f>
        <v>568239</v>
      </c>
      <c r="O6" s="1"/>
      <c r="P6" s="1">
        <f>328239+941659+43113</f>
        <v>1313011</v>
      </c>
      <c r="Q6" s="1"/>
      <c r="R6" s="1">
        <f>46724+6305614-1888</f>
        <v>6350450</v>
      </c>
      <c r="S6" s="1"/>
      <c r="T6" s="1">
        <f>-726238+20406+8950</f>
        <v>-696882</v>
      </c>
      <c r="U6" s="1"/>
      <c r="V6" s="1">
        <f>-390778-1754437-3275</f>
        <v>-2148490</v>
      </c>
      <c r="W6" s="1"/>
      <c r="X6" s="1">
        <f>1008039-4479352-28038</f>
        <v>-3499351</v>
      </c>
      <c r="Y6" s="1"/>
      <c r="Z6" s="1">
        <f>191520-3192306+17100</f>
        <v>-2983686</v>
      </c>
      <c r="AA6" s="1"/>
      <c r="AB6" s="1">
        <f>618767+2505566+16093</f>
        <v>3140426</v>
      </c>
      <c r="AC6" s="1"/>
      <c r="AD6" s="1">
        <f>3863706+9258288+227137</f>
        <v>13349131</v>
      </c>
      <c r="AE6" s="1"/>
      <c r="AF6" s="1">
        <f>-52616758+12099401-76127</f>
        <v>-40593484</v>
      </c>
      <c r="AG6" s="1"/>
      <c r="AH6" s="1">
        <f>-2336890+6552087-88161</f>
        <v>4127036</v>
      </c>
      <c r="AI6" s="1"/>
      <c r="AJ6" s="1">
        <f>-208005+21613033+3651</f>
        <v>21408679</v>
      </c>
      <c r="AK6" s="1"/>
      <c r="AL6" s="1">
        <f>-25182925+28947239+206499</f>
        <v>3970813</v>
      </c>
      <c r="AM6" s="1"/>
      <c r="AN6" s="1">
        <f>191322+15672414+14059</f>
        <v>15877795</v>
      </c>
      <c r="AO6" s="1"/>
      <c r="AP6" s="1">
        <f>-303426-393646-41408</f>
        <v>-738480</v>
      </c>
      <c r="AQ6" s="1"/>
      <c r="AR6" s="1">
        <f>-38929983-19153838-3754565</f>
        <v>-61838386</v>
      </c>
      <c r="AS6" s="1"/>
      <c r="AT6" s="1">
        <f>-176684+5593278+1430860</f>
        <v>6847454</v>
      </c>
      <c r="AV6" s="2">
        <f>SUM(B6:AT6)</f>
        <v>-19561597</v>
      </c>
      <c r="AX6" s="1">
        <v>54162933</v>
      </c>
      <c r="AY6" s="1"/>
      <c r="AZ6" s="1">
        <f>AX6+AV6</f>
        <v>34601336</v>
      </c>
      <c r="BA6" s="1"/>
    </row>
    <row r="7" spans="1:53" x14ac:dyDescent="0.2">
      <c r="A7" s="8"/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X7" s="1"/>
      <c r="AY7" s="1"/>
      <c r="AZ7" s="1"/>
      <c r="BA7" s="1"/>
    </row>
    <row r="8" spans="1:53" x14ac:dyDescent="0.2">
      <c r="A8" s="8" t="s">
        <v>1</v>
      </c>
      <c r="B8" s="1">
        <f>236564-25880</f>
        <v>210684</v>
      </c>
      <c r="D8" s="1">
        <f>504908-4226</f>
        <v>500682</v>
      </c>
      <c r="E8" s="1"/>
      <c r="F8" s="1">
        <f>-19465-28496</f>
        <v>-47961</v>
      </c>
      <c r="G8" s="1"/>
      <c r="H8" s="1">
        <f>-10776-4720</f>
        <v>-15496</v>
      </c>
      <c r="I8" s="1"/>
      <c r="J8" s="1">
        <f>485446-23350</f>
        <v>462096</v>
      </c>
      <c r="K8" s="1"/>
      <c r="L8" s="1">
        <f>-73760+50003</f>
        <v>-23757</v>
      </c>
      <c r="M8" s="1"/>
      <c r="N8" s="1">
        <f>255728-11736</f>
        <v>243992</v>
      </c>
      <c r="O8" s="1"/>
      <c r="P8" s="1">
        <f>87330+20579</f>
        <v>107909</v>
      </c>
      <c r="Q8" s="1"/>
      <c r="R8" s="1">
        <f>707125-33420</f>
        <v>673705</v>
      </c>
      <c r="S8" s="1"/>
      <c r="T8" s="1">
        <f>-133364+34869</f>
        <v>-98495</v>
      </c>
      <c r="U8" s="1"/>
      <c r="V8" s="1">
        <f>-137177-47354</f>
        <v>-184531</v>
      </c>
      <c r="W8" s="1"/>
      <c r="X8" s="1">
        <f>-478734-8414</f>
        <v>-487148</v>
      </c>
      <c r="Y8" s="1"/>
      <c r="Z8" s="1">
        <f>-169657+29632</f>
        <v>-140025</v>
      </c>
      <c r="AA8" s="1"/>
      <c r="AB8" s="1">
        <f>-28562-9691</f>
        <v>-38253</v>
      </c>
      <c r="AC8" s="1"/>
      <c r="AD8" s="1">
        <f>307069-38736</f>
        <v>268333</v>
      </c>
      <c r="AE8" s="1"/>
      <c r="AF8" s="1">
        <f>618605+16836</f>
        <v>635441</v>
      </c>
      <c r="AG8" s="1"/>
      <c r="AH8" s="1">
        <f>80379-4980</f>
        <v>75399</v>
      </c>
      <c r="AI8" s="1"/>
      <c r="AJ8" s="1">
        <f>658799-7951</f>
        <v>650848</v>
      </c>
      <c r="AK8" s="1"/>
      <c r="AL8" s="1">
        <f>1456995-27861</f>
        <v>1429134</v>
      </c>
      <c r="AM8" s="1"/>
      <c r="AN8" s="1">
        <f>363691-8344</f>
        <v>355347</v>
      </c>
      <c r="AO8" s="1"/>
      <c r="AP8" s="1">
        <f>-325643-4605</f>
        <v>-330248</v>
      </c>
      <c r="AQ8" s="1"/>
      <c r="AR8" s="1">
        <f>-1662424+3024</f>
        <v>-1659400</v>
      </c>
      <c r="AS8" s="1"/>
      <c r="AT8" s="1">
        <f>274128-3010</f>
        <v>271118</v>
      </c>
      <c r="AV8" s="2">
        <f>SUM(B8:AT8)</f>
        <v>2859374</v>
      </c>
      <c r="AX8" s="1">
        <v>2404073</v>
      </c>
      <c r="AY8" s="1"/>
      <c r="AZ8" s="1">
        <f>AX8+AV8</f>
        <v>5263447</v>
      </c>
      <c r="BA8" s="1"/>
    </row>
    <row r="9" spans="1:53" x14ac:dyDescent="0.2">
      <c r="A9" s="8"/>
      <c r="B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X9" s="1"/>
      <c r="AY9" s="1"/>
      <c r="AZ9" s="1"/>
      <c r="BA9" s="1"/>
    </row>
    <row r="10" spans="1:53" x14ac:dyDescent="0.2">
      <c r="A10" s="8" t="s">
        <v>2</v>
      </c>
      <c r="B10" s="1">
        <f>-7171+579731-20726</f>
        <v>551834</v>
      </c>
      <c r="D10" s="1">
        <f>46246+924847+236</f>
        <v>971329</v>
      </c>
      <c r="E10" s="1"/>
      <c r="F10" s="1">
        <f>-165792+355</f>
        <v>-165437</v>
      </c>
      <c r="G10" s="1"/>
      <c r="H10" s="1">
        <f>-4477+205798-2434</f>
        <v>198887</v>
      </c>
      <c r="I10" s="1"/>
      <c r="J10" s="1">
        <f>1020449+6742</f>
        <v>1027191</v>
      </c>
      <c r="K10" s="1"/>
      <c r="L10" s="1">
        <f>-39199+7867</f>
        <v>-31332</v>
      </c>
      <c r="M10" s="1"/>
      <c r="N10" s="1">
        <f>334596+2265</f>
        <v>336861</v>
      </c>
      <c r="O10" s="1"/>
      <c r="P10" s="1">
        <f>396889+7243</f>
        <v>404132</v>
      </c>
      <c r="Q10" s="1"/>
      <c r="R10" s="1">
        <f>1270576+323</f>
        <v>1270899</v>
      </c>
      <c r="S10" s="1"/>
      <c r="T10" s="1">
        <f>38200-6273-94289</f>
        <v>-62362</v>
      </c>
      <c r="U10" s="1"/>
      <c r="V10" s="1">
        <f>-5981-193070-35</f>
        <v>-199086</v>
      </c>
      <c r="W10" s="1"/>
      <c r="X10" s="1">
        <f>-664175-28770</f>
        <v>-692945</v>
      </c>
      <c r="Y10" s="1"/>
      <c r="Z10" s="1">
        <f>-902616-16837</f>
        <v>-919453</v>
      </c>
      <c r="AA10" s="1"/>
      <c r="AB10" s="1">
        <f>-113617-4059</f>
        <v>-117676</v>
      </c>
      <c r="AC10" s="1"/>
      <c r="AD10" s="1">
        <f>566596-9946</f>
        <v>556650</v>
      </c>
      <c r="AE10" s="1"/>
      <c r="AF10" s="1">
        <f>2995+1821999+148</f>
        <v>1825142</v>
      </c>
      <c r="AG10" s="1"/>
      <c r="AH10" s="1">
        <f>-5241+210772+105</f>
        <v>205636</v>
      </c>
      <c r="AI10" s="1"/>
      <c r="AJ10" s="1">
        <f>2036018+22</f>
        <v>2036040</v>
      </c>
      <c r="AK10" s="1"/>
      <c r="AL10" s="1">
        <f>1905399-24563</f>
        <v>1880836</v>
      </c>
      <c r="AM10" s="1"/>
      <c r="AN10" s="1">
        <f>-16488+1278958+65</f>
        <v>1262535</v>
      </c>
      <c r="AO10" s="1"/>
      <c r="AP10" s="1">
        <f>-100153+1537</f>
        <v>-98616</v>
      </c>
      <c r="AQ10" s="1"/>
      <c r="AR10" s="1">
        <f>-9747-2289932-477744</f>
        <v>-2777423</v>
      </c>
      <c r="AS10" s="1"/>
      <c r="AT10" s="1">
        <f>-1557+1423143+127005</f>
        <v>1548591</v>
      </c>
      <c r="AV10" s="2">
        <f>SUM(B10:AT10)</f>
        <v>9012233</v>
      </c>
      <c r="AX10" s="1">
        <v>4797129</v>
      </c>
      <c r="AY10" s="1"/>
      <c r="AZ10" s="1">
        <f>AX10+AV10</f>
        <v>13809362</v>
      </c>
      <c r="BA10" s="1"/>
    </row>
    <row r="11" spans="1:53" x14ac:dyDescent="0.2">
      <c r="A11" s="8"/>
      <c r="B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X11" s="1"/>
      <c r="AY11" s="1"/>
      <c r="AZ11" s="1"/>
      <c r="BA11" s="1"/>
    </row>
    <row r="12" spans="1:53" x14ac:dyDescent="0.2">
      <c r="A12" s="8" t="s">
        <v>3</v>
      </c>
      <c r="B12" s="1">
        <f>79647-141431</f>
        <v>-61784</v>
      </c>
      <c r="D12" s="1">
        <f>51007+63398</f>
        <v>114405</v>
      </c>
      <c r="E12" s="1"/>
      <c r="F12" s="1">
        <f>21482+59306</f>
        <v>80788</v>
      </c>
      <c r="G12" s="1"/>
      <c r="H12" s="1">
        <f>37900+24619</f>
        <v>62519</v>
      </c>
      <c r="I12" s="1"/>
      <c r="J12" s="1">
        <f>15213+110824</f>
        <v>126037</v>
      </c>
      <c r="K12" s="1"/>
      <c r="L12" s="1">
        <f>27476+57865</f>
        <v>85341</v>
      </c>
      <c r="M12" s="1"/>
      <c r="N12" s="1">
        <v>-3734</v>
      </c>
      <c r="O12" s="1"/>
      <c r="P12" s="1">
        <v>19418</v>
      </c>
      <c r="Q12" s="1"/>
      <c r="R12" s="1">
        <f>14943+47065</f>
        <v>62008</v>
      </c>
      <c r="S12" s="1"/>
      <c r="T12" s="1">
        <v>-7831</v>
      </c>
      <c r="U12" s="1"/>
      <c r="V12" s="1">
        <f>-37975-65034</f>
        <v>-103009</v>
      </c>
      <c r="W12" s="1"/>
      <c r="X12" s="1">
        <f>-48594</f>
        <v>-48594</v>
      </c>
      <c r="Y12" s="1"/>
      <c r="Z12" s="1">
        <f>-38295-1495</f>
        <v>-39790</v>
      </c>
      <c r="AA12" s="1"/>
      <c r="AB12" s="1">
        <f>12116+38145</f>
        <v>50261</v>
      </c>
      <c r="AC12" s="1"/>
      <c r="AD12" s="1">
        <f>11227+237144</f>
        <v>248371</v>
      </c>
      <c r="AE12" s="1"/>
      <c r="AF12" s="1">
        <f>-16470+246256</f>
        <v>229786</v>
      </c>
      <c r="AG12" s="1"/>
      <c r="AH12" s="1">
        <f>36681+63636</f>
        <v>100317</v>
      </c>
      <c r="AI12" s="1"/>
      <c r="AJ12" s="1">
        <f>8987+215626</f>
        <v>224613</v>
      </c>
      <c r="AK12" s="1"/>
      <c r="AL12" s="1">
        <f>52723+1795645</f>
        <v>1848368</v>
      </c>
      <c r="AM12" s="1"/>
      <c r="AN12" s="1">
        <f>62636+444273</f>
        <v>506909</v>
      </c>
      <c r="AO12" s="1"/>
      <c r="AP12" s="1">
        <f>-20085-53508</f>
        <v>-73593</v>
      </c>
      <c r="AQ12" s="1"/>
      <c r="AR12" s="1">
        <f>113104-593513</f>
        <v>-480409</v>
      </c>
      <c r="AS12" s="1"/>
      <c r="AT12" s="1">
        <f>-34830+124822</f>
        <v>89992</v>
      </c>
      <c r="AV12" s="2">
        <f>SUM(B12:AT12)</f>
        <v>3030389</v>
      </c>
      <c r="AX12" s="1">
        <v>140870</v>
      </c>
      <c r="AY12" s="1"/>
      <c r="AZ12" s="1">
        <f>AX12+AV12</f>
        <v>3171259</v>
      </c>
      <c r="BA12" s="1"/>
    </row>
    <row r="13" spans="1:53" x14ac:dyDescent="0.2">
      <c r="A13" s="8"/>
      <c r="B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V13" s="2"/>
      <c r="AX13" s="1"/>
      <c r="AY13" s="1"/>
      <c r="AZ13" s="1"/>
      <c r="BA13" s="1"/>
    </row>
    <row r="14" spans="1:53" x14ac:dyDescent="0.2">
      <c r="A14" s="8" t="s">
        <v>4</v>
      </c>
      <c r="B14" s="1">
        <f>-7933+28570</f>
        <v>20637</v>
      </c>
      <c r="D14" s="1">
        <f>80389+7325</f>
        <v>87714</v>
      </c>
      <c r="E14" s="1"/>
      <c r="F14" s="1">
        <f>30774+11000</f>
        <v>41774</v>
      </c>
      <c r="G14" s="1"/>
      <c r="H14" s="1">
        <f>-8954+12823-1050</f>
        <v>2819</v>
      </c>
      <c r="I14" s="1"/>
      <c r="J14" s="1">
        <f>240886-250</f>
        <v>240636</v>
      </c>
      <c r="K14" s="1"/>
      <c r="L14" s="1">
        <f>34067+1300</f>
        <v>35367</v>
      </c>
      <c r="M14" s="1"/>
      <c r="N14" s="1">
        <f>55730-6500</f>
        <v>49230</v>
      </c>
      <c r="O14" s="1"/>
      <c r="P14" s="1">
        <f>57998+7525</f>
        <v>65523</v>
      </c>
      <c r="Q14" s="1"/>
      <c r="R14" s="1">
        <f>166905-2375</f>
        <v>164530</v>
      </c>
      <c r="S14" s="1"/>
      <c r="T14" s="1">
        <f>2507-5350</f>
        <v>-2843</v>
      </c>
      <c r="U14" s="1"/>
      <c r="V14" s="1">
        <f>-117873-1100</f>
        <v>-118973</v>
      </c>
      <c r="W14" s="1"/>
      <c r="X14" s="1">
        <f>-26614+11775</f>
        <v>-14839</v>
      </c>
      <c r="Y14" s="1"/>
      <c r="Z14" s="1">
        <f>-107905+3250</f>
        <v>-104655</v>
      </c>
      <c r="AA14" s="1"/>
      <c r="AB14" s="1">
        <f>132963+1275</f>
        <v>134238</v>
      </c>
      <c r="AC14" s="1"/>
      <c r="AD14" s="1">
        <f>548472+28025</f>
        <v>576497</v>
      </c>
      <c r="AE14" s="1"/>
      <c r="AF14" s="1">
        <f>1496885+4600</f>
        <v>1501485</v>
      </c>
      <c r="AG14" s="1"/>
      <c r="AH14" s="1">
        <f>-7488+157050+3250</f>
        <v>152812</v>
      </c>
      <c r="AI14" s="1"/>
      <c r="AJ14" s="1">
        <f>1900456+675</f>
        <v>1901131</v>
      </c>
      <c r="AK14" s="1"/>
      <c r="AL14" s="1">
        <f>2282279+28050</f>
        <v>2310329</v>
      </c>
      <c r="AM14" s="1"/>
      <c r="AN14" s="1">
        <f>838313+2025</f>
        <v>840338</v>
      </c>
      <c r="AO14" s="1"/>
      <c r="AP14" s="1">
        <f>-139800+1175</f>
        <v>-138625</v>
      </c>
      <c r="AQ14" s="1"/>
      <c r="AR14" s="1">
        <f>-8541-3287483-6175</f>
        <v>-3302199</v>
      </c>
      <c r="AS14" s="1"/>
      <c r="AT14" s="1">
        <f>-115+705338-400</f>
        <v>704823</v>
      </c>
      <c r="AV14" s="2">
        <f>SUM(B14:AT14)</f>
        <v>5147749</v>
      </c>
      <c r="AX14" s="1">
        <v>534744</v>
      </c>
      <c r="AY14" s="1"/>
      <c r="AZ14" s="1">
        <f>AX14+AV14</f>
        <v>5682493</v>
      </c>
      <c r="BA14" s="1"/>
    </row>
    <row r="15" spans="1:53" x14ac:dyDescent="0.2">
      <c r="A15" s="8"/>
      <c r="B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V15" s="2"/>
      <c r="AX15" s="1"/>
      <c r="AY15" s="1"/>
      <c r="AZ15" s="1"/>
      <c r="BA15" s="1"/>
    </row>
    <row r="16" spans="1:53" ht="13.5" thickBot="1" x14ac:dyDescent="0.25">
      <c r="A16" s="8" t="s">
        <v>9</v>
      </c>
      <c r="B16" s="4">
        <f>SUM(B6:B15)</f>
        <v>995485</v>
      </c>
      <c r="D16" s="4">
        <f>SUM(D6:D14)</f>
        <v>8781327</v>
      </c>
      <c r="E16" s="9"/>
      <c r="F16" s="4">
        <f>SUM(F6:F14)</f>
        <v>2742299</v>
      </c>
      <c r="G16" s="9"/>
      <c r="H16" s="4">
        <f>SUM(H6:H14)</f>
        <v>1317828</v>
      </c>
      <c r="I16" s="9"/>
      <c r="J16" s="4">
        <f>SUM(J6:J14)</f>
        <v>5396959</v>
      </c>
      <c r="K16" s="9"/>
      <c r="L16" s="4">
        <f>SUM(L6:L14)</f>
        <v>1225203</v>
      </c>
      <c r="M16" s="9"/>
      <c r="N16" s="4">
        <f>SUM(N6:N14)</f>
        <v>1194588</v>
      </c>
      <c r="O16" s="9"/>
      <c r="P16" s="4">
        <f>SUM(P6:P14)</f>
        <v>1909993</v>
      </c>
      <c r="Q16" s="9"/>
      <c r="R16" s="4">
        <f>SUM(R6:R14)</f>
        <v>8521592</v>
      </c>
      <c r="S16" s="9"/>
      <c r="T16" s="4">
        <f>SUM(T6:T14)</f>
        <v>-868413</v>
      </c>
      <c r="U16" s="9"/>
      <c r="V16" s="4">
        <f>SUM(V6:V14)</f>
        <v>-2754089</v>
      </c>
      <c r="W16" s="9"/>
      <c r="X16" s="4">
        <f>SUM(X6:X14)</f>
        <v>-4742877</v>
      </c>
      <c r="Y16" s="9"/>
      <c r="Z16" s="4">
        <f>SUM(Z6:Z14)</f>
        <v>-4187609</v>
      </c>
      <c r="AA16" s="9"/>
      <c r="AB16" s="4">
        <f>SUM(AB6:AB14)</f>
        <v>3168996</v>
      </c>
      <c r="AC16" s="9"/>
      <c r="AD16" s="4">
        <f>SUM(AD6:AD14)</f>
        <v>14998982</v>
      </c>
      <c r="AE16" s="9"/>
      <c r="AF16" s="4">
        <f>SUM(AF6:AF14)</f>
        <v>-36401630</v>
      </c>
      <c r="AG16" s="9"/>
      <c r="AH16" s="4">
        <f>SUM(AH6:AH14)</f>
        <v>4661200</v>
      </c>
      <c r="AI16" s="9"/>
      <c r="AJ16" s="4">
        <f>SUM(AJ6:AJ14)</f>
        <v>26221311</v>
      </c>
      <c r="AK16" s="9"/>
      <c r="AL16" s="4">
        <f>SUM(AL6:AL14)</f>
        <v>11439480</v>
      </c>
      <c r="AM16" s="9"/>
      <c r="AN16" s="4">
        <f>SUM(AN6:AN14)</f>
        <v>18842924</v>
      </c>
      <c r="AO16" s="9"/>
      <c r="AP16" s="4">
        <f>SUM(AP6:AP14)</f>
        <v>-1379562</v>
      </c>
      <c r="AQ16" s="9"/>
      <c r="AR16" s="4">
        <f>SUM(AR6:AR14)</f>
        <v>-70057817</v>
      </c>
      <c r="AS16" s="9"/>
      <c r="AT16" s="4">
        <f>SUM(AT6:AT14)</f>
        <v>9461978</v>
      </c>
      <c r="AV16" s="5">
        <f>SUM(B16:AT16)</f>
        <v>488148</v>
      </c>
      <c r="AX16" s="4">
        <f>SUM(AX6:AX14)</f>
        <v>62039749</v>
      </c>
      <c r="AY16" s="1"/>
      <c r="AZ16" s="4">
        <f>SUM(AZ6:AZ14)</f>
        <v>62527897</v>
      </c>
      <c r="BA16" s="1"/>
    </row>
    <row r="17" spans="1:53" ht="13.5" thickTop="1" x14ac:dyDescent="0.2">
      <c r="A17" s="8"/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X17" s="1"/>
      <c r="AY17" s="1"/>
      <c r="AZ17" s="1"/>
      <c r="BA17" s="1"/>
    </row>
    <row r="18" spans="1:53" x14ac:dyDescent="0.2">
      <c r="B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 t="s">
        <v>11</v>
      </c>
      <c r="AX18" s="1"/>
      <c r="AY18" s="1"/>
      <c r="AZ18" s="1"/>
      <c r="BA18" s="1"/>
    </row>
    <row r="19" spans="1:53" x14ac:dyDescent="0.2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X19" s="1"/>
      <c r="AY19" s="1"/>
      <c r="AZ19" s="1"/>
      <c r="BA19" s="1"/>
    </row>
    <row r="20" spans="1:53" x14ac:dyDescent="0.2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X20" s="1"/>
      <c r="AY20" s="1"/>
      <c r="AZ20" s="1"/>
      <c r="BA20" s="1"/>
    </row>
    <row r="21" spans="1:53" x14ac:dyDescent="0.2">
      <c r="AX21" s="1"/>
      <c r="AY21" s="1"/>
      <c r="AZ21" s="1"/>
      <c r="BA21" s="1"/>
    </row>
    <row r="22" spans="1:53" x14ac:dyDescent="0.2">
      <c r="AX22" s="1"/>
      <c r="AY22" s="1"/>
      <c r="AZ22" s="1"/>
      <c r="BA22" s="1"/>
    </row>
    <row r="23" spans="1:53" x14ac:dyDescent="0.2">
      <c r="AX23" s="1"/>
      <c r="AY23" s="1"/>
      <c r="AZ23" s="1"/>
      <c r="BA23" s="1"/>
    </row>
    <row r="24" spans="1:53" x14ac:dyDescent="0.2">
      <c r="AX24" s="1"/>
      <c r="AY24" s="1"/>
      <c r="AZ24" s="1"/>
      <c r="BA24" s="1"/>
    </row>
    <row r="25" spans="1:53" x14ac:dyDescent="0.2">
      <c r="AX25" s="1"/>
      <c r="AY25" s="1"/>
      <c r="AZ25" s="1"/>
      <c r="BA25" s="1"/>
    </row>
    <row r="26" spans="1:53" x14ac:dyDescent="0.2">
      <c r="AX26" s="1"/>
      <c r="AY26" s="1"/>
      <c r="AZ26" s="1"/>
      <c r="BA26" s="1"/>
    </row>
  </sheetData>
  <pageMargins left="0.2" right="0.28999999999999998" top="1" bottom="1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AD26"/>
  <sheetViews>
    <sheetView tabSelected="1" topLeftCell="N1" workbookViewId="0">
      <selection activeCell="AA18" sqref="AA18"/>
    </sheetView>
  </sheetViews>
  <sheetFormatPr defaultRowHeight="12.75" x14ac:dyDescent="0.2"/>
  <cols>
    <col min="1" max="1" width="11.140625" bestFit="1" customWidth="1"/>
    <col min="2" max="2" width="0.7109375" customWidth="1"/>
    <col min="3" max="3" width="13.7109375" customWidth="1"/>
    <col min="4" max="4" width="0.42578125" customWidth="1"/>
    <col min="5" max="5" width="13.42578125" customWidth="1"/>
    <col min="6" max="6" width="0.5703125" customWidth="1"/>
    <col min="7" max="7" width="13.42578125" customWidth="1"/>
    <col min="8" max="8" width="0.5703125" customWidth="1"/>
    <col min="9" max="9" width="13.42578125" customWidth="1"/>
    <col min="10" max="10" width="0.5703125" customWidth="1"/>
    <col min="11" max="11" width="13.42578125" customWidth="1"/>
    <col min="12" max="12" width="0.85546875" customWidth="1"/>
    <col min="13" max="13" width="13.42578125" customWidth="1"/>
    <col min="14" max="14" width="0.85546875" customWidth="1"/>
    <col min="15" max="15" width="13.42578125" customWidth="1"/>
    <col min="16" max="16" width="0.85546875" customWidth="1"/>
    <col min="17" max="17" width="13.42578125" customWidth="1"/>
    <col min="18" max="18" width="0.85546875" customWidth="1"/>
    <col min="19" max="19" width="12.140625" customWidth="1"/>
    <col min="20" max="20" width="0.85546875" customWidth="1"/>
    <col min="21" max="21" width="12.140625" customWidth="1"/>
    <col min="22" max="22" width="0.7109375" customWidth="1"/>
    <col min="23" max="23" width="12.140625" customWidth="1"/>
    <col min="24" max="24" width="0.7109375" customWidth="1"/>
    <col min="25" max="25" width="11.85546875" customWidth="1"/>
    <col min="26" max="26" width="1" customWidth="1"/>
    <col min="27" max="27" width="12.5703125" customWidth="1"/>
    <col min="28" max="28" width="1.42578125" customWidth="1"/>
    <col min="29" max="29" width="12.85546875" customWidth="1"/>
  </cols>
  <sheetData>
    <row r="3" spans="1:30" x14ac:dyDescent="0.2">
      <c r="B3" s="6"/>
      <c r="C3" s="6">
        <v>36770</v>
      </c>
      <c r="D3" s="6"/>
      <c r="E3" s="6">
        <v>36774</v>
      </c>
      <c r="F3" s="6"/>
      <c r="G3" s="6">
        <v>36775</v>
      </c>
      <c r="H3" s="6"/>
      <c r="I3" s="6">
        <v>36776</v>
      </c>
      <c r="J3" s="6"/>
      <c r="K3" s="6">
        <v>36777</v>
      </c>
      <c r="L3" s="8"/>
      <c r="M3" s="6">
        <v>36780</v>
      </c>
      <c r="N3" s="8"/>
      <c r="O3" s="6">
        <v>36781</v>
      </c>
      <c r="P3" s="8"/>
      <c r="Q3" s="6">
        <v>36782</v>
      </c>
      <c r="R3" s="6"/>
      <c r="S3" s="6">
        <v>36783</v>
      </c>
      <c r="T3" s="6"/>
      <c r="U3" s="6">
        <v>36784</v>
      </c>
      <c r="V3" s="8"/>
      <c r="W3" s="6">
        <v>36787</v>
      </c>
      <c r="X3" s="8"/>
      <c r="Y3" s="7" t="s">
        <v>5</v>
      </c>
      <c r="Z3" s="8"/>
      <c r="AA3" s="7" t="s">
        <v>6</v>
      </c>
      <c r="AB3" s="8"/>
      <c r="AC3" s="7" t="s">
        <v>8</v>
      </c>
    </row>
    <row r="4" spans="1:30" x14ac:dyDescent="0.2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7" t="s">
        <v>10</v>
      </c>
      <c r="AB4" s="8"/>
      <c r="AC4" s="10">
        <f ca="1">TODAY()</f>
        <v>36787</v>
      </c>
    </row>
    <row r="5" spans="1:30" x14ac:dyDescent="0.2">
      <c r="AA5" s="3"/>
    </row>
    <row r="6" spans="1:30" x14ac:dyDescent="0.2">
      <c r="A6" s="8" t="s">
        <v>0</v>
      </c>
      <c r="B6" s="1"/>
      <c r="C6" s="1">
        <f>15543456-16888690+1261671</f>
        <v>-83563</v>
      </c>
      <c r="D6" s="1"/>
      <c r="E6" s="1">
        <f>779580-21557667+1481311</f>
        <v>-19296776</v>
      </c>
      <c r="F6" s="1"/>
      <c r="G6" s="1">
        <f>848888+712237+225317</f>
        <v>1786442</v>
      </c>
      <c r="H6" s="1"/>
      <c r="I6" s="1">
        <f>-136862-634828-170167</f>
        <v>-941857</v>
      </c>
      <c r="J6" s="1"/>
      <c r="K6" s="1">
        <f>-361946+1654695-191592</f>
        <v>1101157</v>
      </c>
      <c r="M6" s="1">
        <f>1055847-1580273+156408</f>
        <v>-368018</v>
      </c>
      <c r="O6" s="1">
        <f>33636-5271350+34805</f>
        <v>-5202909</v>
      </c>
      <c r="Q6" s="1">
        <f>7483-4131006+107739</f>
        <v>-4015784</v>
      </c>
      <c r="R6" s="1"/>
      <c r="S6" s="1">
        <f>-83992-2950735-18704</f>
        <v>-3053431</v>
      </c>
      <c r="T6" s="1"/>
      <c r="U6" s="1">
        <f>-839628-5508342+445</f>
        <v>-6347525</v>
      </c>
      <c r="W6" s="1">
        <f>68932+2371081+53</f>
        <v>2440066</v>
      </c>
      <c r="Y6" s="2">
        <f>SUM(B6:W6)</f>
        <v>-33982198</v>
      </c>
      <c r="AA6" s="1">
        <v>34601336</v>
      </c>
      <c r="AB6" s="1"/>
      <c r="AC6" s="1">
        <f>AA6+Y6</f>
        <v>619138</v>
      </c>
      <c r="AD6" s="1"/>
    </row>
    <row r="7" spans="1:30" x14ac:dyDescent="0.2">
      <c r="A7" s="8"/>
      <c r="B7" s="1"/>
      <c r="C7" s="1"/>
      <c r="D7" s="1"/>
      <c r="E7" s="1"/>
      <c r="F7" s="1"/>
      <c r="G7" s="1"/>
      <c r="H7" s="1"/>
      <c r="I7" s="1"/>
      <c r="J7" s="1"/>
      <c r="K7" s="1"/>
      <c r="M7" s="1"/>
      <c r="O7" s="1"/>
      <c r="Q7" s="1"/>
      <c r="R7" s="1"/>
      <c r="S7" s="1"/>
      <c r="T7" s="1"/>
      <c r="U7" s="1"/>
      <c r="W7" s="1"/>
      <c r="AA7" s="1"/>
      <c r="AB7" s="1"/>
      <c r="AC7" s="1"/>
      <c r="AD7" s="1"/>
    </row>
    <row r="8" spans="1:30" x14ac:dyDescent="0.2">
      <c r="A8" s="8" t="s">
        <v>1</v>
      </c>
      <c r="B8" s="1"/>
      <c r="C8" s="1">
        <f>-868305</f>
        <v>-868305</v>
      </c>
      <c r="D8" s="1"/>
      <c r="E8" s="1">
        <f>-1053914</f>
        <v>-1053914</v>
      </c>
      <c r="F8" s="1"/>
      <c r="G8" s="1">
        <f>655246</f>
        <v>655246</v>
      </c>
      <c r="H8" s="1"/>
      <c r="I8" s="1">
        <v>-56275</v>
      </c>
      <c r="J8" s="1"/>
      <c r="K8" s="1">
        <f>176981</f>
        <v>176981</v>
      </c>
      <c r="M8" s="1">
        <v>-65413</v>
      </c>
      <c r="O8" s="1">
        <v>-299322</v>
      </c>
      <c r="Q8" s="1">
        <v>-155697</v>
      </c>
      <c r="R8" s="1"/>
      <c r="S8" s="1">
        <f>-69856</f>
        <v>-69856</v>
      </c>
      <c r="T8" s="1"/>
      <c r="U8" s="1">
        <v>-44770</v>
      </c>
      <c r="W8" s="1">
        <v>267337</v>
      </c>
      <c r="Y8" s="2">
        <f>SUM(B8:W8)</f>
        <v>-1513988</v>
      </c>
      <c r="AA8" s="1">
        <v>5263447</v>
      </c>
      <c r="AB8" s="1"/>
      <c r="AC8" s="1">
        <f>AA8+Y8</f>
        <v>3749459</v>
      </c>
      <c r="AD8" s="1"/>
    </row>
    <row r="9" spans="1:30" x14ac:dyDescent="0.2">
      <c r="A9" s="8"/>
      <c r="B9" s="1"/>
      <c r="C9" s="1"/>
      <c r="D9" s="1"/>
      <c r="E9" s="1"/>
      <c r="F9" s="1"/>
      <c r="G9" s="1"/>
      <c r="H9" s="1"/>
      <c r="I9" s="1"/>
      <c r="J9" s="1"/>
      <c r="K9" s="1"/>
      <c r="M9" s="1"/>
      <c r="O9" s="1"/>
      <c r="Q9" s="1"/>
      <c r="R9" s="1"/>
      <c r="S9" s="1"/>
      <c r="T9" s="1"/>
      <c r="U9" s="1"/>
      <c r="W9" s="1"/>
      <c r="AA9" s="1"/>
      <c r="AB9" s="1"/>
      <c r="AC9" s="1"/>
      <c r="AD9" s="1"/>
    </row>
    <row r="10" spans="1:30" x14ac:dyDescent="0.2">
      <c r="A10" s="8" t="s">
        <v>2</v>
      </c>
      <c r="B10" s="1"/>
      <c r="C10" s="1">
        <f>-1926729+152381</f>
        <v>-1774348</v>
      </c>
      <c r="D10" s="1"/>
      <c r="E10" s="1">
        <f>-3200784+110670</f>
        <v>-3090114</v>
      </c>
      <c r="F10" s="1"/>
      <c r="G10" s="1">
        <f>379498+81215</f>
        <v>460713</v>
      </c>
      <c r="H10" s="1"/>
      <c r="I10" s="1">
        <f>-274995-78810</f>
        <v>-353805</v>
      </c>
      <c r="J10" s="1"/>
      <c r="K10" s="1">
        <f>215021+41070</f>
        <v>256091</v>
      </c>
      <c r="M10" s="1">
        <f>-214492+109335</f>
        <v>-105157</v>
      </c>
      <c r="O10" s="1">
        <f>-953569-103825</f>
        <v>-1057394</v>
      </c>
      <c r="Q10" s="1">
        <f>-494305+15580</f>
        <v>-478725</v>
      </c>
      <c r="R10" s="1"/>
      <c r="S10" s="1">
        <f>-291712-8064</f>
        <v>-299776</v>
      </c>
      <c r="T10" s="1"/>
      <c r="U10" s="1">
        <f>-533387-5340</f>
        <v>-538727</v>
      </c>
      <c r="W10" s="1">
        <f>453085+21030</f>
        <v>474115</v>
      </c>
      <c r="Y10" s="2">
        <f>SUM(B10:W10)</f>
        <v>-6507127</v>
      </c>
      <c r="AA10" s="1">
        <v>13810919</v>
      </c>
      <c r="AB10" s="1"/>
      <c r="AC10" s="1">
        <f>AA10+Y10</f>
        <v>7303792</v>
      </c>
      <c r="AD10" s="1"/>
    </row>
    <row r="11" spans="1:30" x14ac:dyDescent="0.2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M11" s="1"/>
      <c r="O11" s="1"/>
      <c r="Q11" s="1"/>
      <c r="R11" s="1"/>
      <c r="S11" s="1"/>
      <c r="T11" s="1"/>
      <c r="U11" s="1"/>
      <c r="W11" s="1"/>
      <c r="AA11" s="1"/>
      <c r="AB11" s="1"/>
      <c r="AC11" s="1"/>
      <c r="AD11" s="1"/>
    </row>
    <row r="12" spans="1:30" x14ac:dyDescent="0.2">
      <c r="A12" s="8" t="s">
        <v>3</v>
      </c>
      <c r="B12" s="1"/>
      <c r="C12" s="1">
        <f>32674-614776</f>
        <v>-582102</v>
      </c>
      <c r="D12" s="1"/>
      <c r="E12" s="1">
        <f>70910-397473</f>
        <v>-326563</v>
      </c>
      <c r="F12" s="1"/>
      <c r="G12" s="1">
        <f>85310-34324</f>
        <v>50986</v>
      </c>
      <c r="H12" s="1"/>
      <c r="I12" s="1">
        <f>-33790+135782</f>
        <v>101992</v>
      </c>
      <c r="J12" s="1"/>
      <c r="K12" s="1">
        <f>-54630+169754</f>
        <v>115124</v>
      </c>
      <c r="M12" s="1">
        <f>-2350+44380</f>
        <v>42030</v>
      </c>
      <c r="O12" s="1">
        <f>309-144782</f>
        <v>-144473</v>
      </c>
      <c r="Q12" s="1">
        <f>-29668-54834</f>
        <v>-84502</v>
      </c>
      <c r="R12" s="1"/>
      <c r="S12" s="1">
        <f>-4636-67204</f>
        <v>-71840</v>
      </c>
      <c r="T12" s="1"/>
      <c r="U12" s="1">
        <f>4327-271551</f>
        <v>-267224</v>
      </c>
      <c r="W12" s="1">
        <f>41265+175416</f>
        <v>216681</v>
      </c>
      <c r="Y12" s="2">
        <f>SUM(B12:W12)</f>
        <v>-949891</v>
      </c>
      <c r="AA12" s="1">
        <v>3171259</v>
      </c>
      <c r="AB12" s="1"/>
      <c r="AC12" s="1">
        <f>AA12+Y12</f>
        <v>2221368</v>
      </c>
      <c r="AD12" s="1"/>
    </row>
    <row r="13" spans="1:30" x14ac:dyDescent="0.2">
      <c r="A13" s="8"/>
      <c r="B13" s="1"/>
      <c r="C13" s="1"/>
      <c r="D13" s="1"/>
      <c r="E13" s="1"/>
      <c r="F13" s="1"/>
      <c r="G13" s="1"/>
      <c r="H13" s="1"/>
      <c r="I13" s="1"/>
      <c r="J13" s="1"/>
      <c r="K13" s="1"/>
      <c r="M13" s="1"/>
      <c r="O13" s="1"/>
      <c r="Q13" s="1"/>
      <c r="R13" s="1"/>
      <c r="S13" s="1"/>
      <c r="T13" s="1"/>
      <c r="U13" s="1"/>
      <c r="W13" s="1"/>
      <c r="Y13" s="2"/>
      <c r="AA13" s="1"/>
      <c r="AB13" s="1"/>
      <c r="AC13" s="1"/>
      <c r="AD13" s="1"/>
    </row>
    <row r="14" spans="1:30" x14ac:dyDescent="0.2">
      <c r="A14" s="8" t="s">
        <v>4</v>
      </c>
      <c r="B14" s="1"/>
      <c r="C14" s="1">
        <f>-960801</f>
        <v>-960801</v>
      </c>
      <c r="D14" s="1"/>
      <c r="E14" s="1">
        <f>-1231440</f>
        <v>-1231440</v>
      </c>
      <c r="F14" s="1"/>
      <c r="G14" s="1">
        <f>26230-9563</f>
        <v>16667</v>
      </c>
      <c r="H14" s="1"/>
      <c r="I14" s="1">
        <v>-22420</v>
      </c>
      <c r="J14" s="1"/>
      <c r="K14" s="1">
        <f>148307</f>
        <v>148307</v>
      </c>
      <c r="M14" s="1">
        <f>-39650-1450</f>
        <v>-41100</v>
      </c>
      <c r="O14" s="1">
        <f>6179-245310+1725</f>
        <v>-237406</v>
      </c>
      <c r="Q14" s="1">
        <f>-202576+1750</f>
        <v>-200826</v>
      </c>
      <c r="R14" s="1"/>
      <c r="S14" s="1">
        <f>-190343+18350</f>
        <v>-171993</v>
      </c>
      <c r="T14" s="1"/>
      <c r="U14" s="1">
        <f>-424382+23050</f>
        <v>-401332</v>
      </c>
      <c r="W14" s="1">
        <f>59491+9975</f>
        <v>69466</v>
      </c>
      <c r="Y14" s="2">
        <f>SUM(B14:W14)</f>
        <v>-3032878</v>
      </c>
      <c r="AA14" s="1">
        <v>5682608</v>
      </c>
      <c r="AB14" s="1"/>
      <c r="AC14" s="1">
        <f>AA14+Y14</f>
        <v>2649730</v>
      </c>
      <c r="AD14" s="1"/>
    </row>
    <row r="15" spans="1:30" x14ac:dyDescent="0.2">
      <c r="A15" s="8"/>
      <c r="B15" s="1"/>
      <c r="C15" s="1"/>
      <c r="D15" s="1"/>
      <c r="E15" s="1"/>
      <c r="F15" s="1"/>
      <c r="G15" s="1"/>
      <c r="H15" s="1"/>
      <c r="I15" s="1"/>
      <c r="J15" s="1"/>
      <c r="K15" s="1"/>
      <c r="M15" s="1"/>
      <c r="O15" s="1"/>
      <c r="Q15" s="1"/>
      <c r="R15" s="1"/>
      <c r="S15" s="1"/>
      <c r="T15" s="1"/>
      <c r="U15" s="1"/>
      <c r="W15" s="1"/>
      <c r="Y15" s="2"/>
      <c r="AA15" s="1"/>
      <c r="AB15" s="1"/>
      <c r="AC15" s="1"/>
      <c r="AD15" s="1"/>
    </row>
    <row r="16" spans="1:30" ht="13.5" thickBot="1" x14ac:dyDescent="0.25">
      <c r="A16" s="8" t="s">
        <v>9</v>
      </c>
      <c r="B16" s="9"/>
      <c r="C16" s="4">
        <f>SUM(C6:C14)</f>
        <v>-4269119</v>
      </c>
      <c r="D16" s="9"/>
      <c r="E16" s="4">
        <f>SUM(E6:E14)</f>
        <v>-24998807</v>
      </c>
      <c r="F16" s="9"/>
      <c r="G16" s="4">
        <f>SUM(G6:G14)</f>
        <v>2970054</v>
      </c>
      <c r="H16" s="9"/>
      <c r="I16" s="4">
        <f>SUM(I6:I14)</f>
        <v>-1272365</v>
      </c>
      <c r="J16" s="9"/>
      <c r="K16" s="4">
        <f>SUM(K6:K14)</f>
        <v>1797660</v>
      </c>
      <c r="M16" s="4">
        <f>SUM(M6:M14)</f>
        <v>-537658</v>
      </c>
      <c r="O16" s="4">
        <f>SUM(O6:O14)</f>
        <v>-6941504</v>
      </c>
      <c r="Q16" s="4">
        <f>SUM(Q6:Q14)</f>
        <v>-4935534</v>
      </c>
      <c r="R16" s="9"/>
      <c r="S16" s="4">
        <f>SUM(S5:S14)</f>
        <v>-3666896</v>
      </c>
      <c r="T16" s="9"/>
      <c r="U16" s="4">
        <f>SUM(U5:U14)</f>
        <v>-7599578</v>
      </c>
      <c r="W16" s="4">
        <f>SUM(W5:W14)</f>
        <v>3467665</v>
      </c>
      <c r="Y16" s="5">
        <f>SUM(B16:W16)</f>
        <v>-45986082</v>
      </c>
      <c r="AA16" s="4">
        <f>SUM(AA6:AA14)</f>
        <v>62529569</v>
      </c>
      <c r="AB16" s="1"/>
      <c r="AC16" s="4">
        <f>SUM(AC6:AC14)</f>
        <v>16543487</v>
      </c>
      <c r="AD16" s="1"/>
    </row>
    <row r="17" spans="1:30" ht="13.5" thickTop="1" x14ac:dyDescent="0.2">
      <c r="A17" s="8"/>
      <c r="B17" s="1"/>
      <c r="C17" s="1"/>
      <c r="D17" s="1"/>
      <c r="E17" s="1"/>
      <c r="F17" s="1"/>
      <c r="G17" s="1"/>
      <c r="H17" s="1"/>
      <c r="I17" s="1"/>
      <c r="J17" s="1"/>
      <c r="K17" s="1"/>
      <c r="M17" s="1"/>
      <c r="O17" s="1"/>
      <c r="Q17" s="1"/>
      <c r="R17" s="1"/>
      <c r="S17" s="1"/>
      <c r="T17" s="1"/>
      <c r="U17" s="1"/>
      <c r="W17" s="1"/>
      <c r="AA17" s="1"/>
      <c r="AB17" s="1"/>
      <c r="AC17" s="1"/>
      <c r="AD17" s="1"/>
    </row>
    <row r="18" spans="1:30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M18" s="1"/>
      <c r="O18" s="1"/>
      <c r="Q18" s="1"/>
      <c r="R18" s="1"/>
      <c r="S18" s="1"/>
      <c r="T18" s="1"/>
      <c r="U18" s="1"/>
      <c r="W18" s="1"/>
      <c r="AA18" s="1"/>
      <c r="AB18" s="1"/>
      <c r="AC18" s="1"/>
      <c r="AD18" s="1"/>
    </row>
    <row r="19" spans="1:30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M19" s="1"/>
      <c r="O19" s="1"/>
      <c r="Q19" s="1"/>
      <c r="R19" s="1"/>
      <c r="S19" s="1"/>
      <c r="T19" s="1"/>
      <c r="U19" s="1"/>
      <c r="W19" s="1"/>
      <c r="AA19" s="1"/>
      <c r="AB19" s="1"/>
      <c r="AC19" s="1"/>
      <c r="AD19" s="1"/>
    </row>
    <row r="20" spans="1:30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M20" s="1"/>
      <c r="O20" s="1"/>
      <c r="Q20" s="1"/>
      <c r="R20" s="1"/>
      <c r="S20" s="1"/>
      <c r="T20" s="1"/>
      <c r="U20" s="1"/>
      <c r="W20" s="1"/>
      <c r="AA20" s="1"/>
      <c r="AB20" s="1"/>
      <c r="AC20" s="1"/>
      <c r="AD20" s="1"/>
    </row>
    <row r="21" spans="1:30" x14ac:dyDescent="0.2">
      <c r="AA21" s="1"/>
      <c r="AB21" s="1"/>
      <c r="AC21" s="1"/>
      <c r="AD21" s="1"/>
    </row>
    <row r="22" spans="1:30" x14ac:dyDescent="0.2">
      <c r="AA22" s="1"/>
      <c r="AB22" s="1"/>
      <c r="AC22" s="1"/>
      <c r="AD22" s="1"/>
    </row>
    <row r="23" spans="1:30" x14ac:dyDescent="0.2">
      <c r="AA23" s="1"/>
      <c r="AB23" s="1"/>
      <c r="AC23" s="1"/>
      <c r="AD23" s="1"/>
    </row>
    <row r="24" spans="1:30" x14ac:dyDescent="0.2">
      <c r="AA24" s="1"/>
      <c r="AB24" s="1"/>
      <c r="AC24" s="1"/>
      <c r="AD24" s="1"/>
    </row>
    <row r="25" spans="1:30" x14ac:dyDescent="0.2">
      <c r="AA25" s="1"/>
      <c r="AB25" s="1"/>
      <c r="AC25" s="1"/>
      <c r="AD25" s="1"/>
    </row>
    <row r="26" spans="1:30" x14ac:dyDescent="0.2">
      <c r="AA26" s="1"/>
      <c r="AB26" s="1"/>
      <c r="AC26" s="1"/>
      <c r="AD26" s="1"/>
    </row>
  </sheetData>
  <pageMargins left="0.39" right="0.49" top="1" bottom="1" header="0.5" footer="0.5"/>
  <pageSetup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 00</vt:lpstr>
      <vt:lpstr>Sep 00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Jan Havlíček</cp:lastModifiedBy>
  <cp:lastPrinted>2000-09-18T22:48:14Z</cp:lastPrinted>
  <dcterms:created xsi:type="dcterms:W3CDTF">2000-08-03T14:07:25Z</dcterms:created>
  <dcterms:modified xsi:type="dcterms:W3CDTF">2023-09-16T20:21:54Z</dcterms:modified>
</cp:coreProperties>
</file>