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288954-BE01-4973-B114-89F3E88F1D84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H1" i="18" l="1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H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H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H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H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H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H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H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H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<sst xmlns="http://schemas.openxmlformats.org/spreadsheetml/2006/main" count="588" uniqueCount="114">
  <si>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</si>
  <si>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</si>
  <si>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</si>
  <si>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</si>
  <si>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</si>
  <si>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</si>
  <si>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</si>
  <si>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</si>
  <si>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</si>
  <si>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</si>
  <si>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</si>
  <si>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</si>
  <si>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</si>
  <si>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</si>
  <si>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</si>
  <si>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</si>
  <si>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</si>
  <si>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</si>
  <si>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</si>
  <si>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</si>
  <si>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</si>
  <si>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</si>
  <si>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</si>
  <si>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</si>
  <si>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</si>
  <si>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</si>
  <si>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</si>
  <si>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</si>
  <si>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</si>
  <si>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</si>
  <si>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</si>
  <si>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</si>
  <si>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</si>
  <si>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</si>
  <si>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</si>
  <si>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</si>
  <si>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</si>
  <si>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</si>
  <si>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</si>
  <si>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</si>
  <si>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IM-CANADA</t>
  </si>
  <si>
    <t>INTRA-CAND-BC-GD-GDL</t>
  </si>
  <si>
    <t>GD-CGPR-AECO/AV</t>
  </si>
  <si>
    <t>GD-AECOUS-DAILY</t>
  </si>
  <si>
    <t>M</t>
  </si>
  <si>
    <t>INTRA-CAND-EAST-PHY</t>
  </si>
  <si>
    <t>CHIPPAWA/IM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</si>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</sst>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873830F-5B26-7E43-DE9F-6B73A036470D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11206E4-DA84-FAF5-2019-9001D401B26D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FCBEF6C-A78B-CE5D-AD1A-749F0D269042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3A61866-169A-1A66-FAB2-6F374297CC1B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58D3A56-05E1-8622-36BC-10251DF08EA0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6FE47FA-718A-6235-B541-1FA1FDAAB0C2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EC3B331-D2F5-D725-B9D2-0174DD669891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2E9E103-F8F6-C060-DE3C-6981EF1B1E7D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3C79FD1-106E-5068-26A1-C8A26312C083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B4FD065B-00F6-90C5-167C-1DC8EB261787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81E8CE4-E9D0-6AC4-2988-CA5E6C02C5A4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0B5DEEFC-E03D-80A9-D1A3-D7E643B47484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30F136D-4B6F-E5C6-6F99-36B9A1C3BF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3AF6345-C01B-B70F-F740-469CB721E583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0C5C1D8-DD96-E536-098B-A1997764C56B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716FE1AA-5022-29FD-F585-DC7180C6F7AD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D609E12B-F6BF-B95F-938B-3FF371845311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83F8603-7414-FAB0-B2C8-6FBA5D516315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AD98FBD-893B-48FE-B76D-D6A78AD63C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C9A0F7A9-D946-33D8-90B0-4A941D680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984CD7F5-3C8B-A636-00B5-D3A1F24C87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DA2FEEE0-6ED6-CD8C-3B95-141CFC2FAB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32FE6D42-2940-8219-2B19-440528D02B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029BDFE1-B748-EDD6-2AE0-34B94C26D5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29D97F13-29A3-5E61-AF2B-642B722AD012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BBB0035C-C4E5-AE45-4EEB-5C9C5A1FA0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054321A-F4B8-7BB4-1E9A-9A58A42B8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BE380E91-5BF0-1B9F-D0BA-9926B6133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08406E05-E8A4-CE3E-3612-B70BAB091F04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DA2B81E0-14D3-923E-708E-C69BA77B1A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91F381EB-5E00-2C76-75DF-5B6A9C6E6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B7A75EF8-B8FF-D9A8-A606-886DE17458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70B74B9-9C13-FE57-C958-7616988D4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1CD9B383-29FA-23A4-EA3C-CADB0DE96AD5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3F25EA20-08E4-B7B7-BACB-86C47765DD9C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C5928EC7-C25A-6A09-9796-7CE3D3A4B6E3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FEE63666-EE0B-28BC-5D19-4AC31FF88C0E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AAB6F1A0-7ACF-B791-15C8-6CD070851E91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4E47FB80-5BEC-4744-D96C-58723F6C26F7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A30DF93D-C3D5-DCE9-347C-6DE1B77E761D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C186943D-F717-F552-6CCA-A15F4E473589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1085BCAD-5F84-0327-541A-F69441856B28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69C8B3B7-D9ED-BDDE-E76D-8263DD8BB05A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163B698C-B285-6444-DE06-997432F5F5C2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253158D7-0E94-0577-FB5E-AE2DD419B46A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1370B2D6-FCDB-EADD-64BD-C0D4BCA69444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138B4C02-195E-9302-673B-27FB06C1C0DB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0D8F1B6A-0C12-3D04-18C5-08DCFE07F50A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4996AB51-BC85-CA78-0466-8038241F4050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B7C75914-5658-64EB-6BB1-21DA4A84EE56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A861FAAB-76A8-02DF-0163-0DC1FD9328A7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4FDBEC49-2F20-8899-9F1C-5131B383EAAA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0E5679EB-83BD-4BA6-DE76-21DA47679D9D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172F1A39-AC36-C1F3-10BE-1FC6280110B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8B1BBCCF-B382-862F-F591-8B6B7BAA7271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B1A22953-F25E-B6F6-EBE9-95ADA5F59C1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A8DB3952-EE98-AA65-DD7D-FB8EDCEB7D8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FBFA988C-E6B9-5CDA-97E0-7D6BB042BE6B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C406CFF7-0741-1BA7-181B-45772F4C4A45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5F07D3AE-72DD-21DD-90F5-462F7C8651AD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0E3D13DB-383A-FEA4-38FE-ED4A279CD096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97BCEE32-A2BF-1F25-21F8-A31383CD4D5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27B21AF9-B707-DA63-A375-71202FD583C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F5BFB4D-5624-A1A9-5DBF-F98B7D5FF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49A2FD7B-2308-F686-CD35-E7A895632469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5889A81D-D1FF-40C4-8CF7-B13C469AD34C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Export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rint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9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0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3" sqref="A23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36698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57.038600000000002</v>
      </c>
      <c r="F12" s="75"/>
      <c r="G12" s="67">
        <v>0</v>
      </c>
      <c r="H12" s="23"/>
      <c r="I12" s="65">
        <v>-109.7398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-52.7012</v>
      </c>
      <c r="AJ12" s="61"/>
      <c r="AK12" s="48">
        <v>-893.06084485682277</v>
      </c>
      <c r="AL12"/>
      <c r="AM12" s="48">
        <v>840.3596448568228</v>
      </c>
      <c r="AN12" s="74"/>
      <c r="AO12" s="61">
        <v>-52.7012</v>
      </c>
      <c r="AQ12" s="26">
        <v>1030.7204897136457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18.399999999999999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18.399999999999999</v>
      </c>
      <c r="AJ16" s="61"/>
      <c r="AK16" s="48">
        <v>139.80581951731199</v>
      </c>
      <c r="AL16"/>
      <c r="AM16" s="48">
        <v>-121.40581951731198</v>
      </c>
      <c r="AN16" s="74"/>
      <c r="AO16" s="61">
        <v>18.399999999999999</v>
      </c>
      <c r="AP16" s="28"/>
      <c r="AQ16" s="26">
        <v>-93.311639034623965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-245.32753</v>
      </c>
      <c r="J19" s="23">
        <v>0</v>
      </c>
      <c r="K19" s="48">
        <v>241.40814</v>
      </c>
      <c r="L19" s="23">
        <v>0</v>
      </c>
      <c r="M19" s="48">
        <v>107.86987999999999</v>
      </c>
      <c r="N19" s="23">
        <v>0</v>
      </c>
      <c r="O19" s="48">
        <v>104.76860000000001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208.71908999999999</v>
      </c>
      <c r="AJ19" s="61"/>
      <c r="AK19" s="48">
        <v>873.9433571061478</v>
      </c>
      <c r="AL19"/>
      <c r="AM19" s="48">
        <v>-665.22426710614786</v>
      </c>
      <c r="AN19" s="74"/>
      <c r="AO19" s="61">
        <v>208.71908999999999</v>
      </c>
      <c r="AP19" s="28"/>
      <c r="AQ19" s="26">
        <v>-990.66762421229555</v>
      </c>
      <c r="AR19" s="29"/>
    </row>
    <row r="20" spans="1:44" ht="12.75" customHeight="1" x14ac:dyDescent="0.25">
      <c r="A20" s="50" t="s">
        <v>10</v>
      </c>
      <c r="B20" s="23"/>
      <c r="E20" s="68">
        <v>75.438600000000008</v>
      </c>
      <c r="F20" s="77"/>
      <c r="G20" s="68">
        <v>0</v>
      </c>
      <c r="H20" s="23"/>
      <c r="I20" s="68">
        <v>-355.06732999999997</v>
      </c>
      <c r="J20" s="23"/>
      <c r="K20" s="68">
        <v>241.40814</v>
      </c>
      <c r="L20" s="23"/>
      <c r="M20" s="68">
        <v>107.86987999999999</v>
      </c>
      <c r="N20" s="23"/>
      <c r="O20" s="68">
        <v>104.76860000000001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174.41789</v>
      </c>
      <c r="AJ20" s="61"/>
      <c r="AK20" s="68">
        <v>120.68833176663702</v>
      </c>
      <c r="AL20"/>
      <c r="AM20" s="68">
        <v>53.729558233362923</v>
      </c>
      <c r="AN20" s="74"/>
      <c r="AO20" s="69">
        <v>174.41789</v>
      </c>
      <c r="AP20" s="38"/>
      <c r="AQ20" s="68">
        <v>-53.258773533273825</v>
      </c>
      <c r="AR20" s="59"/>
    </row>
    <row r="21" spans="1:44" ht="12.75" customHeight="1" x14ac:dyDescent="0.2">
      <c r="A21" s="10" t="s">
        <v>24</v>
      </c>
      <c r="E21" s="2">
        <v>116.45658466791025</v>
      </c>
      <c r="G21" s="2">
        <v>0</v>
      </c>
      <c r="I21" s="2">
        <v>-87.932589328399331</v>
      </c>
      <c r="K21" s="2">
        <v>13.279322687521045</v>
      </c>
      <c r="M21" s="2">
        <v>1.81564020633121</v>
      </c>
      <c r="O21" s="2">
        <v>10.110600000000005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53.729558233363178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12" sqref="A12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36</v>
      </c>
      <c r="B1" t="s">
        <v>37</v>
      </c>
      <c r="C1" t="s">
        <v>49</v>
      </c>
      <c r="D1" t="s">
        <v>38</v>
      </c>
      <c r="E1" t="s">
        <v>50</v>
      </c>
      <c r="F1" t="s">
        <v>51</v>
      </c>
      <c r="G1" t="s">
        <v>39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82" t="s">
        <v>59</v>
      </c>
      <c r="P1" t="s">
        <v>60</v>
      </c>
      <c r="Q1" t="s">
        <v>61</v>
      </c>
      <c r="R1" t="s">
        <v>61</v>
      </c>
      <c r="S1" t="s">
        <v>61</v>
      </c>
      <c r="T1" t="s">
        <v>61</v>
      </c>
      <c r="U1" t="s">
        <v>61</v>
      </c>
      <c r="V1" t="s">
        <v>56</v>
      </c>
      <c r="W1" t="s">
        <v>62</v>
      </c>
      <c r="X1" t="s">
        <v>63</v>
      </c>
      <c r="Y1" t="s">
        <v>64</v>
      </c>
      <c r="AC1" s="80">
        <v>36033</v>
      </c>
      <c r="AD1" s="81" t="s">
        <v>40</v>
      </c>
      <c r="AE1" s="81" t="s">
        <v>45</v>
      </c>
      <c r="AF1" s="81" t="s">
        <v>65</v>
      </c>
      <c r="AG1" t="s">
        <v>30</v>
      </c>
      <c r="AH1" t="str">
        <f t="shared" ref="AH1:AH24" si="0">CONCATENATE(AE1,AF1)</f>
        <v>INTRA-CAND-EAST-PHYEMPRESS-US/IM</v>
      </c>
      <c r="AI1" s="81" t="s">
        <v>66</v>
      </c>
      <c r="AJ1" s="78">
        <v>0.7</v>
      </c>
    </row>
    <row r="2" spans="1:36" x14ac:dyDescent="0.2">
      <c r="A2" s="80">
        <v>36698</v>
      </c>
      <c r="B2" s="81" t="s">
        <v>67</v>
      </c>
      <c r="C2" s="81" t="s">
        <v>68</v>
      </c>
      <c r="D2" s="81" t="s">
        <v>41</v>
      </c>
      <c r="E2" s="81" t="s">
        <v>44</v>
      </c>
      <c r="F2" s="81" t="s">
        <v>19</v>
      </c>
      <c r="G2" s="81" t="s">
        <v>43</v>
      </c>
      <c r="H2" s="80">
        <v>36678</v>
      </c>
      <c r="I2" s="81">
        <v>0</v>
      </c>
      <c r="J2" s="79">
        <f ca="1">IF(ISNA(K2),0,(I2*K2))</f>
        <v>0</v>
      </c>
      <c r="K2" s="79">
        <f ca="1">VLOOKUP(G2,CurveTable,2,FALSE)</f>
        <v>-0.2</v>
      </c>
      <c r="L2" s="79" t="str">
        <f ca="1">G2&amp;H2</f>
        <v>GD-AECOUS-DAILY36678</v>
      </c>
      <c r="M2" s="79">
        <f ca="1">SUM(I2/UOM)</f>
        <v>0</v>
      </c>
      <c r="N2" s="79">
        <f ca="1">SUM(J2/UOM)</f>
        <v>0</v>
      </c>
      <c r="O2" s="83" t="str">
        <f ca="1">INDEX(AG$2:AH$200,MATCH(D2&amp;G2,AH$2:AH$200,0),1)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IMCANADA36678</v>
      </c>
      <c r="X2" s="83" t="str">
        <f ca="1">IF(ISNA(V2),"-",P2&amp;E2&amp;H2)</f>
        <v>IMCANADAM36678</v>
      </c>
      <c r="Y2" s="83" t="str">
        <f ca="1">P2&amp;O2</f>
        <v>IMCANADAG</v>
      </c>
      <c r="AC2" s="80">
        <v>36033</v>
      </c>
      <c r="AD2" s="81" t="s">
        <v>40</v>
      </c>
      <c r="AE2" s="81" t="s">
        <v>45</v>
      </c>
      <c r="AF2" s="81" t="s">
        <v>70</v>
      </c>
      <c r="AG2" t="s">
        <v>30</v>
      </c>
      <c r="AH2" t="str">
        <f t="shared" si="0"/>
        <v>INTRA-CAND-EAST-PHYGD-NIAGARA</v>
      </c>
      <c r="AI2" s="81" t="s">
        <v>71</v>
      </c>
      <c r="AJ2" s="78">
        <v>1</v>
      </c>
    </row>
    <row r="3" spans="1:36" x14ac:dyDescent="0.2">
      <c r="A3" s="80">
        <v>36698</v>
      </c>
      <c r="B3" s="81" t="s">
        <v>67</v>
      </c>
      <c r="C3" s="81" t="s">
        <v>68</v>
      </c>
      <c r="D3" s="81" t="s">
        <v>41</v>
      </c>
      <c r="E3" s="81" t="s">
        <v>44</v>
      </c>
      <c r="F3" s="81" t="s">
        <v>19</v>
      </c>
      <c r="G3" s="81" t="s">
        <v>42</v>
      </c>
      <c r="H3" s="80">
        <v>36678</v>
      </c>
      <c r="I3" s="81">
        <v>-189563</v>
      </c>
      <c r="J3" s="79">
        <f t="shared" ref="J3:J55" si="1">IF(ISNA(K3),0,(I3*K3))</f>
        <v>0</v>
      </c>
      <c r="K3" s="79" t="e">
        <f t="shared" ref="K3:K55" si="2">VLOOKUP(G3,CurveTable,2,FALSE)</f>
        <v>#N/A</v>
      </c>
      <c r="L3" s="79" t="str">
        <f t="shared" ref="L3:L55" si="3">G3&amp;H3</f>
        <v>GD-CGPR-AECO/AV36678</v>
      </c>
      <c r="M3" s="79">
        <f t="shared" ref="M3:M55" si="4">SUM(I3/UOM)</f>
        <v>-18.956299999999999</v>
      </c>
      <c r="N3" s="79">
        <f t="shared" ref="N3:N55" si="5">SUM(J3/UOM)</f>
        <v>0</v>
      </c>
      <c r="O3" s="83" t="str">
        <f t="shared" ref="O3:O55" si="6">INDEX(AG$2:AH$200,MATCH(D3&amp;G3,AH$2:AH$200,0),1)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1</v>
      </c>
      <c r="U3" s="83">
        <f t="shared" ref="U3:U55" si="7">SUM(Q3:T3)</f>
        <v>1</v>
      </c>
      <c r="V3" s="83" t="str">
        <f t="shared" ref="V3:V55" si="8">P3&amp;O3&amp;U3</f>
        <v>IMCANADAG1</v>
      </c>
      <c r="W3" s="83" t="str">
        <f ca="1">IF(ISNA(V3),"-",INDEX([17]Portfolios!A$3:H$827,MATCH(D3,[17]Portfolios!B$3:B$827,0),7)&amp;H3)</f>
        <v>IMCANADA36678</v>
      </c>
      <c r="X3" s="83" t="str">
        <f t="shared" ref="X3:X55" si="9">IF(ISNA(V3),"-",P3&amp;E3&amp;H3)</f>
        <v>IMCANADAM36678</v>
      </c>
      <c r="Y3" s="83" t="str">
        <f t="shared" ref="Y3:Y55" si="10">P3&amp;O3</f>
        <v>IMCANADAG</v>
      </c>
      <c r="AC3" s="80">
        <v>36033</v>
      </c>
      <c r="AD3" s="81" t="s">
        <v>40</v>
      </c>
      <c r="AE3" s="81" t="s">
        <v>45</v>
      </c>
      <c r="AF3" s="81" t="s">
        <v>72</v>
      </c>
      <c r="AG3" t="s">
        <v>30</v>
      </c>
      <c r="AH3" t="str">
        <f t="shared" si="0"/>
        <v>INTRA-CAND-EAST-PHYGDM-WADDINGTON</v>
      </c>
      <c r="AI3" s="81" t="s">
        <v>73</v>
      </c>
      <c r="AJ3" s="78">
        <v>0.8</v>
      </c>
    </row>
    <row r="4" spans="1:36" x14ac:dyDescent="0.2">
      <c r="A4" s="80">
        <v>36698</v>
      </c>
      <c r="B4" s="81" t="s">
        <v>67</v>
      </c>
      <c r="C4" s="81" t="s">
        <v>68</v>
      </c>
      <c r="D4" s="81" t="s">
        <v>41</v>
      </c>
      <c r="E4" s="81" t="s">
        <v>44</v>
      </c>
      <c r="F4" s="81" t="s">
        <v>19</v>
      </c>
      <c r="G4" s="81" t="s">
        <v>42</v>
      </c>
      <c r="H4" s="80">
        <v>36708</v>
      </c>
      <c r="I4" s="81">
        <v>0</v>
      </c>
      <c r="J4" s="79">
        <f t="shared" si="1"/>
        <v>0</v>
      </c>
      <c r="K4" s="79" t="e">
        <f t="shared" si="2"/>
        <v>#N/A</v>
      </c>
      <c r="L4" s="79" t="str">
        <f t="shared" si="3"/>
        <v>GD-CGPR-AECO/AV36708</v>
      </c>
      <c r="M4" s="79">
        <f t="shared" si="4"/>
        <v>0</v>
      </c>
      <c r="N4" s="79">
        <f t="shared" si="5"/>
        <v>0</v>
      </c>
      <c r="O4" s="83" t="str">
        <f t="shared" si="6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3</v>
      </c>
      <c r="U4" s="83">
        <f t="shared" si="7"/>
        <v>3</v>
      </c>
      <c r="V4" s="83" t="str">
        <f t="shared" si="8"/>
        <v>IMCANADAG3</v>
      </c>
      <c r="W4" s="83" t="str">
        <f ca="1">IF(ISNA(V4),"-",INDEX([17]Portfolios!A$3:H$827,MATCH(D4,[17]Portfolios!B$3:B$827,0),7)&amp;H4)</f>
        <v>IMCANADA36708</v>
      </c>
      <c r="X4" s="83" t="str">
        <f t="shared" si="9"/>
        <v>IMCANADAM36708</v>
      </c>
      <c r="Y4" s="83" t="str">
        <f t="shared" si="10"/>
        <v>IMCANADAG</v>
      </c>
      <c r="AC4" s="80">
        <v>36033</v>
      </c>
      <c r="AD4" s="81" t="s">
        <v>40</v>
      </c>
      <c r="AE4" s="81" t="s">
        <v>45</v>
      </c>
      <c r="AF4" s="81" t="s">
        <v>74</v>
      </c>
      <c r="AG4" t="s">
        <v>30</v>
      </c>
      <c r="AH4" t="str">
        <f t="shared" si="0"/>
        <v>INTRA-CAND-EAST-PHYNIAGARA/IM</v>
      </c>
      <c r="AI4" s="81" t="s">
        <v>75</v>
      </c>
      <c r="AJ4" s="78">
        <v>0.8</v>
      </c>
    </row>
    <row r="5" spans="1:36" x14ac:dyDescent="0.2">
      <c r="A5" s="80">
        <v>36698</v>
      </c>
      <c r="B5" s="81" t="s">
        <v>67</v>
      </c>
      <c r="C5" s="81" t="s">
        <v>68</v>
      </c>
      <c r="D5" s="81" t="s">
        <v>41</v>
      </c>
      <c r="E5" s="81" t="s">
        <v>44</v>
      </c>
      <c r="F5" s="81" t="s">
        <v>19</v>
      </c>
      <c r="G5" s="81" t="s">
        <v>47</v>
      </c>
      <c r="H5" s="80">
        <v>36678</v>
      </c>
      <c r="I5" s="81">
        <v>-40000</v>
      </c>
      <c r="J5" s="79">
        <f t="shared" si="1"/>
        <v>-44000</v>
      </c>
      <c r="K5" s="79">
        <f t="shared" si="2"/>
        <v>1.1000000000000001</v>
      </c>
      <c r="L5" s="79" t="str">
        <f t="shared" si="3"/>
        <v>GDP-HEHUB36678</v>
      </c>
      <c r="M5" s="79">
        <f t="shared" si="4"/>
        <v>-4</v>
      </c>
      <c r="N5" s="79">
        <f t="shared" si="5"/>
        <v>-4.4000000000000004</v>
      </c>
      <c r="O5" s="83" t="str">
        <f t="shared" si="6"/>
        <v>G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0</v>
      </c>
      <c r="T5" s="83">
        <f ca="1">IF($O5="G",INDEX('[17]Date Master'!R$3:S$332,MATCH($H5,'[17]Date Master'!R$3:R$332,0),2),0)</f>
        <v>1</v>
      </c>
      <c r="U5" s="83">
        <f t="shared" si="7"/>
        <v>1</v>
      </c>
      <c r="V5" s="83" t="str">
        <f t="shared" si="8"/>
        <v>IMCANADAG1</v>
      </c>
      <c r="W5" s="83" t="str">
        <f ca="1">IF(ISNA(V5),"-",INDEX([17]Portfolios!A$3:H$827,MATCH(D5,[17]Portfolios!B$3:B$827,0),7)&amp;H5)</f>
        <v>IMCANADA36678</v>
      </c>
      <c r="X5" s="83" t="str">
        <f t="shared" si="9"/>
        <v>IMCANADAM36678</v>
      </c>
      <c r="Y5" s="83" t="str">
        <f t="shared" si="10"/>
        <v>IMCANADAG</v>
      </c>
      <c r="AC5" s="80">
        <v>36033</v>
      </c>
      <c r="AD5" s="81" t="s">
        <v>40</v>
      </c>
      <c r="AE5" s="81" t="s">
        <v>45</v>
      </c>
      <c r="AF5" s="81" t="s">
        <v>76</v>
      </c>
      <c r="AG5" t="s">
        <v>30</v>
      </c>
      <c r="AH5" t="str">
        <f t="shared" si="0"/>
        <v>INTRA-CAND-EAST-PHYPARK-CDN/IM</v>
      </c>
    </row>
    <row r="6" spans="1:36" x14ac:dyDescent="0.2">
      <c r="A6" s="80">
        <v>36698</v>
      </c>
      <c r="B6" s="81" t="s">
        <v>67</v>
      </c>
      <c r="C6" s="81" t="s">
        <v>68</v>
      </c>
      <c r="D6" s="81" t="s">
        <v>41</v>
      </c>
      <c r="E6" s="81" t="s">
        <v>44</v>
      </c>
      <c r="F6" s="81" t="s">
        <v>19</v>
      </c>
      <c r="G6" s="81" t="s">
        <v>87</v>
      </c>
      <c r="H6" s="80">
        <v>36678</v>
      </c>
      <c r="I6" s="81">
        <v>320000</v>
      </c>
      <c r="J6" s="79">
        <f t="shared" si="1"/>
        <v>0</v>
      </c>
      <c r="K6" s="79" t="e">
        <f t="shared" si="2"/>
        <v>#N/A</v>
      </c>
      <c r="L6" s="79" t="str">
        <f t="shared" si="3"/>
        <v>GDP-KERN/OPAL36678</v>
      </c>
      <c r="M6" s="79">
        <f t="shared" si="4"/>
        <v>32</v>
      </c>
      <c r="N6" s="79">
        <f t="shared" si="5"/>
        <v>0</v>
      </c>
      <c r="O6" s="83" t="str">
        <f t="shared" si="6"/>
        <v>G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0</v>
      </c>
      <c r="T6" s="83">
        <f ca="1">IF($O6="G",INDEX('[17]Date Master'!R$3:S$332,MATCH($H6,'[17]Date Master'!R$3:R$332,0),2),0)</f>
        <v>1</v>
      </c>
      <c r="U6" s="83">
        <f t="shared" si="7"/>
        <v>1</v>
      </c>
      <c r="V6" s="83" t="str">
        <f t="shared" si="8"/>
        <v>IMCANADAG1</v>
      </c>
      <c r="W6" s="83" t="str">
        <f ca="1">IF(ISNA(V6),"-",INDEX([17]Portfolios!A$3:H$827,MATCH(D6,[17]Portfolios!B$3:B$827,0),7)&amp;H6)</f>
        <v>IMCANADA36678</v>
      </c>
      <c r="X6" s="83" t="str">
        <f t="shared" si="9"/>
        <v>IMCANADAM36678</v>
      </c>
      <c r="Y6" s="83" t="str">
        <f t="shared" si="10"/>
        <v>IMCANADAG</v>
      </c>
      <c r="AC6" s="80">
        <v>36033</v>
      </c>
      <c r="AD6" s="81" t="s">
        <v>40</v>
      </c>
      <c r="AE6" s="81" t="s">
        <v>45</v>
      </c>
      <c r="AF6" s="81" t="s">
        <v>77</v>
      </c>
      <c r="AG6" t="s">
        <v>30</v>
      </c>
      <c r="AH6" t="str">
        <f t="shared" si="0"/>
        <v>INTRA-CAND-EAST-PHYPARKWAY/IM</v>
      </c>
      <c r="AJ6" s="78"/>
    </row>
    <row r="7" spans="1:36" x14ac:dyDescent="0.2">
      <c r="A7" s="80">
        <v>36698</v>
      </c>
      <c r="B7" s="81" t="s">
        <v>67</v>
      </c>
      <c r="C7" s="81" t="s">
        <v>68</v>
      </c>
      <c r="D7" s="81" t="s">
        <v>41</v>
      </c>
      <c r="E7" s="81" t="s">
        <v>44</v>
      </c>
      <c r="F7" s="81" t="s">
        <v>19</v>
      </c>
      <c r="G7" s="81" t="s">
        <v>104</v>
      </c>
      <c r="H7" s="80">
        <v>36678</v>
      </c>
      <c r="I7" s="81">
        <v>192704</v>
      </c>
      <c r="J7" s="79">
        <f t="shared" si="1"/>
        <v>0</v>
      </c>
      <c r="K7" s="79" t="e">
        <f t="shared" si="2"/>
        <v>#N/A</v>
      </c>
      <c r="L7" s="79" t="str">
        <f t="shared" si="3"/>
        <v>GDP-NTHWST/CANB36678</v>
      </c>
      <c r="M7" s="79">
        <f t="shared" si="4"/>
        <v>19.270399999999999</v>
      </c>
      <c r="N7" s="79">
        <f t="shared" si="5"/>
        <v>0</v>
      </c>
      <c r="O7" s="83" t="str">
        <f t="shared" si="6"/>
        <v>G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0</v>
      </c>
      <c r="T7" s="83">
        <f ca="1">IF($O7="G",INDEX('[17]Date Master'!R$3:S$332,MATCH($H7,'[17]Date Master'!R$3:R$332,0),2),0)</f>
        <v>1</v>
      </c>
      <c r="U7" s="83">
        <f t="shared" si="7"/>
        <v>1</v>
      </c>
      <c r="V7" s="83" t="str">
        <f t="shared" si="8"/>
        <v>IMCANADAG1</v>
      </c>
      <c r="W7" s="83" t="str">
        <f ca="1">IF(ISNA(V7),"-",INDEX([17]Portfolios!A$3:H$827,MATCH(D7,[17]Portfolios!B$3:B$827,0),7)&amp;H7)</f>
        <v>IMCANADA36678</v>
      </c>
      <c r="X7" s="83" t="str">
        <f t="shared" si="9"/>
        <v>IMCANADAM36678</v>
      </c>
      <c r="Y7" s="83" t="str">
        <f t="shared" si="10"/>
        <v>IMCANADAG</v>
      </c>
      <c r="AC7" s="80">
        <v>36033</v>
      </c>
      <c r="AD7" s="81" t="s">
        <v>40</v>
      </c>
      <c r="AE7" s="81" t="s">
        <v>45</v>
      </c>
      <c r="AF7" s="81" t="s">
        <v>78</v>
      </c>
      <c r="AG7" t="s">
        <v>30</v>
      </c>
      <c r="AH7" t="str">
        <f t="shared" si="0"/>
        <v>INTRA-CAND-EAST-PHYWADDINGTON/IM</v>
      </c>
    </row>
    <row r="8" spans="1:36" x14ac:dyDescent="0.2">
      <c r="A8" s="80">
        <v>36698</v>
      </c>
      <c r="B8" s="81" t="s">
        <v>67</v>
      </c>
      <c r="C8" s="81" t="s">
        <v>68</v>
      </c>
      <c r="D8" s="81" t="s">
        <v>107</v>
      </c>
      <c r="E8" s="81" t="s">
        <v>44</v>
      </c>
      <c r="F8" s="81" t="s">
        <v>21</v>
      </c>
      <c r="G8" s="81" t="s">
        <v>108</v>
      </c>
      <c r="H8" s="80">
        <v>36678</v>
      </c>
      <c r="I8" s="81">
        <v>-45214</v>
      </c>
      <c r="J8" s="79">
        <f t="shared" si="1"/>
        <v>0</v>
      </c>
      <c r="K8" s="79" t="e">
        <f t="shared" si="2"/>
        <v>#N/A</v>
      </c>
      <c r="L8" s="79" t="str">
        <f t="shared" si="3"/>
        <v>GD-ST. 2 (C$)36678</v>
      </c>
      <c r="M8" s="79">
        <f t="shared" si="4"/>
        <v>-4.5213999999999999</v>
      </c>
      <c r="N8" s="79">
        <f t="shared" si="5"/>
        <v>0</v>
      </c>
      <c r="O8" s="83" t="str">
        <f t="shared" si="6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1</v>
      </c>
      <c r="T8" s="83">
        <f ca="1">IF($O8="G",INDEX('[17]Date Master'!R$3:S$332,MATCH($H8,'[17]Date Master'!R$3:R$332,0),2),0)</f>
        <v>0</v>
      </c>
      <c r="U8" s="83">
        <f t="shared" si="7"/>
        <v>1</v>
      </c>
      <c r="V8" s="83" t="str">
        <f t="shared" si="8"/>
        <v>IMCANADAPHY1</v>
      </c>
      <c r="W8" s="83" t="str">
        <f ca="1">IF(ISNA(V8),"-",INDEX([17]Portfolios!A$3:H$827,MATCH(D8,[17]Portfolios!B$3:B$827,0),7)&amp;H8)</f>
        <v>IMCANADA36678</v>
      </c>
      <c r="X8" s="83" t="str">
        <f t="shared" si="9"/>
        <v>IMCANADAM36678</v>
      </c>
      <c r="Y8" s="83" t="str">
        <f t="shared" si="10"/>
        <v>IMCANADAPHY</v>
      </c>
      <c r="AC8" s="80">
        <v>36033</v>
      </c>
      <c r="AD8" s="81" t="s">
        <v>40</v>
      </c>
      <c r="AE8" s="81" t="s">
        <v>45</v>
      </c>
      <c r="AF8" s="81" t="s">
        <v>78</v>
      </c>
      <c r="AG8" t="s">
        <v>30</v>
      </c>
      <c r="AH8" t="str">
        <f ca="1">CONCATENATE(AE8,AF8)</f>
        <v>INTRA-CAND-EAST-PHYWADDINGTON/IM</v>
      </c>
      <c r="AI8" s="81"/>
    </row>
    <row r="9" spans="1:36" x14ac:dyDescent="0.2">
      <c r="A9" s="80">
        <v>36698</v>
      </c>
      <c r="B9" s="81" t="s">
        <v>67</v>
      </c>
      <c r="C9" s="81" t="s">
        <v>68</v>
      </c>
      <c r="D9" s="81" t="s">
        <v>107</v>
      </c>
      <c r="E9" s="81" t="s">
        <v>44</v>
      </c>
      <c r="F9" s="81" t="s">
        <v>21</v>
      </c>
      <c r="G9" s="81" t="s">
        <v>109</v>
      </c>
      <c r="H9" s="80">
        <v>36678</v>
      </c>
      <c r="I9" s="81">
        <v>-341946</v>
      </c>
      <c r="J9" s="79">
        <f t="shared" si="1"/>
        <v>0</v>
      </c>
      <c r="K9" s="79" t="e">
        <f t="shared" si="2"/>
        <v>#N/A</v>
      </c>
      <c r="L9" s="79" t="str">
        <f t="shared" si="3"/>
        <v>STN2-CDN/IM36678</v>
      </c>
      <c r="M9" s="79">
        <f t="shared" si="4"/>
        <v>-34.194600000000001</v>
      </c>
      <c r="N9" s="79">
        <f t="shared" si="5"/>
        <v>0</v>
      </c>
      <c r="O9" s="83" t="str">
        <f t="shared" si="6"/>
        <v>PHY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1</v>
      </c>
      <c r="T9" s="83">
        <f ca="1">IF($O9="G",INDEX('[17]Date Master'!R$3:S$332,MATCH($H9,'[17]Date Master'!R$3:R$332,0),2),0)</f>
        <v>0</v>
      </c>
      <c r="U9" s="83">
        <f t="shared" si="7"/>
        <v>1</v>
      </c>
      <c r="V9" s="83" t="str">
        <f t="shared" si="8"/>
        <v>IMCANADAPHY1</v>
      </c>
      <c r="W9" s="83" t="str">
        <f ca="1">IF(ISNA(V9),"-",INDEX([17]Portfolios!A$3:H$827,MATCH(D9,[17]Portfolios!B$3:B$827,0),7)&amp;H9)</f>
        <v>IMCANADA36678</v>
      </c>
      <c r="X9" s="83" t="str">
        <f t="shared" si="9"/>
        <v>IMCANADAM36678</v>
      </c>
      <c r="Y9" s="83" t="str">
        <f t="shared" si="10"/>
        <v>IMCANADAPHY</v>
      </c>
      <c r="AC9" s="80">
        <v>36033</v>
      </c>
      <c r="AD9" s="81" t="s">
        <v>40</v>
      </c>
      <c r="AE9" s="81" t="s">
        <v>69</v>
      </c>
      <c r="AF9" s="81" t="s">
        <v>42</v>
      </c>
      <c r="AG9" t="s">
        <v>30</v>
      </c>
      <c r="AH9" t="str">
        <f t="shared" si="0"/>
        <v>INTRA-CAND-WE-GD-GDLGD-CGPR-AECO/AV</v>
      </c>
      <c r="AI9" s="81"/>
    </row>
    <row r="10" spans="1:36" x14ac:dyDescent="0.2">
      <c r="A10" s="80">
        <v>36698</v>
      </c>
      <c r="B10" s="81" t="s">
        <v>67</v>
      </c>
      <c r="C10" s="81" t="s">
        <v>68</v>
      </c>
      <c r="D10" s="81" t="s">
        <v>107</v>
      </c>
      <c r="E10" s="81" t="s">
        <v>44</v>
      </c>
      <c r="F10" s="81" t="s">
        <v>21</v>
      </c>
      <c r="G10" s="81" t="s">
        <v>109</v>
      </c>
      <c r="H10" s="80">
        <v>36708</v>
      </c>
      <c r="I10" s="81">
        <v>-1323220</v>
      </c>
      <c r="J10" s="79">
        <f t="shared" si="1"/>
        <v>0</v>
      </c>
      <c r="K10" s="79" t="e">
        <f t="shared" si="2"/>
        <v>#N/A</v>
      </c>
      <c r="L10" s="79" t="str">
        <f t="shared" si="3"/>
        <v>STN2-CDN/IM36708</v>
      </c>
      <c r="M10" s="79">
        <f t="shared" si="4"/>
        <v>-132.322</v>
      </c>
      <c r="N10" s="79">
        <f t="shared" si="5"/>
        <v>0</v>
      </c>
      <c r="O10" s="83" t="str">
        <f t="shared" si="6"/>
        <v>PHY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3</v>
      </c>
      <c r="T10" s="83">
        <f ca="1">IF($O10="G",INDEX('[17]Date Master'!R$3:S$332,MATCH($H10,'[17]Date Master'!R$3:R$332,0),2),0)</f>
        <v>0</v>
      </c>
      <c r="U10" s="83">
        <f t="shared" si="7"/>
        <v>3</v>
      </c>
      <c r="V10" s="83" t="str">
        <f t="shared" si="8"/>
        <v>IMCANADAPHY3</v>
      </c>
      <c r="W10" s="83" t="str">
        <f ca="1">IF(ISNA(V10),"-",INDEX([17]Portfolios!A$3:H$827,MATCH(D10,[17]Portfolios!B$3:B$827,0),7)&amp;H10)</f>
        <v>IMCANADA36708</v>
      </c>
      <c r="X10" s="83" t="str">
        <f t="shared" si="9"/>
        <v>IMCANADAM36708</v>
      </c>
      <c r="Y10" s="83" t="str">
        <f t="shared" si="10"/>
        <v>IMCANADAPHY</v>
      </c>
      <c r="AC10" s="80">
        <v>36033</v>
      </c>
      <c r="AD10" s="81" t="s">
        <v>40</v>
      </c>
      <c r="AE10" s="81" t="s">
        <v>69</v>
      </c>
      <c r="AF10" s="81" t="s">
        <v>47</v>
      </c>
      <c r="AG10" t="s">
        <v>19</v>
      </c>
      <c r="AH10" t="str">
        <f t="shared" si="0"/>
        <v>INTRA-CAND-WE-GD-GDLGDP-HEHUB</v>
      </c>
    </row>
    <row r="11" spans="1:36" x14ac:dyDescent="0.2">
      <c r="A11" s="80">
        <v>36698</v>
      </c>
      <c r="B11" s="81" t="s">
        <v>67</v>
      </c>
      <c r="C11" s="81" t="s">
        <v>68</v>
      </c>
      <c r="D11" s="81" t="s">
        <v>107</v>
      </c>
      <c r="E11" s="81" t="s">
        <v>44</v>
      </c>
      <c r="F11" s="81" t="s">
        <v>21</v>
      </c>
      <c r="G11" s="81" t="s">
        <v>110</v>
      </c>
      <c r="H11" s="80">
        <v>36678</v>
      </c>
      <c r="I11" s="81">
        <v>180804</v>
      </c>
      <c r="J11" s="79">
        <f t="shared" si="1"/>
        <v>0</v>
      </c>
      <c r="K11" s="79" t="e">
        <f t="shared" si="2"/>
        <v>#N/A</v>
      </c>
      <c r="L11" s="79" t="str">
        <f t="shared" si="3"/>
        <v>STN2-US/IM36678</v>
      </c>
      <c r="M11" s="79">
        <f t="shared" si="4"/>
        <v>18.080400000000001</v>
      </c>
      <c r="N11" s="79">
        <f t="shared" si="5"/>
        <v>0</v>
      </c>
      <c r="O11" s="83" t="str">
        <f t="shared" si="6"/>
        <v>PHY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1</v>
      </c>
      <c r="T11" s="83">
        <f ca="1">IF($O11="G",INDEX('[17]Date Master'!R$3:S$332,MATCH($H11,'[17]Date Master'!R$3:R$332,0),2),0)</f>
        <v>0</v>
      </c>
      <c r="U11" s="83">
        <f t="shared" si="7"/>
        <v>1</v>
      </c>
      <c r="V11" s="83" t="str">
        <f t="shared" si="8"/>
        <v>IMCANADAPHY1</v>
      </c>
      <c r="W11" s="83" t="str">
        <f ca="1">IF(ISNA(V11),"-",INDEX([17]Portfolios!A$3:H$827,MATCH(D11,[17]Portfolios!B$3:B$827,0),7)&amp;H11)</f>
        <v>IMCANADA36678</v>
      </c>
      <c r="X11" s="83" t="str">
        <f t="shared" si="9"/>
        <v>IMCANADAM36678</v>
      </c>
      <c r="Y11" s="83" t="str">
        <f t="shared" si="10"/>
        <v>IMCANADAPHY</v>
      </c>
      <c r="AC11" s="80">
        <v>36033</v>
      </c>
      <c r="AD11" s="81" t="s">
        <v>40</v>
      </c>
      <c r="AE11" s="81" t="s">
        <v>79</v>
      </c>
      <c r="AF11" s="81" t="s">
        <v>80</v>
      </c>
      <c r="AG11" t="s">
        <v>30</v>
      </c>
      <c r="AH11" t="str">
        <f t="shared" si="0"/>
        <v>INTRA-CAND-WEST-PHYAECO-CDN/IM</v>
      </c>
    </row>
    <row r="12" spans="1:36" x14ac:dyDescent="0.2">
      <c r="A12" s="80">
        <v>36698</v>
      </c>
      <c r="B12" s="81" t="s">
        <v>67</v>
      </c>
      <c r="C12" s="81" t="s">
        <v>68</v>
      </c>
      <c r="D12" s="81" t="s">
        <v>107</v>
      </c>
      <c r="E12" s="81" t="s">
        <v>44</v>
      </c>
      <c r="F12" s="81" t="s">
        <v>21</v>
      </c>
      <c r="G12" s="81" t="s">
        <v>110</v>
      </c>
      <c r="H12" s="80">
        <v>36708</v>
      </c>
      <c r="I12" s="81">
        <v>1615517</v>
      </c>
      <c r="J12" s="79">
        <f t="shared" si="1"/>
        <v>0</v>
      </c>
      <c r="K12" s="79" t="e">
        <f t="shared" si="2"/>
        <v>#N/A</v>
      </c>
      <c r="L12" s="79" t="str">
        <f t="shared" si="3"/>
        <v>STN2-US/IM36708</v>
      </c>
      <c r="M12" s="79">
        <f t="shared" si="4"/>
        <v>161.55170000000001</v>
      </c>
      <c r="N12" s="79">
        <f t="shared" si="5"/>
        <v>0</v>
      </c>
      <c r="O12" s="83" t="str">
        <f t="shared" si="6"/>
        <v>PHY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3</v>
      </c>
      <c r="T12" s="83">
        <f ca="1">IF($O12="G",INDEX('[17]Date Master'!R$3:S$332,MATCH($H12,'[17]Date Master'!R$3:R$332,0),2),0)</f>
        <v>0</v>
      </c>
      <c r="U12" s="83">
        <f t="shared" si="7"/>
        <v>3</v>
      </c>
      <c r="V12" s="83" t="str">
        <f t="shared" si="8"/>
        <v>IMCANADAPHY3</v>
      </c>
      <c r="W12" s="83" t="str">
        <f ca="1">IF(ISNA(V12),"-",INDEX([17]Portfolios!A$3:H$827,MATCH(D12,[17]Portfolios!B$3:B$827,0),7)&amp;H12)</f>
        <v>IMCANADA36708</v>
      </c>
      <c r="X12" s="83" t="str">
        <f t="shared" si="9"/>
        <v>IMCANADAM36708</v>
      </c>
      <c r="Y12" s="83" t="str">
        <f t="shared" si="10"/>
        <v>IMCANADAPHY</v>
      </c>
      <c r="AC12" s="80">
        <v>36033</v>
      </c>
      <c r="AD12" s="81" t="s">
        <v>40</v>
      </c>
      <c r="AE12" s="81" t="s">
        <v>79</v>
      </c>
      <c r="AF12" s="81" t="s">
        <v>81</v>
      </c>
      <c r="AG12" t="s">
        <v>30</v>
      </c>
      <c r="AH12" t="str">
        <f t="shared" si="0"/>
        <v>INTRA-CAND-WEST-PHYAECO-US/IM</v>
      </c>
      <c r="AI12" s="81"/>
    </row>
    <row r="13" spans="1:36" x14ac:dyDescent="0.2">
      <c r="A13" s="80">
        <v>36698</v>
      </c>
      <c r="B13" s="81" t="s">
        <v>67</v>
      </c>
      <c r="C13" s="81" t="s">
        <v>68</v>
      </c>
      <c r="D13" s="81" t="s">
        <v>107</v>
      </c>
      <c r="E13" s="81" t="s">
        <v>44</v>
      </c>
      <c r="F13" s="81" t="s">
        <v>21</v>
      </c>
      <c r="G13" s="81" t="s">
        <v>111</v>
      </c>
      <c r="H13" s="80">
        <v>36678</v>
      </c>
      <c r="I13" s="81">
        <v>78415</v>
      </c>
      <c r="J13" s="79">
        <f t="shared" si="1"/>
        <v>0</v>
      </c>
      <c r="K13" s="79" t="e">
        <f t="shared" si="2"/>
        <v>#N/A</v>
      </c>
      <c r="L13" s="79" t="str">
        <f t="shared" si="3"/>
        <v>SUMAS-CDN/IM36678</v>
      </c>
      <c r="M13" s="79">
        <f t="shared" si="4"/>
        <v>7.8414999999999999</v>
      </c>
      <c r="N13" s="79">
        <f t="shared" si="5"/>
        <v>0</v>
      </c>
      <c r="O13" s="83" t="str">
        <f t="shared" si="6"/>
        <v>PHY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1</v>
      </c>
      <c r="T13" s="83">
        <f ca="1">IF($O13="G",INDEX('[17]Date Master'!R$3:S$332,MATCH($H13,'[17]Date Master'!R$3:R$332,0),2),0)</f>
        <v>0</v>
      </c>
      <c r="U13" s="83">
        <f t="shared" si="7"/>
        <v>1</v>
      </c>
      <c r="V13" s="83" t="str">
        <f t="shared" si="8"/>
        <v>IMCANADAPHY1</v>
      </c>
      <c r="W13" s="83" t="str">
        <f ca="1">IF(ISNA(V13),"-",INDEX([17]Portfolios!A$3:H$827,MATCH(D13,[17]Portfolios!B$3:B$827,0),7)&amp;H13)</f>
        <v>IMCANADA36678</v>
      </c>
      <c r="X13" s="83" t="str">
        <f t="shared" si="9"/>
        <v>IMCANADAM36678</v>
      </c>
      <c r="Y13" s="83" t="str">
        <f t="shared" si="10"/>
        <v>IMCANADAPHY</v>
      </c>
      <c r="AC13" s="80">
        <v>36033</v>
      </c>
      <c r="AD13" s="81" t="s">
        <v>40</v>
      </c>
      <c r="AE13" s="81" t="s">
        <v>79</v>
      </c>
      <c r="AF13" s="81" t="s">
        <v>82</v>
      </c>
      <c r="AG13" t="s">
        <v>30</v>
      </c>
      <c r="AH13" t="str">
        <f t="shared" si="0"/>
        <v>INTRA-CAND-WEST-PHYEMPRESS-CDN/IM</v>
      </c>
      <c r="AI13" s="81"/>
    </row>
    <row r="14" spans="1:36" x14ac:dyDescent="0.2">
      <c r="A14" s="80">
        <v>36698</v>
      </c>
      <c r="B14" s="81" t="s">
        <v>67</v>
      </c>
      <c r="C14" s="81" t="s">
        <v>68</v>
      </c>
      <c r="D14" s="81" t="s">
        <v>107</v>
      </c>
      <c r="E14" s="81" t="s">
        <v>44</v>
      </c>
      <c r="F14" s="81" t="s">
        <v>21</v>
      </c>
      <c r="G14" s="81" t="s">
        <v>111</v>
      </c>
      <c r="H14" s="80">
        <v>36708</v>
      </c>
      <c r="I14" s="81">
        <v>302107</v>
      </c>
      <c r="J14" s="79">
        <f t="shared" si="1"/>
        <v>0</v>
      </c>
      <c r="K14" s="79" t="e">
        <f t="shared" si="2"/>
        <v>#N/A</v>
      </c>
      <c r="L14" s="79" t="str">
        <f t="shared" si="3"/>
        <v>SUMAS-CDN/IM36708</v>
      </c>
      <c r="M14" s="79">
        <f t="shared" si="4"/>
        <v>30.210699999999999</v>
      </c>
      <c r="N14" s="79">
        <f t="shared" si="5"/>
        <v>0</v>
      </c>
      <c r="O14" s="83" t="str">
        <f t="shared" si="6"/>
        <v>PHY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3</v>
      </c>
      <c r="T14" s="83">
        <f ca="1">IF($O14="G",INDEX('[17]Date Master'!R$3:S$332,MATCH($H14,'[17]Date Master'!R$3:R$332,0),2),0)</f>
        <v>0</v>
      </c>
      <c r="U14" s="83">
        <f t="shared" si="7"/>
        <v>3</v>
      </c>
      <c r="V14" s="83" t="str">
        <f t="shared" si="8"/>
        <v>IMCANADAPHY3</v>
      </c>
      <c r="W14" s="83" t="str">
        <f ca="1">IF(ISNA(V14),"-",INDEX([17]Portfolios!A$3:H$827,MATCH(D14,[17]Portfolios!B$3:B$827,0),7)&amp;H14)</f>
        <v>IMCANADA36708</v>
      </c>
      <c r="X14" s="83" t="str">
        <f t="shared" si="9"/>
        <v>IMCANADAM36708</v>
      </c>
      <c r="Y14" s="83" t="str">
        <f t="shared" si="10"/>
        <v>IMCANADAPHY</v>
      </c>
      <c r="AC14" s="80">
        <v>36033</v>
      </c>
      <c r="AD14" s="81" t="s">
        <v>40</v>
      </c>
      <c r="AE14" s="81" t="s">
        <v>79</v>
      </c>
      <c r="AF14" s="81" t="s">
        <v>65</v>
      </c>
      <c r="AG14" t="s">
        <v>30</v>
      </c>
      <c r="AH14" t="str">
        <f t="shared" si="0"/>
        <v>INTRA-CAND-WEST-PHYEMPRESS-US/IM</v>
      </c>
    </row>
    <row r="15" spans="1:36" x14ac:dyDescent="0.2">
      <c r="A15" s="80">
        <v>36698</v>
      </c>
      <c r="B15" s="81" t="s">
        <v>67</v>
      </c>
      <c r="C15" s="81" t="s">
        <v>68</v>
      </c>
      <c r="D15" s="81" t="s">
        <v>107</v>
      </c>
      <c r="E15" s="81" t="s">
        <v>44</v>
      </c>
      <c r="F15" s="81" t="s">
        <v>21</v>
      </c>
      <c r="G15" s="81" t="s">
        <v>112</v>
      </c>
      <c r="H15" s="80">
        <v>36678</v>
      </c>
      <c r="I15" s="81">
        <v>-109057</v>
      </c>
      <c r="J15" s="79">
        <f t="shared" si="1"/>
        <v>0</v>
      </c>
      <c r="K15" s="79" t="e">
        <f t="shared" si="2"/>
        <v>#N/A</v>
      </c>
      <c r="L15" s="79" t="str">
        <f t="shared" si="3"/>
        <v>SUMAS-US/IM36678</v>
      </c>
      <c r="M15" s="79">
        <f t="shared" si="4"/>
        <v>-10.9057</v>
      </c>
      <c r="N15" s="79">
        <f t="shared" si="5"/>
        <v>0</v>
      </c>
      <c r="O15" s="83" t="str">
        <f t="shared" si="6"/>
        <v>PHY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1</v>
      </c>
      <c r="T15" s="83">
        <f ca="1">IF($O15="G",INDEX('[17]Date Master'!R$3:S$332,MATCH($H15,'[17]Date Master'!R$3:R$332,0),2),0)</f>
        <v>0</v>
      </c>
      <c r="U15" s="83">
        <f t="shared" si="7"/>
        <v>1</v>
      </c>
      <c r="V15" s="83" t="str">
        <f t="shared" si="8"/>
        <v>IMCANADAPHY1</v>
      </c>
      <c r="W15" s="83" t="str">
        <f ca="1">IF(ISNA(V15),"-",INDEX([17]Portfolios!A$3:H$827,MATCH(D15,[17]Portfolios!B$3:B$827,0),7)&amp;H15)</f>
        <v>IMCANADA36678</v>
      </c>
      <c r="X15" s="83" t="str">
        <f t="shared" si="9"/>
        <v>IMCANADAM36678</v>
      </c>
      <c r="Y15" s="83" t="str">
        <f t="shared" si="10"/>
        <v>IMCANADAPHY</v>
      </c>
      <c r="AC15" s="80">
        <v>36033</v>
      </c>
      <c r="AD15" s="81" t="s">
        <v>40</v>
      </c>
      <c r="AE15" s="81" t="s">
        <v>79</v>
      </c>
      <c r="AF15" s="81" t="s">
        <v>43</v>
      </c>
      <c r="AG15" t="s">
        <v>30</v>
      </c>
      <c r="AH15" t="str">
        <f t="shared" si="0"/>
        <v>INTRA-CAND-WEST-PHYGD-AECOUS-DAILY</v>
      </c>
    </row>
    <row r="16" spans="1:36" x14ac:dyDescent="0.2">
      <c r="A16" s="80">
        <v>36698</v>
      </c>
      <c r="B16" s="81" t="s">
        <v>67</v>
      </c>
      <c r="C16" s="81" t="s">
        <v>68</v>
      </c>
      <c r="D16" s="81" t="s">
        <v>107</v>
      </c>
      <c r="E16" s="81" t="s">
        <v>44</v>
      </c>
      <c r="F16" s="81" t="s">
        <v>21</v>
      </c>
      <c r="G16" s="81" t="s">
        <v>112</v>
      </c>
      <c r="H16" s="80">
        <v>36708</v>
      </c>
      <c r="I16" s="81">
        <v>-1691802</v>
      </c>
      <c r="J16" s="79">
        <f t="shared" si="1"/>
        <v>0</v>
      </c>
      <c r="K16" s="79" t="e">
        <f t="shared" si="2"/>
        <v>#N/A</v>
      </c>
      <c r="L16" s="79" t="str">
        <f t="shared" si="3"/>
        <v>SUMAS-US/IM36708</v>
      </c>
      <c r="M16" s="79">
        <f t="shared" si="4"/>
        <v>-169.18020000000001</v>
      </c>
      <c r="N16" s="79">
        <f t="shared" si="5"/>
        <v>0</v>
      </c>
      <c r="O16" s="83" t="str">
        <f t="shared" si="6"/>
        <v>PHY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3</v>
      </c>
      <c r="T16" s="83">
        <f ca="1">IF($O16="G",INDEX('[17]Date Master'!R$3:S$332,MATCH($H16,'[17]Date Master'!R$3:R$332,0),2),0)</f>
        <v>0</v>
      </c>
      <c r="U16" s="83">
        <f t="shared" si="7"/>
        <v>3</v>
      </c>
      <c r="V16" s="83" t="str">
        <f t="shared" si="8"/>
        <v>IMCANADAPHY3</v>
      </c>
      <c r="W16" s="83" t="str">
        <f ca="1">IF(ISNA(V16),"-",INDEX([17]Portfolios!A$3:H$827,MATCH(D16,[17]Portfolios!B$3:B$827,0),7)&amp;H16)</f>
        <v>IMCANADA36708</v>
      </c>
      <c r="X16" s="83" t="str">
        <f t="shared" si="9"/>
        <v>IMCANADAM36708</v>
      </c>
      <c r="Y16" s="83" t="str">
        <f t="shared" si="10"/>
        <v>IMCANADAPHY</v>
      </c>
      <c r="AC16" s="80">
        <v>36033</v>
      </c>
      <c r="AD16" s="81" t="s">
        <v>40</v>
      </c>
      <c r="AE16" s="81" t="s">
        <v>79</v>
      </c>
      <c r="AF16" s="81" t="s">
        <v>42</v>
      </c>
      <c r="AG16" t="s">
        <v>19</v>
      </c>
      <c r="AH16" t="str">
        <f t="shared" si="0"/>
        <v>INTRA-CAND-WEST-PHYGD-CGPR-AECO/AV</v>
      </c>
    </row>
    <row r="17" spans="1:36" x14ac:dyDescent="0.2">
      <c r="A17" s="80">
        <v>36698</v>
      </c>
      <c r="B17" s="81" t="s">
        <v>67</v>
      </c>
      <c r="C17" s="81" t="s">
        <v>68</v>
      </c>
      <c r="D17" s="81" t="s">
        <v>105</v>
      </c>
      <c r="E17" s="81" t="s">
        <v>21</v>
      </c>
      <c r="F17" s="81"/>
      <c r="G17" s="81" t="s">
        <v>106</v>
      </c>
      <c r="H17" s="80">
        <v>36678</v>
      </c>
      <c r="I17" s="81">
        <v>1054170</v>
      </c>
      <c r="J17" s="79">
        <f t="shared" si="1"/>
        <v>0</v>
      </c>
      <c r="K17" s="79" t="e">
        <f t="shared" si="2"/>
        <v>#N/A</v>
      </c>
      <c r="L17" s="79" t="str">
        <f t="shared" si="3"/>
        <v>IF-NTHWST/CANB36678</v>
      </c>
      <c r="M17" s="79">
        <f t="shared" si="4"/>
        <v>105.417</v>
      </c>
      <c r="N17" s="79">
        <f t="shared" si="5"/>
        <v>0</v>
      </c>
      <c r="O17" s="83" t="str">
        <f t="shared" si="6"/>
        <v>P</v>
      </c>
      <c r="P17" s="83" t="str">
        <f ca="1">INDEX([17]Portfolios!A$3:G$929,MATCH(D17,[17]Portfolios!B$3:B$929,0),7)</f>
        <v>IMCANADA</v>
      </c>
      <c r="Q17" s="83" t="e">
        <f ca="1">IF($O17="P",INDEX('[17]Date Master'!I$3:J$332,MATCH($H17,'[17]Date Master'!I$3:I$332,0),2),0)</f>
        <v>#N/A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0</v>
      </c>
      <c r="U17" s="83" t="e">
        <f t="shared" si="7"/>
        <v>#N/A</v>
      </c>
      <c r="V17" s="83" t="e">
        <f t="shared" si="8"/>
        <v>#N/A</v>
      </c>
      <c r="W17" s="83" t="str">
        <f ca="1">IF(ISNA(V17),"-",INDEX([17]Portfolios!A$3:H$827,MATCH(D17,[17]Portfolios!B$3:B$827,0),7)&amp;H17)</f>
        <v>-</v>
      </c>
      <c r="X17" s="83" t="str">
        <f t="shared" si="9"/>
        <v>-</v>
      </c>
      <c r="Y17" s="83" t="str">
        <f t="shared" si="10"/>
        <v>IMCANADAP</v>
      </c>
      <c r="AC17" s="80">
        <v>36033</v>
      </c>
      <c r="AD17" s="81" t="s">
        <v>40</v>
      </c>
      <c r="AE17" s="81" t="s">
        <v>79</v>
      </c>
      <c r="AF17" s="81" t="s">
        <v>83</v>
      </c>
      <c r="AG17" t="s">
        <v>30</v>
      </c>
      <c r="AH17" t="str">
        <f t="shared" si="0"/>
        <v>INTRA-CAND-WEST-PHYGD-CGPR-AECO/DA</v>
      </c>
    </row>
    <row r="18" spans="1:36" x14ac:dyDescent="0.2">
      <c r="A18" s="80">
        <v>36698</v>
      </c>
      <c r="B18" s="81" t="s">
        <v>67</v>
      </c>
      <c r="C18" s="81" t="s">
        <v>68</v>
      </c>
      <c r="D18" s="81" t="s">
        <v>105</v>
      </c>
      <c r="E18" s="81" t="s">
        <v>21</v>
      </c>
      <c r="F18" s="81"/>
      <c r="G18" s="81" t="s">
        <v>106</v>
      </c>
      <c r="H18" s="80">
        <v>36708</v>
      </c>
      <c r="I18" s="81">
        <v>162940</v>
      </c>
      <c r="J18" s="79">
        <f t="shared" si="1"/>
        <v>0</v>
      </c>
      <c r="K18" s="79" t="e">
        <f t="shared" si="2"/>
        <v>#N/A</v>
      </c>
      <c r="L18" s="79" t="str">
        <f t="shared" si="3"/>
        <v>IF-NTHWST/CANB36708</v>
      </c>
      <c r="M18" s="79">
        <f t="shared" si="4"/>
        <v>16.294</v>
      </c>
      <c r="N18" s="79">
        <f t="shared" si="5"/>
        <v>0</v>
      </c>
      <c r="O18" s="83" t="str">
        <f t="shared" si="6"/>
        <v>P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3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0</v>
      </c>
      <c r="U18" s="83">
        <f t="shared" si="7"/>
        <v>3</v>
      </c>
      <c r="V18" s="83" t="str">
        <f t="shared" si="8"/>
        <v>IMCANADAP3</v>
      </c>
      <c r="W18" s="83" t="str">
        <f ca="1">IF(ISNA(V18),"-",INDEX([17]Portfolios!A$3:H$827,MATCH(D18,[17]Portfolios!B$3:B$827,0),7)&amp;H18)</f>
        <v>IMCANADA36708</v>
      </c>
      <c r="X18" s="83" t="str">
        <f t="shared" si="9"/>
        <v>IMCANADAP36708</v>
      </c>
      <c r="Y18" s="83" t="str">
        <f t="shared" si="10"/>
        <v>IMCANADAP</v>
      </c>
      <c r="AC18" s="80">
        <v>36033</v>
      </c>
      <c r="AD18" s="81" t="s">
        <v>40</v>
      </c>
      <c r="AE18" s="81" t="s">
        <v>79</v>
      </c>
      <c r="AF18" s="81" t="s">
        <v>84</v>
      </c>
      <c r="AG18" t="s">
        <v>19</v>
      </c>
      <c r="AH18" t="str">
        <f t="shared" si="0"/>
        <v>INTRA-CAND-WEST-PHYGD-CGPR-EMPRESS</v>
      </c>
      <c r="AJ18" s="78"/>
    </row>
    <row r="19" spans="1:36" x14ac:dyDescent="0.2">
      <c r="A19" s="80">
        <v>36698</v>
      </c>
      <c r="B19" s="81" t="s">
        <v>67</v>
      </c>
      <c r="C19" s="81" t="s">
        <v>68</v>
      </c>
      <c r="D19" s="81" t="s">
        <v>105</v>
      </c>
      <c r="E19" s="81" t="s">
        <v>21</v>
      </c>
      <c r="F19" s="81"/>
      <c r="G19" s="81" t="s">
        <v>48</v>
      </c>
      <c r="H19" s="80">
        <v>36678</v>
      </c>
      <c r="I19" s="81">
        <v>-1200000</v>
      </c>
      <c r="J19" s="79">
        <f t="shared" si="1"/>
        <v>-840000</v>
      </c>
      <c r="K19" s="79">
        <f t="shared" si="2"/>
        <v>0.7</v>
      </c>
      <c r="L19" s="79" t="str">
        <f t="shared" si="3"/>
        <v>IF-NTHWST/CANBR36678</v>
      </c>
      <c r="M19" s="79">
        <f t="shared" si="4"/>
        <v>-120</v>
      </c>
      <c r="N19" s="79">
        <f t="shared" si="5"/>
        <v>-84</v>
      </c>
      <c r="O19" s="83" t="str">
        <f t="shared" si="6"/>
        <v>P</v>
      </c>
      <c r="P19" s="83" t="str">
        <f ca="1">INDEX([17]Portfolios!A$3:G$929,MATCH(D19,[17]Portfolios!B$3:B$929,0),7)</f>
        <v>IMCANADA</v>
      </c>
      <c r="Q19" s="83" t="e">
        <f ca="1">IF($O19="P",INDEX('[17]Date Master'!I$3:J$332,MATCH($H19,'[17]Date Master'!I$3:I$332,0),2),0)</f>
        <v>#N/A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0</v>
      </c>
      <c r="U19" s="83" t="e">
        <f t="shared" si="7"/>
        <v>#N/A</v>
      </c>
      <c r="V19" s="83" t="e">
        <f t="shared" si="8"/>
        <v>#N/A</v>
      </c>
      <c r="W19" s="83" t="str">
        <f ca="1">IF(ISNA(V19),"-",INDEX([17]Portfolios!A$3:H$827,MATCH(D19,[17]Portfolios!B$3:B$827,0),7)&amp;H19)</f>
        <v>-</v>
      </c>
      <c r="X19" s="83" t="str">
        <f t="shared" si="9"/>
        <v>-</v>
      </c>
      <c r="Y19" s="83" t="str">
        <f t="shared" si="10"/>
        <v>IMCANADAP</v>
      </c>
      <c r="AC19" s="80">
        <v>36033</v>
      </c>
      <c r="AD19" s="81" t="s">
        <v>40</v>
      </c>
      <c r="AE19" s="81" t="s">
        <v>41</v>
      </c>
      <c r="AF19" s="81" t="s">
        <v>42</v>
      </c>
      <c r="AG19" t="s">
        <v>19</v>
      </c>
      <c r="AH19" t="str">
        <f t="shared" si="0"/>
        <v>INTRA-CAND-BC-GD-GDLGD-CGPR-AECO/AV</v>
      </c>
      <c r="AJ19" s="78"/>
    </row>
    <row r="20" spans="1:36" x14ac:dyDescent="0.2">
      <c r="A20" s="80">
        <v>36698</v>
      </c>
      <c r="B20" s="81" t="s">
        <v>67</v>
      </c>
      <c r="C20" s="81" t="s">
        <v>68</v>
      </c>
      <c r="D20" s="81" t="s">
        <v>105</v>
      </c>
      <c r="E20" s="81" t="s">
        <v>21</v>
      </c>
      <c r="F20" s="81"/>
      <c r="G20" s="81" t="s">
        <v>48</v>
      </c>
      <c r="H20" s="80">
        <v>36708</v>
      </c>
      <c r="I20" s="81">
        <v>619011</v>
      </c>
      <c r="J20" s="79">
        <f t="shared" si="1"/>
        <v>433307.69999999995</v>
      </c>
      <c r="K20" s="79">
        <f t="shared" si="2"/>
        <v>0.7</v>
      </c>
      <c r="L20" s="79" t="str">
        <f t="shared" si="3"/>
        <v>IF-NTHWST/CANBR36708</v>
      </c>
      <c r="M20" s="79">
        <f t="shared" si="4"/>
        <v>61.9011</v>
      </c>
      <c r="N20" s="79">
        <f t="shared" si="5"/>
        <v>43.330769999999994</v>
      </c>
      <c r="O20" s="83" t="str">
        <f t="shared" si="6"/>
        <v>P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3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0</v>
      </c>
      <c r="U20" s="83">
        <f t="shared" si="7"/>
        <v>3</v>
      </c>
      <c r="V20" s="83" t="str">
        <f t="shared" si="8"/>
        <v>IMCANADAP3</v>
      </c>
      <c r="W20" s="83" t="str">
        <f ca="1">IF(ISNA(V20),"-",INDEX([17]Portfolios!A$3:H$827,MATCH(D20,[17]Portfolios!B$3:B$827,0),7)&amp;H20)</f>
        <v>IMCANADA36708</v>
      </c>
      <c r="X20" s="83" t="str">
        <f t="shared" si="9"/>
        <v>IMCANADAP36708</v>
      </c>
      <c r="Y20" s="83" t="str">
        <f t="shared" si="10"/>
        <v>IMCANADAP</v>
      </c>
      <c r="AC20" s="80">
        <v>36033</v>
      </c>
      <c r="AD20" s="81" t="s">
        <v>40</v>
      </c>
      <c r="AE20" s="81" t="s">
        <v>41</v>
      </c>
      <c r="AF20" s="81" t="s">
        <v>85</v>
      </c>
      <c r="AG20" t="s">
        <v>19</v>
      </c>
      <c r="AH20" t="str">
        <f t="shared" si="0"/>
        <v>INTRA-CAND-BC-GD-GDLGD-NTHWST/CANB</v>
      </c>
      <c r="AJ20" s="78"/>
    </row>
    <row r="21" spans="1:36" x14ac:dyDescent="0.2">
      <c r="A21" s="80">
        <v>36698</v>
      </c>
      <c r="B21" s="81" t="s">
        <v>67</v>
      </c>
      <c r="C21" s="81" t="s">
        <v>68</v>
      </c>
      <c r="D21" s="81" t="s">
        <v>105</v>
      </c>
      <c r="E21" s="81" t="s">
        <v>21</v>
      </c>
      <c r="F21" s="81"/>
      <c r="G21" s="81" t="s">
        <v>48</v>
      </c>
      <c r="H21" s="80">
        <v>36739</v>
      </c>
      <c r="I21" s="81">
        <v>0</v>
      </c>
      <c r="J21" s="79">
        <f t="shared" si="1"/>
        <v>0</v>
      </c>
      <c r="K21" s="79">
        <f t="shared" si="2"/>
        <v>0.7</v>
      </c>
      <c r="L21" s="79" t="str">
        <f t="shared" si="3"/>
        <v>IF-NTHWST/CANBR36739</v>
      </c>
      <c r="M21" s="79">
        <f t="shared" si="4"/>
        <v>0</v>
      </c>
      <c r="N21" s="79">
        <f t="shared" si="5"/>
        <v>0</v>
      </c>
      <c r="O21" s="83" t="str">
        <f t="shared" si="6"/>
        <v>P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4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0</v>
      </c>
      <c r="T21" s="83">
        <f ca="1">IF($O21="G",INDEX('[17]Date Master'!R$3:S$332,MATCH($H21,'[17]Date Master'!R$3:R$332,0),2),0)</f>
        <v>0</v>
      </c>
      <c r="U21" s="83">
        <f t="shared" si="7"/>
        <v>4</v>
      </c>
      <c r="V21" s="83" t="str">
        <f t="shared" si="8"/>
        <v>IMCANADAP4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IMCANADAP36739</v>
      </c>
      <c r="Y21" s="83" t="str">
        <f t="shared" si="10"/>
        <v>IMCANADAP</v>
      </c>
      <c r="AC21" s="80">
        <v>36033</v>
      </c>
      <c r="AD21" s="81" t="s">
        <v>40</v>
      </c>
      <c r="AE21" s="81" t="s">
        <v>86</v>
      </c>
      <c r="AF21" t="s">
        <v>71</v>
      </c>
      <c r="AG21" t="s">
        <v>21</v>
      </c>
      <c r="AH21" t="str">
        <f t="shared" si="0"/>
        <v>INTRA-CAND-WEST-PRCNG</v>
      </c>
      <c r="AJ21" s="78"/>
    </row>
    <row r="22" spans="1:36" x14ac:dyDescent="0.2">
      <c r="A22" s="80">
        <v>36698</v>
      </c>
      <c r="B22" s="81" t="s">
        <v>67</v>
      </c>
      <c r="C22" s="81" t="s">
        <v>68</v>
      </c>
      <c r="D22" s="81" t="s">
        <v>105</v>
      </c>
      <c r="E22" s="81" t="s">
        <v>21</v>
      </c>
      <c r="F22" s="81"/>
      <c r="G22" s="81" t="s">
        <v>48</v>
      </c>
      <c r="H22" s="80">
        <v>36770</v>
      </c>
      <c r="I22" s="81">
        <v>0</v>
      </c>
      <c r="J22" s="79">
        <f t="shared" si="1"/>
        <v>0</v>
      </c>
      <c r="K22" s="79">
        <f t="shared" si="2"/>
        <v>0.7</v>
      </c>
      <c r="L22" s="79" t="str">
        <f t="shared" si="3"/>
        <v>IF-NTHWST/CANBR36770</v>
      </c>
      <c r="M22" s="79">
        <f t="shared" si="4"/>
        <v>0</v>
      </c>
      <c r="N22" s="79">
        <f t="shared" si="5"/>
        <v>0</v>
      </c>
      <c r="O22" s="83" t="str">
        <f t="shared" si="6"/>
        <v>P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5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0</v>
      </c>
      <c r="T22" s="83">
        <f ca="1">IF($O22="G",INDEX('[17]Date Master'!R$3:S$332,MATCH($H22,'[17]Date Master'!R$3:R$332,0),2),0)</f>
        <v>0</v>
      </c>
      <c r="U22" s="83">
        <f t="shared" si="7"/>
        <v>5</v>
      </c>
      <c r="V22" s="83" t="str">
        <f t="shared" si="8"/>
        <v>IMCANADAP5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IMCANADAP36770</v>
      </c>
      <c r="Y22" s="83" t="str">
        <f t="shared" si="10"/>
        <v>IMCANADAP</v>
      </c>
      <c r="AC22" s="80">
        <v>36033</v>
      </c>
      <c r="AD22" s="81" t="s">
        <v>40</v>
      </c>
      <c r="AE22" s="81" t="s">
        <v>86</v>
      </c>
      <c r="AF22" t="s">
        <v>88</v>
      </c>
      <c r="AG22" t="s">
        <v>21</v>
      </c>
      <c r="AH22" t="str">
        <f t="shared" si="0"/>
        <v>INTRA-CAND-WEST-PRCCGPR-AECO/BASIS</v>
      </c>
    </row>
    <row r="23" spans="1:36" x14ac:dyDescent="0.2">
      <c r="A23" s="80">
        <v>36698</v>
      </c>
      <c r="B23" s="81" t="s">
        <v>67</v>
      </c>
      <c r="C23" s="81" t="s">
        <v>68</v>
      </c>
      <c r="D23" s="81" t="s">
        <v>105</v>
      </c>
      <c r="E23" s="81" t="s">
        <v>21</v>
      </c>
      <c r="F23" s="81"/>
      <c r="G23" s="81" t="s">
        <v>48</v>
      </c>
      <c r="H23" s="80">
        <v>36800</v>
      </c>
      <c r="I23" s="81">
        <v>0</v>
      </c>
      <c r="J23" s="79">
        <f t="shared" si="1"/>
        <v>0</v>
      </c>
      <c r="K23" s="79">
        <f t="shared" si="2"/>
        <v>0.7</v>
      </c>
      <c r="L23" s="79" t="str">
        <f t="shared" si="3"/>
        <v>IF-NTHWST/CANBR36800</v>
      </c>
      <c r="M23" s="79">
        <f t="shared" si="4"/>
        <v>0</v>
      </c>
      <c r="N23" s="79">
        <f t="shared" si="5"/>
        <v>0</v>
      </c>
      <c r="O23" s="83" t="str">
        <f t="shared" si="6"/>
        <v>P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6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0</v>
      </c>
      <c r="T23" s="83">
        <f ca="1">IF($O23="G",INDEX('[17]Date Master'!R$3:S$332,MATCH($H23,'[17]Date Master'!R$3:R$332,0),2),0)</f>
        <v>0</v>
      </c>
      <c r="U23" s="83">
        <f t="shared" si="7"/>
        <v>6</v>
      </c>
      <c r="V23" s="83" t="str">
        <f t="shared" si="8"/>
        <v>IMCANADAP6</v>
      </c>
      <c r="W23" s="83" t="str">
        <f ca="1">IF(ISNA(V23),"-",INDEX([17]Portfolios!A$3:H$827,MATCH(D23,[17]Portfolios!B$3:B$827,0),7)&amp;H23)</f>
        <v>IMCANADA36800</v>
      </c>
      <c r="X23" s="83" t="str">
        <f t="shared" si="9"/>
        <v>IMCANADAP36800</v>
      </c>
      <c r="Y23" s="83" t="str">
        <f t="shared" si="10"/>
        <v>IMCANADAP</v>
      </c>
      <c r="AC23" s="80">
        <v>36033</v>
      </c>
      <c r="AD23" s="81" t="s">
        <v>40</v>
      </c>
      <c r="AE23" s="81" t="s">
        <v>86</v>
      </c>
      <c r="AF23" t="s">
        <v>89</v>
      </c>
      <c r="AG23" t="s">
        <v>21</v>
      </c>
      <c r="AH23" t="str">
        <f t="shared" si="0"/>
        <v>INTRA-CAND-WEST-PRCIF-NWPL_ROCKY_M</v>
      </c>
      <c r="AJ23" s="78"/>
    </row>
    <row r="24" spans="1:36" x14ac:dyDescent="0.2">
      <c r="A24" s="80">
        <v>36698</v>
      </c>
      <c r="B24" t="s">
        <v>67</v>
      </c>
      <c r="C24" t="s">
        <v>68</v>
      </c>
      <c r="D24" t="s">
        <v>105</v>
      </c>
      <c r="E24" t="s">
        <v>21</v>
      </c>
      <c r="G24" t="s">
        <v>89</v>
      </c>
      <c r="H24" s="80">
        <v>36678</v>
      </c>
      <c r="I24">
        <v>600000</v>
      </c>
      <c r="J24" s="79">
        <f t="shared" si="1"/>
        <v>0</v>
      </c>
      <c r="K24" s="79" t="e">
        <f t="shared" si="2"/>
        <v>#N/A</v>
      </c>
      <c r="L24" s="79" t="str">
        <f t="shared" si="3"/>
        <v>IF-NWPL_ROCKY_M36678</v>
      </c>
      <c r="M24" s="79">
        <f t="shared" si="4"/>
        <v>60</v>
      </c>
      <c r="N24" s="79">
        <f t="shared" si="5"/>
        <v>0</v>
      </c>
      <c r="O24" s="83" t="str">
        <f t="shared" si="6"/>
        <v>P</v>
      </c>
      <c r="P24" s="83" t="str">
        <f ca="1">INDEX([17]Portfolios!A$3:G$929,MATCH(D24,[17]Portfolios!B$3:B$929,0),7)</f>
        <v>IMCANADA</v>
      </c>
      <c r="Q24" s="83" t="e">
        <f ca="1">IF($O24="P",INDEX('[17]Date Master'!I$3:J$332,MATCH($H24,'[17]Date Master'!I$3:I$332,0),2),0)</f>
        <v>#N/A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0</v>
      </c>
      <c r="T24" s="83">
        <f ca="1">IF($O24="G",INDEX('[17]Date Master'!R$3:S$332,MATCH($H24,'[17]Date Master'!R$3:R$332,0),2),0)</f>
        <v>0</v>
      </c>
      <c r="U24" s="83" t="e">
        <f t="shared" si="7"/>
        <v>#N/A</v>
      </c>
      <c r="V24" s="83" t="e">
        <f t="shared" si="8"/>
        <v>#N/A</v>
      </c>
      <c r="W24" s="83" t="str">
        <f ca="1">IF(ISNA(V24),"-",INDEX([17]Portfolios!A$3:H$827,MATCH(D24,[17]Portfolios!B$3:B$827,0),7)&amp;H24)</f>
        <v>-</v>
      </c>
      <c r="X24" s="83" t="str">
        <f t="shared" si="9"/>
        <v>-</v>
      </c>
      <c r="Y24" s="83" t="str">
        <f t="shared" si="10"/>
        <v>IMCANADAP</v>
      </c>
      <c r="AC24" s="80">
        <v>36033</v>
      </c>
      <c r="AD24" s="81" t="s">
        <v>40</v>
      </c>
      <c r="AE24" t="s">
        <v>69</v>
      </c>
      <c r="AF24" t="s">
        <v>43</v>
      </c>
      <c r="AG24" t="s">
        <v>19</v>
      </c>
      <c r="AH24" t="str">
        <f t="shared" si="0"/>
        <v>INTRA-CAND-WE-GD-GDLGD-AECOUS-DAILY</v>
      </c>
      <c r="AJ24" s="78"/>
    </row>
    <row r="25" spans="1:36" x14ac:dyDescent="0.2">
      <c r="A25" s="80">
        <v>36698</v>
      </c>
      <c r="B25" t="s">
        <v>67</v>
      </c>
      <c r="C25" t="s">
        <v>68</v>
      </c>
      <c r="D25" t="s">
        <v>105</v>
      </c>
      <c r="E25" t="s">
        <v>21</v>
      </c>
      <c r="G25" t="s">
        <v>89</v>
      </c>
      <c r="H25" s="80">
        <v>36708</v>
      </c>
      <c r="I25">
        <v>541635</v>
      </c>
      <c r="J25" s="79">
        <f t="shared" si="1"/>
        <v>0</v>
      </c>
      <c r="K25" s="79" t="e">
        <f t="shared" si="2"/>
        <v>#N/A</v>
      </c>
      <c r="L25" s="79" t="str">
        <f t="shared" si="3"/>
        <v>IF-NWPL_ROCKY_M36708</v>
      </c>
      <c r="M25" s="79">
        <f t="shared" si="4"/>
        <v>54.163499999999999</v>
      </c>
      <c r="N25" s="79">
        <f t="shared" si="5"/>
        <v>0</v>
      </c>
      <c r="O25" s="83" t="str">
        <f t="shared" si="6"/>
        <v>P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3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0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IMCANADAP3</v>
      </c>
      <c r="W25" s="83" t="str">
        <f ca="1">IF(ISNA(V25),"-",INDEX([17]Portfolios!A$3:H$827,MATCH(D25,[17]Portfolios!B$3:B$827,0),7)&amp;H25)</f>
        <v>IMCANADA36708</v>
      </c>
      <c r="X25" s="83" t="str">
        <f t="shared" si="9"/>
        <v>IMCANADAP36708</v>
      </c>
      <c r="Y25" s="83" t="str">
        <f t="shared" si="10"/>
        <v>IMCANADAP</v>
      </c>
      <c r="AC25" s="80">
        <v>36033</v>
      </c>
      <c r="AD25" s="81" t="s">
        <v>40</v>
      </c>
      <c r="AE25" s="81" t="s">
        <v>79</v>
      </c>
      <c r="AF25" t="s">
        <v>90</v>
      </c>
      <c r="AG25" t="s">
        <v>30</v>
      </c>
      <c r="AH25" t="str">
        <f ca="1">CONCATENATE(AE25,AF25)</f>
        <v>INTRA-CAND-WEST-PHYGDC-EMPRESS/DAY</v>
      </c>
      <c r="AJ25" s="78"/>
    </row>
    <row r="26" spans="1:36" x14ac:dyDescent="0.2">
      <c r="A26" s="80">
        <v>36698</v>
      </c>
      <c r="B26" t="s">
        <v>67</v>
      </c>
      <c r="C26" t="s">
        <v>68</v>
      </c>
      <c r="D26" t="s">
        <v>105</v>
      </c>
      <c r="E26" t="s">
        <v>21</v>
      </c>
      <c r="G26" t="s">
        <v>71</v>
      </c>
      <c r="H26" s="80">
        <v>36678</v>
      </c>
      <c r="I26">
        <v>0</v>
      </c>
      <c r="J26" s="79">
        <f t="shared" si="1"/>
        <v>0</v>
      </c>
      <c r="K26" s="79">
        <f t="shared" si="2"/>
        <v>1</v>
      </c>
      <c r="L26" s="79" t="str">
        <f t="shared" si="3"/>
        <v>NG36678</v>
      </c>
      <c r="M26" s="79">
        <f t="shared" si="4"/>
        <v>0</v>
      </c>
      <c r="N26" s="79">
        <f t="shared" si="5"/>
        <v>0</v>
      </c>
      <c r="O26" s="83" t="str">
        <f t="shared" si="6"/>
        <v>P</v>
      </c>
      <c r="P26" s="83" t="str">
        <f ca="1">INDEX([17]Portfolios!A$3:G$929,MATCH(D26,[17]Portfolios!B$3:B$929,0),7)</f>
        <v>IMCANADA</v>
      </c>
      <c r="Q26" s="83" t="e">
        <f ca="1">IF($O26="P",INDEX('[17]Date Master'!I$3:J$332,MATCH($H26,'[17]Date Master'!I$3:I$332,0),2),0)</f>
        <v>#N/A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0</v>
      </c>
      <c r="T26" s="83">
        <f ca="1">IF($O26="G",INDEX('[17]Date Master'!R$3:S$332,MATCH($H26,'[17]Date Master'!R$3:R$332,0),2),0)</f>
        <v>0</v>
      </c>
      <c r="U26" s="83" t="e">
        <f t="shared" si="7"/>
        <v>#N/A</v>
      </c>
      <c r="V26" s="83" t="e">
        <f t="shared" si="8"/>
        <v>#N/A</v>
      </c>
      <c r="W26" s="83" t="str">
        <f ca="1">IF(ISNA(V26),"-",INDEX([17]Portfolios!A$3:H$827,MATCH(D26,[17]Portfolios!B$3:B$827,0),7)&amp;H26)</f>
        <v>-</v>
      </c>
      <c r="X26" s="83" t="str">
        <f t="shared" si="9"/>
        <v>-</v>
      </c>
      <c r="Y26" s="83" t="str">
        <f t="shared" si="10"/>
        <v>IMCANADAP</v>
      </c>
      <c r="AC26" s="80">
        <v>36033</v>
      </c>
      <c r="AD26" s="81" t="s">
        <v>40</v>
      </c>
      <c r="AE26" s="81" t="s">
        <v>91</v>
      </c>
      <c r="AF26" s="81" t="s">
        <v>73</v>
      </c>
      <c r="AG26" t="s">
        <v>21</v>
      </c>
      <c r="AH26" t="str">
        <f t="shared" ref="AH26:AH33" si="11">CONCATENATE(AE26,AF26)</f>
        <v>IMCAN-ERMS-XL-PRCNGMR-AECO/C</v>
      </c>
      <c r="AJ26" s="78"/>
    </row>
    <row r="27" spans="1:36" x14ac:dyDescent="0.2">
      <c r="A27" s="80">
        <v>36698</v>
      </c>
      <c r="B27" t="s">
        <v>67</v>
      </c>
      <c r="C27" t="s">
        <v>68</v>
      </c>
      <c r="D27" t="s">
        <v>105</v>
      </c>
      <c r="E27" t="s">
        <v>21</v>
      </c>
      <c r="G27" t="s">
        <v>71</v>
      </c>
      <c r="H27" s="80">
        <v>36708</v>
      </c>
      <c r="I27">
        <v>541635</v>
      </c>
      <c r="J27" s="79">
        <f t="shared" si="1"/>
        <v>541635</v>
      </c>
      <c r="K27" s="79">
        <f t="shared" si="2"/>
        <v>1</v>
      </c>
      <c r="L27" s="79" t="str">
        <f t="shared" si="3"/>
        <v>NG36708</v>
      </c>
      <c r="M27" s="79">
        <f t="shared" si="4"/>
        <v>54.163499999999999</v>
      </c>
      <c r="N27" s="79">
        <f t="shared" si="5"/>
        <v>54.163499999999999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>
        <f ca="1">IF($O27="P",INDEX('[17]Date Master'!I$3:J$332,MATCH($H27,'[17]Date Master'!I$3:I$332,0),2),0)</f>
        <v>3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>
        <f t="shared" si="7"/>
        <v>3</v>
      </c>
      <c r="V27" s="83" t="str">
        <f t="shared" si="8"/>
        <v>IMCANADAP3</v>
      </c>
      <c r="W27" s="83" t="str">
        <f ca="1">IF(ISNA(V27),"-",INDEX([17]Portfolios!A$3:H$827,MATCH(D27,[17]Portfolios!B$3:B$827,0),7)&amp;H27)</f>
        <v>IMCANADA36708</v>
      </c>
      <c r="X27" s="83" t="str">
        <f t="shared" si="9"/>
        <v>IMCANADAP36708</v>
      </c>
      <c r="Y27" s="83" t="str">
        <f t="shared" si="10"/>
        <v>IMCANADAP</v>
      </c>
      <c r="AC27" s="80">
        <v>36033</v>
      </c>
      <c r="AD27" s="81" t="s">
        <v>40</v>
      </c>
      <c r="AE27" s="81" t="s">
        <v>91</v>
      </c>
      <c r="AF27" s="84" t="s">
        <v>71</v>
      </c>
      <c r="AG27" t="s">
        <v>21</v>
      </c>
      <c r="AH27" t="str">
        <f t="shared" si="11"/>
        <v>IMCAN-ERMS-XL-PRCNG</v>
      </c>
    </row>
    <row r="28" spans="1:36" x14ac:dyDescent="0.2">
      <c r="A28" s="80">
        <v>36698</v>
      </c>
      <c r="B28" t="s">
        <v>67</v>
      </c>
      <c r="C28" t="s">
        <v>68</v>
      </c>
      <c r="D28" t="s">
        <v>105</v>
      </c>
      <c r="E28" t="s">
        <v>21</v>
      </c>
      <c r="G28" t="s">
        <v>71</v>
      </c>
      <c r="H28" s="80">
        <v>36739</v>
      </c>
      <c r="I28">
        <v>0</v>
      </c>
      <c r="J28" s="79">
        <f t="shared" si="1"/>
        <v>0</v>
      </c>
      <c r="K28" s="79">
        <f t="shared" si="2"/>
        <v>1</v>
      </c>
      <c r="L28" s="79" t="str">
        <f t="shared" si="3"/>
        <v>NG36739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4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4</v>
      </c>
      <c r="V28" s="83" t="str">
        <f t="shared" si="8"/>
        <v>IMCANADAP4</v>
      </c>
      <c r="W28" s="83" t="str">
        <f ca="1">IF(ISNA(V28),"-",INDEX([17]Portfolios!A$3:H$827,MATCH(D28,[17]Portfolios!B$3:B$827,0),7)&amp;H28)</f>
        <v>IMCANADA36739</v>
      </c>
      <c r="X28" s="83" t="str">
        <f t="shared" si="9"/>
        <v>IMCANADAP36739</v>
      </c>
      <c r="Y28" s="83" t="str">
        <f t="shared" si="10"/>
        <v>IMCANADAP</v>
      </c>
      <c r="AC28" s="80">
        <v>36033</v>
      </c>
      <c r="AD28" s="81" t="s">
        <v>40</v>
      </c>
      <c r="AE28" s="81" t="s">
        <v>91</v>
      </c>
      <c r="AF28" s="84" t="s">
        <v>48</v>
      </c>
      <c r="AG28" t="s">
        <v>21</v>
      </c>
      <c r="AH28" t="str">
        <f t="shared" si="11"/>
        <v>IMCAN-ERMS-XL-PRCIF-NTHWST/CANBR</v>
      </c>
    </row>
    <row r="29" spans="1:36" x14ac:dyDescent="0.2">
      <c r="A29" s="80">
        <v>36698</v>
      </c>
      <c r="B29" t="s">
        <v>67</v>
      </c>
      <c r="C29" t="s">
        <v>68</v>
      </c>
      <c r="D29" t="s">
        <v>105</v>
      </c>
      <c r="E29" t="s">
        <v>21</v>
      </c>
      <c r="G29" t="s">
        <v>71</v>
      </c>
      <c r="H29" s="80">
        <v>36770</v>
      </c>
      <c r="I29">
        <v>0</v>
      </c>
      <c r="J29" s="79">
        <f t="shared" si="1"/>
        <v>0</v>
      </c>
      <c r="K29" s="79">
        <f t="shared" si="2"/>
        <v>1</v>
      </c>
      <c r="L29" s="79" t="str">
        <f t="shared" si="3"/>
        <v>NG36770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5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5</v>
      </c>
      <c r="V29" s="83" t="str">
        <f t="shared" si="8"/>
        <v>IMCANADAP5</v>
      </c>
      <c r="W29" s="83" t="str">
        <f ca="1">IF(ISNA(V29),"-",INDEX([17]Portfolios!A$3:H$827,MATCH(D29,[17]Portfolios!B$3:B$827,0),7)&amp;H29)</f>
        <v>IMCANADA36770</v>
      </c>
      <c r="X29" s="83" t="str">
        <f t="shared" si="9"/>
        <v>IMCANADAP36770</v>
      </c>
      <c r="Y29" s="83" t="str">
        <f t="shared" si="10"/>
        <v>IMCANADAP</v>
      </c>
      <c r="AC29" s="80">
        <v>36033</v>
      </c>
      <c r="AD29" s="81" t="s">
        <v>40</v>
      </c>
      <c r="AE29" s="81" t="s">
        <v>91</v>
      </c>
      <c r="AF29" s="81" t="s">
        <v>75</v>
      </c>
      <c r="AG29" t="s">
        <v>21</v>
      </c>
      <c r="AH29" t="str">
        <f t="shared" si="11"/>
        <v>IMCAN-ERMS-XL-PRCSTATION2/US$</v>
      </c>
    </row>
    <row r="30" spans="1:36" x14ac:dyDescent="0.2">
      <c r="A30" s="80">
        <v>36698</v>
      </c>
      <c r="B30" t="s">
        <v>67</v>
      </c>
      <c r="C30" t="s">
        <v>68</v>
      </c>
      <c r="D30" t="s">
        <v>105</v>
      </c>
      <c r="E30" t="s">
        <v>21</v>
      </c>
      <c r="G30" t="s">
        <v>71</v>
      </c>
      <c r="H30" s="80">
        <v>36800</v>
      </c>
      <c r="I30">
        <v>0</v>
      </c>
      <c r="J30" s="79">
        <f t="shared" si="1"/>
        <v>0</v>
      </c>
      <c r="K30" s="79">
        <f t="shared" si="2"/>
        <v>1</v>
      </c>
      <c r="L30" s="79" t="str">
        <f t="shared" si="3"/>
        <v>NG36800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>
        <f ca="1">IF($O30="P",INDEX('[17]Date Master'!I$3:J$332,MATCH($H30,'[17]Date Master'!I$3:I$332,0),2),0)</f>
        <v>6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>
        <f t="shared" si="7"/>
        <v>6</v>
      </c>
      <c r="V30" s="83" t="str">
        <f t="shared" si="8"/>
        <v>IMCANADAP6</v>
      </c>
      <c r="W30" s="83" t="str">
        <f ca="1">IF(ISNA(V30),"-",INDEX([17]Portfolios!A$3:H$827,MATCH(D30,[17]Portfolios!B$3:B$827,0),7)&amp;H30)</f>
        <v>IMCANADA36800</v>
      </c>
      <c r="X30" s="83" t="str">
        <f t="shared" si="9"/>
        <v>IMCANADAP36800</v>
      </c>
      <c r="Y30" s="83" t="str">
        <f t="shared" si="10"/>
        <v>IMCANADAP</v>
      </c>
      <c r="AC30" s="80">
        <v>36033</v>
      </c>
      <c r="AD30" s="81" t="s">
        <v>40</v>
      </c>
      <c r="AE30" s="81" t="s">
        <v>91</v>
      </c>
      <c r="AF30" s="81" t="s">
        <v>66</v>
      </c>
      <c r="AG30" t="s">
        <v>21</v>
      </c>
      <c r="AH30" t="str">
        <f t="shared" si="11"/>
        <v>IMCAN-ERMS-XL-PRCIF-NWPL-ROCK/CA</v>
      </c>
    </row>
    <row r="31" spans="1:36" x14ac:dyDescent="0.2">
      <c r="A31" s="80">
        <v>36698</v>
      </c>
      <c r="B31" t="s">
        <v>67</v>
      </c>
      <c r="C31" t="s">
        <v>68</v>
      </c>
      <c r="D31" t="s">
        <v>105</v>
      </c>
      <c r="E31" t="s">
        <v>21</v>
      </c>
      <c r="G31" t="s">
        <v>99</v>
      </c>
      <c r="H31" s="80">
        <v>36678</v>
      </c>
      <c r="I31">
        <v>0</v>
      </c>
      <c r="J31" s="79">
        <f t="shared" si="1"/>
        <v>0</v>
      </c>
      <c r="K31" s="79" t="e">
        <f t="shared" si="2"/>
        <v>#N/A</v>
      </c>
      <c r="L31" s="79" t="str">
        <f t="shared" si="3"/>
        <v>NGGJ36678</v>
      </c>
      <c r="M31" s="79">
        <f t="shared" si="4"/>
        <v>0</v>
      </c>
      <c r="N31" s="79">
        <f t="shared" si="5"/>
        <v>0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 t="e">
        <f ca="1">IF($O31="P",INDEX('[17]Date Master'!I$3:J$332,MATCH($H31,'[17]Date Master'!I$3:I$332,0),2),0)</f>
        <v>#N/A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 t="e">
        <f t="shared" si="7"/>
        <v>#N/A</v>
      </c>
      <c r="V31" s="83" t="e">
        <f t="shared" si="8"/>
        <v>#N/A</v>
      </c>
      <c r="W31" s="83" t="str">
        <f ca="1">IF(ISNA(V31),"-",INDEX([17]Portfolios!A$3:H$827,MATCH(D31,[17]Portfolios!B$3:B$827,0),7)&amp;H31)</f>
        <v>-</v>
      </c>
      <c r="X31" s="83" t="str">
        <f t="shared" si="9"/>
        <v>-</v>
      </c>
      <c r="Y31" s="83" t="str">
        <f t="shared" si="10"/>
        <v>IMCANADAP</v>
      </c>
      <c r="AC31" s="80">
        <v>36033</v>
      </c>
      <c r="AD31" s="81" t="s">
        <v>40</v>
      </c>
      <c r="AE31" s="81" t="s">
        <v>91</v>
      </c>
      <c r="AF31" s="81" t="s">
        <v>94</v>
      </c>
      <c r="AG31" t="s">
        <v>21</v>
      </c>
      <c r="AH31" t="str">
        <f t="shared" si="11"/>
        <v>IMCAN-ERMS-XL-PRCNGI-MALIN/FP</v>
      </c>
    </row>
    <row r="32" spans="1:36" x14ac:dyDescent="0.2">
      <c r="A32" s="80">
        <v>36698</v>
      </c>
      <c r="B32" t="s">
        <v>67</v>
      </c>
      <c r="C32" t="s">
        <v>68</v>
      </c>
      <c r="D32" t="s">
        <v>69</v>
      </c>
      <c r="E32" t="s">
        <v>44</v>
      </c>
      <c r="F32" t="s">
        <v>19</v>
      </c>
      <c r="G32" t="s">
        <v>43</v>
      </c>
      <c r="H32" s="80">
        <v>36678</v>
      </c>
      <c r="I32">
        <v>-40000</v>
      </c>
      <c r="J32" s="79">
        <f t="shared" si="1"/>
        <v>8000</v>
      </c>
      <c r="K32" s="79">
        <f t="shared" si="2"/>
        <v>-0.2</v>
      </c>
      <c r="L32" s="79" t="str">
        <f t="shared" si="3"/>
        <v>GD-AECOUS-DAILY36678</v>
      </c>
      <c r="M32" s="79">
        <f t="shared" si="4"/>
        <v>-4</v>
      </c>
      <c r="N32" s="79">
        <f t="shared" si="5"/>
        <v>0.8</v>
      </c>
      <c r="O32" s="83" t="str">
        <f t="shared" si="6"/>
        <v>G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0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1</v>
      </c>
      <c r="U32" s="83">
        <f t="shared" si="7"/>
        <v>1</v>
      </c>
      <c r="V32" s="83" t="str">
        <f t="shared" si="8"/>
        <v>IMCANADAG1</v>
      </c>
      <c r="W32" s="83" t="str">
        <f ca="1">IF(ISNA(V32),"-",INDEX([17]Portfolios!A$3:H$827,MATCH(D32,[17]Portfolios!B$3:B$827,0),7)&amp;H32)</f>
        <v>IMCANADA36678</v>
      </c>
      <c r="X32" s="83" t="str">
        <f t="shared" si="9"/>
        <v>IMCANADAM36678</v>
      </c>
      <c r="Y32" s="83" t="str">
        <f t="shared" si="10"/>
        <v>IMCANADAG</v>
      </c>
      <c r="AC32" s="80">
        <v>36033</v>
      </c>
      <c r="AD32" s="81" t="s">
        <v>40</v>
      </c>
      <c r="AE32" s="81" t="s">
        <v>95</v>
      </c>
      <c r="AF32" s="81" t="s">
        <v>88</v>
      </c>
      <c r="AG32" t="s">
        <v>20</v>
      </c>
      <c r="AH32" t="str">
        <f t="shared" si="11"/>
        <v>IMCAN-ERMS-XL-BASCGPR-AECO/BASIS</v>
      </c>
    </row>
    <row r="33" spans="1:34" x14ac:dyDescent="0.2">
      <c r="A33" s="80">
        <v>36698</v>
      </c>
      <c r="B33" t="s">
        <v>67</v>
      </c>
      <c r="C33" t="s">
        <v>68</v>
      </c>
      <c r="D33" t="s">
        <v>69</v>
      </c>
      <c r="E33" t="s">
        <v>44</v>
      </c>
      <c r="F33" t="s">
        <v>19</v>
      </c>
      <c r="G33" t="s">
        <v>42</v>
      </c>
      <c r="H33" s="80">
        <v>36678</v>
      </c>
      <c r="I33">
        <v>807384</v>
      </c>
      <c r="J33" s="79">
        <f t="shared" si="1"/>
        <v>0</v>
      </c>
      <c r="K33" s="79" t="e">
        <f t="shared" si="2"/>
        <v>#N/A</v>
      </c>
      <c r="L33" s="79" t="str">
        <f t="shared" si="3"/>
        <v>GD-CGPR-AECO/AV36678</v>
      </c>
      <c r="M33" s="79">
        <f t="shared" si="4"/>
        <v>80.738399999999999</v>
      </c>
      <c r="N33" s="79">
        <f t="shared" si="5"/>
        <v>0</v>
      </c>
      <c r="O33" s="83" t="str">
        <f t="shared" si="6"/>
        <v>PHY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0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1</v>
      </c>
      <c r="T33" s="83">
        <f ca="1">IF($O33="G",INDEX('[17]Date Master'!R$3:S$332,MATCH($H33,'[17]Date Master'!R$3:R$332,0),2),0)</f>
        <v>0</v>
      </c>
      <c r="U33" s="83">
        <f t="shared" si="7"/>
        <v>1</v>
      </c>
      <c r="V33" s="83" t="str">
        <f t="shared" si="8"/>
        <v>IMCANADAPHY1</v>
      </c>
      <c r="W33" s="83" t="str">
        <f ca="1">IF(ISNA(V33),"-",INDEX([17]Portfolios!A$3:H$827,MATCH(D33,[17]Portfolios!B$3:B$827,0),7)&amp;H33)</f>
        <v>IMCANADA36678</v>
      </c>
      <c r="X33" s="83" t="str">
        <f t="shared" si="9"/>
        <v>IMCANADAM36678</v>
      </c>
      <c r="Y33" s="83" t="str">
        <f t="shared" si="10"/>
        <v>IMCANADAPHY</v>
      </c>
      <c r="AC33" s="80">
        <v>36033</v>
      </c>
      <c r="AD33" s="81" t="s">
        <v>40</v>
      </c>
      <c r="AE33" s="81" t="s">
        <v>96</v>
      </c>
      <c r="AF33" s="81" t="s">
        <v>47</v>
      </c>
      <c r="AG33" t="s">
        <v>19</v>
      </c>
      <c r="AH33" t="str">
        <f t="shared" si="11"/>
        <v>IMCAN-ERMS-XL-GDLGDP-HEHUB</v>
      </c>
    </row>
    <row r="34" spans="1:34" x14ac:dyDescent="0.2">
      <c r="A34" s="85">
        <v>36698</v>
      </c>
      <c r="B34" t="s">
        <v>67</v>
      </c>
      <c r="C34" t="s">
        <v>68</v>
      </c>
      <c r="D34" t="s">
        <v>69</v>
      </c>
      <c r="E34" t="s">
        <v>44</v>
      </c>
      <c r="F34" t="s">
        <v>19</v>
      </c>
      <c r="G34" t="s">
        <v>47</v>
      </c>
      <c r="H34" s="80">
        <v>36678</v>
      </c>
      <c r="I34">
        <v>200000</v>
      </c>
      <c r="J34" s="79">
        <f t="shared" si="1"/>
        <v>220000.00000000003</v>
      </c>
      <c r="K34" s="79">
        <f t="shared" si="2"/>
        <v>1.1000000000000001</v>
      </c>
      <c r="L34" s="79" t="str">
        <f t="shared" si="3"/>
        <v>GDP-HEHUB36678</v>
      </c>
      <c r="M34" s="79">
        <f t="shared" si="4"/>
        <v>20</v>
      </c>
      <c r="N34" s="79">
        <f t="shared" si="5"/>
        <v>22.000000000000004</v>
      </c>
      <c r="O34" s="83" t="str">
        <f t="shared" si="6"/>
        <v>G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0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1</v>
      </c>
      <c r="U34" s="83">
        <f t="shared" si="7"/>
        <v>1</v>
      </c>
      <c r="V34" s="83" t="str">
        <f t="shared" si="8"/>
        <v>IMCANADAG1</v>
      </c>
      <c r="W34" s="83" t="str">
        <f ca="1">IF(ISNA(V34),"-",INDEX([17]Portfolios!A$3:H$827,MATCH(D34,[17]Portfolios!B$3:B$827,0),7)&amp;H34)</f>
        <v>IMCANADA36678</v>
      </c>
      <c r="X34" s="83" t="str">
        <f t="shared" si="9"/>
        <v>IMCANADAM36678</v>
      </c>
      <c r="Y34" s="83" t="str">
        <f t="shared" si="10"/>
        <v>IMCANADAG</v>
      </c>
      <c r="AC34" s="80">
        <v>36033</v>
      </c>
      <c r="AD34" s="81" t="s">
        <v>40</v>
      </c>
      <c r="AE34" t="s">
        <v>86</v>
      </c>
      <c r="AF34" t="s">
        <v>100</v>
      </c>
      <c r="AG34" t="s">
        <v>21</v>
      </c>
      <c r="AH34" t="s">
        <v>101</v>
      </c>
    </row>
    <row r="35" spans="1:34" x14ac:dyDescent="0.2">
      <c r="A35" s="85">
        <v>36698</v>
      </c>
      <c r="B35" t="s">
        <v>67</v>
      </c>
      <c r="C35" t="s">
        <v>68</v>
      </c>
      <c r="D35" t="s">
        <v>69</v>
      </c>
      <c r="E35" t="s">
        <v>44</v>
      </c>
      <c r="F35" t="s">
        <v>19</v>
      </c>
      <c r="G35" t="s">
        <v>87</v>
      </c>
      <c r="H35" s="80">
        <v>36678</v>
      </c>
      <c r="I35">
        <v>-80000</v>
      </c>
      <c r="J35" s="79">
        <f t="shared" si="1"/>
        <v>0</v>
      </c>
      <c r="K35" s="79" t="e">
        <f t="shared" si="2"/>
        <v>#N/A</v>
      </c>
      <c r="L35" s="79" t="str">
        <f t="shared" si="3"/>
        <v>GDP-KERN/OPAL36678</v>
      </c>
      <c r="M35" s="79">
        <f t="shared" si="4"/>
        <v>-8</v>
      </c>
      <c r="N35" s="79">
        <f t="shared" si="5"/>
        <v>0</v>
      </c>
      <c r="O35" s="83" t="str">
        <f t="shared" si="6"/>
        <v>G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0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1</v>
      </c>
      <c r="U35" s="83">
        <f t="shared" si="7"/>
        <v>1</v>
      </c>
      <c r="V35" s="83" t="str">
        <f t="shared" si="8"/>
        <v>IMCANADAG1</v>
      </c>
      <c r="W35" s="83" t="str">
        <f ca="1">IF(ISNA(V35),"-",INDEX([17]Portfolios!A$3:H$827,MATCH(D35,[17]Portfolios!B$3:B$827,0),7)&amp;H35)</f>
        <v>IMCANADA36678</v>
      </c>
      <c r="X35" s="83" t="str">
        <f t="shared" si="9"/>
        <v>IMCANADAM36678</v>
      </c>
      <c r="Y35" s="83" t="str">
        <f t="shared" si="10"/>
        <v>IMCANADAG</v>
      </c>
      <c r="AC35" s="80">
        <v>36033</v>
      </c>
      <c r="AD35" s="81" t="s">
        <v>40</v>
      </c>
      <c r="AE35" t="s">
        <v>86</v>
      </c>
      <c r="AF35" t="s">
        <v>73</v>
      </c>
      <c r="AG35" t="s">
        <v>21</v>
      </c>
      <c r="AH35" t="s">
        <v>102</v>
      </c>
    </row>
    <row r="36" spans="1:34" x14ac:dyDescent="0.2">
      <c r="A36" s="85">
        <v>36698</v>
      </c>
      <c r="B36" t="s">
        <v>67</v>
      </c>
      <c r="C36" t="s">
        <v>68</v>
      </c>
      <c r="D36" t="s">
        <v>69</v>
      </c>
      <c r="E36" t="s">
        <v>44</v>
      </c>
      <c r="F36" t="s">
        <v>19</v>
      </c>
      <c r="G36" t="s">
        <v>113</v>
      </c>
      <c r="H36" s="80">
        <v>36708</v>
      </c>
      <c r="I36">
        <v>293288</v>
      </c>
      <c r="J36" s="79">
        <f t="shared" si="1"/>
        <v>0</v>
      </c>
      <c r="K36" s="79" t="e">
        <f t="shared" si="2"/>
        <v>#N/A</v>
      </c>
      <c r="L36" s="79" t="str">
        <f t="shared" si="3"/>
        <v>UNKNOWN36708</v>
      </c>
      <c r="M36" s="79">
        <f t="shared" si="4"/>
        <v>29.328800000000001</v>
      </c>
      <c r="N36" s="79">
        <f t="shared" si="5"/>
        <v>0</v>
      </c>
      <c r="O36" s="83" t="str">
        <f t="shared" si="6"/>
        <v>G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0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3</v>
      </c>
      <c r="U36" s="83">
        <f t="shared" si="7"/>
        <v>3</v>
      </c>
      <c r="V36" s="83" t="str">
        <f t="shared" si="8"/>
        <v>IMCANADAG3</v>
      </c>
      <c r="W36" s="83" t="str">
        <f ca="1">IF(ISNA(V36),"-",INDEX([17]Portfolios!A$3:H$827,MATCH(D36,[17]Portfolios!B$3:B$827,0),7)&amp;H36)</f>
        <v>IMCANADA36708</v>
      </c>
      <c r="X36" s="83" t="str">
        <f t="shared" si="9"/>
        <v>IMCANADAM36708</v>
      </c>
      <c r="Y36" s="83" t="str">
        <f t="shared" si="10"/>
        <v>IMCANADAG</v>
      </c>
      <c r="AC36" s="80">
        <v>36033</v>
      </c>
      <c r="AD36" s="81" t="s">
        <v>40</v>
      </c>
      <c r="AE36" t="s">
        <v>86</v>
      </c>
      <c r="AF36" t="s">
        <v>99</v>
      </c>
      <c r="AG36" t="s">
        <v>21</v>
      </c>
      <c r="AH36" t="s">
        <v>103</v>
      </c>
    </row>
    <row r="37" spans="1:34" x14ac:dyDescent="0.2">
      <c r="A37" s="85">
        <v>36698</v>
      </c>
      <c r="B37" t="s">
        <v>67</v>
      </c>
      <c r="C37" t="s">
        <v>68</v>
      </c>
      <c r="D37" t="s">
        <v>86</v>
      </c>
      <c r="E37" t="s">
        <v>21</v>
      </c>
      <c r="G37" t="s">
        <v>88</v>
      </c>
      <c r="H37" s="80">
        <v>36678</v>
      </c>
      <c r="I37">
        <v>-4392660</v>
      </c>
      <c r="J37" s="79">
        <f t="shared" si="1"/>
        <v>0</v>
      </c>
      <c r="K37" s="79" t="e">
        <f t="shared" si="2"/>
        <v>#N/A</v>
      </c>
      <c r="L37" s="79" t="str">
        <f t="shared" si="3"/>
        <v>CGPR-AECO/BASIS36678</v>
      </c>
      <c r="M37" s="79">
        <f t="shared" si="4"/>
        <v>-439.26600000000002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 t="e">
        <f ca="1">IF($O37="P",INDEX('[17]Date Master'!I$3:J$332,MATCH($H37,'[17]Date Master'!I$3:I$332,0),2),0)</f>
        <v>#N/A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 t="e">
        <f t="shared" si="7"/>
        <v>#N/A</v>
      </c>
      <c r="V37" s="83" t="e">
        <f t="shared" si="8"/>
        <v>#N/A</v>
      </c>
      <c r="W37" s="83" t="str">
        <f ca="1">IF(ISNA(V37),"-",INDEX([17]Portfolios!A$3:H$827,MATCH(D37,[17]Portfolios!B$3:B$827,0),7)&amp;H37)</f>
        <v>-</v>
      </c>
      <c r="X37" s="83" t="str">
        <f t="shared" si="9"/>
        <v>-</v>
      </c>
      <c r="Y37" s="83" t="str">
        <f t="shared" si="10"/>
        <v>IMCANADAP</v>
      </c>
      <c r="AC37" s="80">
        <v>36033</v>
      </c>
      <c r="AD37" s="81" t="s">
        <v>40</v>
      </c>
      <c r="AE37" s="81" t="s">
        <v>69</v>
      </c>
      <c r="AF37" s="81" t="s">
        <v>87</v>
      </c>
      <c r="AG37" t="s">
        <v>19</v>
      </c>
      <c r="AH37" t="str">
        <f t="shared" ref="AH37:AH55" si="12">CONCATENATE(AE37,AF37)</f>
        <v>INTRA-CAND-WE-GD-GDLGDP-KERN/OPAL</v>
      </c>
    </row>
    <row r="38" spans="1:34" x14ac:dyDescent="0.2">
      <c r="A38" s="85">
        <v>36698</v>
      </c>
      <c r="B38" t="s">
        <v>67</v>
      </c>
      <c r="C38" t="s">
        <v>68</v>
      </c>
      <c r="D38" t="s">
        <v>86</v>
      </c>
      <c r="E38" t="s">
        <v>21</v>
      </c>
      <c r="G38" t="s">
        <v>88</v>
      </c>
      <c r="H38" s="80">
        <v>36708</v>
      </c>
      <c r="I38">
        <v>-2365304</v>
      </c>
      <c r="J38" s="79">
        <f t="shared" si="1"/>
        <v>0</v>
      </c>
      <c r="K38" s="79" t="e">
        <f t="shared" si="2"/>
        <v>#N/A</v>
      </c>
      <c r="L38" s="79" t="str">
        <f t="shared" si="3"/>
        <v>CGPR-AECO/BASIS36708</v>
      </c>
      <c r="M38" s="79">
        <f t="shared" si="4"/>
        <v>-236.53039999999999</v>
      </c>
      <c r="N38" s="79">
        <f t="shared" si="5"/>
        <v>0</v>
      </c>
      <c r="O38" s="83" t="str">
        <f t="shared" si="6"/>
        <v>P</v>
      </c>
      <c r="P38" s="83" t="str">
        <f ca="1">INDEX([17]Portfolios!A$3:G$929,MATCH(D38,[17]Portfolios!B$3:B$929,0),7)</f>
        <v>IMCANADA</v>
      </c>
      <c r="Q38" s="83">
        <f ca="1">IF($O38="P",INDEX('[17]Date Master'!I$3:J$332,MATCH($H38,'[17]Date Master'!I$3:I$332,0),2),0)</f>
        <v>3</v>
      </c>
      <c r="R38" s="83">
        <f ca="1">IF($O38="D",INDEX('[17]Date Master'!O$3:P$332,MATCH($H38,'[17]Date Master'!O$3:O$332,0),2),0)</f>
        <v>0</v>
      </c>
      <c r="S38" s="83">
        <f ca="1">IF($O38="PHY",INDEX('[17]Date Master'!R$3:S$332,MATCH($H38,'[17]Date Master'!R$3:R$332,0),2),0)</f>
        <v>0</v>
      </c>
      <c r="T38" s="83">
        <f ca="1">IF($O38="G",INDEX('[17]Date Master'!R$3:S$332,MATCH($H38,'[17]Date Master'!R$3:R$332,0),2),0)</f>
        <v>0</v>
      </c>
      <c r="U38" s="83">
        <f t="shared" si="7"/>
        <v>3</v>
      </c>
      <c r="V38" s="83" t="str">
        <f t="shared" si="8"/>
        <v>IMCANADAP3</v>
      </c>
      <c r="W38" s="83" t="str">
        <f ca="1">IF(ISNA(V38),"-",INDEX([17]Portfolios!A$3:H$827,MATCH(D38,[17]Portfolios!B$3:B$827,0),7)&amp;H38)</f>
        <v>IMCANADA36708</v>
      </c>
      <c r="X38" s="83" t="str">
        <f t="shared" si="9"/>
        <v>IMCANADAP36708</v>
      </c>
      <c r="Y38" s="83" t="str">
        <f t="shared" si="10"/>
        <v>IMCANADAP</v>
      </c>
      <c r="AC38" s="80">
        <v>36034</v>
      </c>
      <c r="AD38" s="81" t="s">
        <v>40</v>
      </c>
      <c r="AE38" t="s">
        <v>79</v>
      </c>
      <c r="AF38" t="s">
        <v>92</v>
      </c>
      <c r="AG38" t="s">
        <v>30</v>
      </c>
      <c r="AH38" t="str">
        <f t="shared" si="12"/>
        <v>INTRA-CAND-WEST-PHYCHIPPAWA-CDN/IM</v>
      </c>
    </row>
    <row r="39" spans="1:34" x14ac:dyDescent="0.2">
      <c r="A39" s="85">
        <v>36698</v>
      </c>
      <c r="B39" t="s">
        <v>67</v>
      </c>
      <c r="C39" t="s">
        <v>68</v>
      </c>
      <c r="D39" t="s">
        <v>86</v>
      </c>
      <c r="E39" t="s">
        <v>21</v>
      </c>
      <c r="G39" t="s">
        <v>88</v>
      </c>
      <c r="H39" s="80">
        <v>36739</v>
      </c>
      <c r="I39">
        <v>742221</v>
      </c>
      <c r="J39" s="79">
        <f t="shared" si="1"/>
        <v>0</v>
      </c>
      <c r="K39" s="79" t="e">
        <f t="shared" si="2"/>
        <v>#N/A</v>
      </c>
      <c r="L39" s="79" t="str">
        <f t="shared" si="3"/>
        <v>CGPR-AECO/BASIS36739</v>
      </c>
      <c r="M39" s="79">
        <f t="shared" si="4"/>
        <v>74.222099999999998</v>
      </c>
      <c r="N39" s="79">
        <f t="shared" si="5"/>
        <v>0</v>
      </c>
      <c r="O39" s="83" t="str">
        <f t="shared" si="6"/>
        <v>P</v>
      </c>
      <c r="P39" s="83" t="str">
        <f ca="1">INDEX([17]Portfolios!A$3:G$929,MATCH(D39,[17]Portfolios!B$3:B$929,0),7)</f>
        <v>IMCANADA</v>
      </c>
      <c r="Q39" s="83">
        <f ca="1">IF($O39="P",INDEX('[17]Date Master'!I$3:J$332,MATCH($H39,'[17]Date Master'!I$3:I$332,0),2),0)</f>
        <v>4</v>
      </c>
      <c r="R39" s="83">
        <f ca="1">IF($O39="D",INDEX('[17]Date Master'!O$3:P$332,MATCH($H39,'[17]Date Master'!O$3:O$332,0),2),0)</f>
        <v>0</v>
      </c>
      <c r="S39" s="83">
        <f ca="1">IF($O39="PHY",INDEX('[17]Date Master'!R$3:S$332,MATCH($H39,'[17]Date Master'!R$3:R$332,0),2),0)</f>
        <v>0</v>
      </c>
      <c r="T39" s="83">
        <f ca="1">IF($O39="G",INDEX('[17]Date Master'!R$3:S$332,MATCH($H39,'[17]Date Master'!R$3:R$332,0),2),0)</f>
        <v>0</v>
      </c>
      <c r="U39" s="83">
        <f t="shared" si="7"/>
        <v>4</v>
      </c>
      <c r="V39" s="83" t="str">
        <f t="shared" si="8"/>
        <v>IMCANADAP4</v>
      </c>
      <c r="W39" s="83" t="str">
        <f ca="1">IF(ISNA(V39),"-",INDEX([17]Portfolios!A$3:H$827,MATCH(D39,[17]Portfolios!B$3:B$827,0),7)&amp;H39)</f>
        <v>IMCANADA36739</v>
      </c>
      <c r="X39" s="83" t="str">
        <f t="shared" si="9"/>
        <v>IMCANADAP36739</v>
      </c>
      <c r="Y39" s="83" t="str">
        <f t="shared" si="10"/>
        <v>IMCANADAP</v>
      </c>
      <c r="AC39" s="80">
        <v>36035</v>
      </c>
      <c r="AD39" s="81" t="s">
        <v>40</v>
      </c>
      <c r="AE39" t="s">
        <v>79</v>
      </c>
      <c r="AF39" t="s">
        <v>92</v>
      </c>
      <c r="AG39" t="s">
        <v>30</v>
      </c>
      <c r="AH39" t="str">
        <f t="shared" si="12"/>
        <v>INTRA-CAND-WEST-PHYCHIPPAWA-CDN/IM</v>
      </c>
    </row>
    <row r="40" spans="1:34" x14ac:dyDescent="0.2">
      <c r="A40" s="85">
        <v>36698</v>
      </c>
      <c r="B40" t="s">
        <v>67</v>
      </c>
      <c r="C40" t="s">
        <v>68</v>
      </c>
      <c r="D40" t="s">
        <v>86</v>
      </c>
      <c r="E40" t="s">
        <v>21</v>
      </c>
      <c r="G40" t="s">
        <v>88</v>
      </c>
      <c r="H40" s="80">
        <v>36770</v>
      </c>
      <c r="I40">
        <v>714707</v>
      </c>
      <c r="J40" s="79">
        <f t="shared" si="1"/>
        <v>0</v>
      </c>
      <c r="K40" s="79" t="e">
        <f t="shared" si="2"/>
        <v>#N/A</v>
      </c>
      <c r="L40" s="79" t="str">
        <f t="shared" si="3"/>
        <v>CGPR-AECO/BASIS36770</v>
      </c>
      <c r="M40" s="79">
        <f t="shared" si="4"/>
        <v>71.470699999999994</v>
      </c>
      <c r="N40" s="79">
        <f t="shared" si="5"/>
        <v>0</v>
      </c>
      <c r="O40" s="83" t="str">
        <f t="shared" si="6"/>
        <v>P</v>
      </c>
      <c r="P40" s="83" t="str">
        <f ca="1">INDEX([17]Portfolios!A$3:G$929,MATCH(D40,[17]Portfolios!B$3:B$929,0),7)</f>
        <v>IMCANADA</v>
      </c>
      <c r="Q40" s="83">
        <f ca="1">IF($O40="P",INDEX('[17]Date Master'!I$3:J$332,MATCH($H40,'[17]Date Master'!I$3:I$332,0),2),0)</f>
        <v>5</v>
      </c>
      <c r="R40" s="83">
        <f ca="1">IF($O40="D",INDEX('[17]Date Master'!O$3:P$332,MATCH($H40,'[17]Date Master'!O$3:O$332,0),2),0)</f>
        <v>0</v>
      </c>
      <c r="S40" s="83">
        <f ca="1">IF($O40="PHY",INDEX('[17]Date Master'!R$3:S$332,MATCH($H40,'[17]Date Master'!R$3:R$332,0),2),0)</f>
        <v>0</v>
      </c>
      <c r="T40" s="83">
        <f ca="1">IF($O40="G",INDEX('[17]Date Master'!R$3:S$332,MATCH($H40,'[17]Date Master'!R$3:R$332,0),2),0)</f>
        <v>0</v>
      </c>
      <c r="U40" s="83">
        <f t="shared" si="7"/>
        <v>5</v>
      </c>
      <c r="V40" s="83" t="str">
        <f t="shared" si="8"/>
        <v>IMCANADAP5</v>
      </c>
      <c r="W40" s="83" t="str">
        <f ca="1">IF(ISNA(V40),"-",INDEX([17]Portfolios!A$3:H$827,MATCH(D40,[17]Portfolios!B$3:B$827,0),7)&amp;H40)</f>
        <v>IMCANADA36770</v>
      </c>
      <c r="X40" s="83" t="str">
        <f t="shared" si="9"/>
        <v>IMCANADAP36770</v>
      </c>
      <c r="Y40" s="83" t="str">
        <f t="shared" si="10"/>
        <v>IMCANADAP</v>
      </c>
      <c r="AC40" s="80">
        <v>36036</v>
      </c>
      <c r="AD40" s="81" t="s">
        <v>40</v>
      </c>
      <c r="AE40" t="s">
        <v>79</v>
      </c>
      <c r="AF40" t="s">
        <v>46</v>
      </c>
      <c r="AG40" t="s">
        <v>30</v>
      </c>
      <c r="AH40" t="str">
        <f t="shared" si="12"/>
        <v>INTRA-CAND-WEST-PHYCHIPPAWA/IM</v>
      </c>
    </row>
    <row r="41" spans="1:34" x14ac:dyDescent="0.2">
      <c r="A41" s="85">
        <v>36698</v>
      </c>
      <c r="B41" t="s">
        <v>67</v>
      </c>
      <c r="C41" t="s">
        <v>68</v>
      </c>
      <c r="D41" t="s">
        <v>86</v>
      </c>
      <c r="E41" t="s">
        <v>21</v>
      </c>
      <c r="G41" t="s">
        <v>88</v>
      </c>
      <c r="H41" s="80">
        <v>36800</v>
      </c>
      <c r="I41">
        <v>582474</v>
      </c>
      <c r="J41" s="79">
        <f t="shared" si="1"/>
        <v>0</v>
      </c>
      <c r="K41" s="79" t="e">
        <f t="shared" si="2"/>
        <v>#N/A</v>
      </c>
      <c r="L41" s="79" t="str">
        <f t="shared" si="3"/>
        <v>CGPR-AECO/BASIS36800</v>
      </c>
      <c r="M41" s="79">
        <f t="shared" si="4"/>
        <v>58.247399999999999</v>
      </c>
      <c r="N41" s="79">
        <f t="shared" si="5"/>
        <v>0</v>
      </c>
      <c r="O41" s="83" t="str">
        <f t="shared" si="6"/>
        <v>P</v>
      </c>
      <c r="P41" s="83" t="str">
        <f ca="1">INDEX([17]Portfolios!A$3:G$929,MATCH(D41,[17]Portfolios!B$3:B$929,0),7)</f>
        <v>IMCANADA</v>
      </c>
      <c r="Q41" s="83">
        <f ca="1">IF($O41="P",INDEX('[17]Date Master'!I$3:J$332,MATCH($H41,'[17]Date Master'!I$3:I$332,0),2),0)</f>
        <v>6</v>
      </c>
      <c r="R41" s="83">
        <f ca="1">IF($O41="D",INDEX('[17]Date Master'!O$3:P$332,MATCH($H41,'[17]Date Master'!O$3:O$332,0),2),0)</f>
        <v>0</v>
      </c>
      <c r="S41" s="83">
        <f ca="1">IF($O41="PHY",INDEX('[17]Date Master'!R$3:S$332,MATCH($H41,'[17]Date Master'!R$3:R$332,0),2),0)</f>
        <v>0</v>
      </c>
      <c r="T41" s="83">
        <f ca="1">IF($O41="G",INDEX('[17]Date Master'!R$3:S$332,MATCH($H41,'[17]Date Master'!R$3:R$332,0),2),0)</f>
        <v>0</v>
      </c>
      <c r="U41" s="83">
        <f t="shared" si="7"/>
        <v>6</v>
      </c>
      <c r="V41" s="83" t="str">
        <f t="shared" si="8"/>
        <v>IMCANADAP6</v>
      </c>
      <c r="W41" s="83" t="str">
        <f ca="1">IF(ISNA(V41),"-",INDEX([17]Portfolios!A$3:H$827,MATCH(D41,[17]Portfolios!B$3:B$827,0),7)&amp;H41)</f>
        <v>IMCANADA36800</v>
      </c>
      <c r="X41" s="83" t="str">
        <f t="shared" si="9"/>
        <v>IMCANADAP36800</v>
      </c>
      <c r="Y41" s="83" t="str">
        <f t="shared" si="10"/>
        <v>IMCANADAP</v>
      </c>
      <c r="AC41" s="80">
        <v>36033</v>
      </c>
      <c r="AD41" s="81" t="s">
        <v>40</v>
      </c>
      <c r="AE41" t="s">
        <v>79</v>
      </c>
      <c r="AF41" t="s">
        <v>93</v>
      </c>
      <c r="AG41" t="s">
        <v>30</v>
      </c>
      <c r="AH41" t="str">
        <f t="shared" si="12"/>
        <v>INTRA-CAND-WEST-PHYEMERSON-ONT</v>
      </c>
    </row>
    <row r="42" spans="1:34" x14ac:dyDescent="0.2">
      <c r="A42" s="85">
        <v>36698</v>
      </c>
      <c r="B42" t="s">
        <v>67</v>
      </c>
      <c r="C42" t="s">
        <v>68</v>
      </c>
      <c r="D42" t="s">
        <v>86</v>
      </c>
      <c r="E42" t="s">
        <v>21</v>
      </c>
      <c r="G42" t="s">
        <v>89</v>
      </c>
      <c r="H42" s="80">
        <v>36678</v>
      </c>
      <c r="I42">
        <v>-900000</v>
      </c>
      <c r="J42" s="79">
        <f t="shared" si="1"/>
        <v>0</v>
      </c>
      <c r="K42" s="79" t="e">
        <f t="shared" si="2"/>
        <v>#N/A</v>
      </c>
      <c r="L42" s="79" t="str">
        <f t="shared" si="3"/>
        <v>IF-NWPL_ROCKY_M36678</v>
      </c>
      <c r="M42" s="79">
        <f t="shared" si="4"/>
        <v>-90</v>
      </c>
      <c r="N42" s="79">
        <f t="shared" si="5"/>
        <v>0</v>
      </c>
      <c r="O42" s="83" t="str">
        <f t="shared" si="6"/>
        <v>P</v>
      </c>
      <c r="P42" s="83" t="str">
        <f ca="1">INDEX([17]Portfolios!A$3:G$929,MATCH(D42,[17]Portfolios!B$3:B$929,0),7)</f>
        <v>IMCANADA</v>
      </c>
      <c r="Q42" s="83" t="e">
        <f ca="1">IF($O42="P",INDEX('[17]Date Master'!I$3:J$332,MATCH($H42,'[17]Date Master'!I$3:I$332,0),2),0)</f>
        <v>#N/A</v>
      </c>
      <c r="R42" s="83">
        <f ca="1">IF($O42="D",INDEX('[17]Date Master'!O$3:P$332,MATCH($H42,'[17]Date Master'!O$3:O$332,0),2),0)</f>
        <v>0</v>
      </c>
      <c r="S42" s="83">
        <f ca="1">IF($O42="PHY",INDEX('[17]Date Master'!R$3:S$332,MATCH($H42,'[17]Date Master'!R$3:R$332,0),2),0)</f>
        <v>0</v>
      </c>
      <c r="T42" s="83">
        <f ca="1">IF($O42="G",INDEX('[17]Date Master'!R$3:S$332,MATCH($H42,'[17]Date Master'!R$3:R$332,0),2),0)</f>
        <v>0</v>
      </c>
      <c r="U42" s="83" t="e">
        <f t="shared" si="7"/>
        <v>#N/A</v>
      </c>
      <c r="V42" s="83" t="e">
        <f t="shared" si="8"/>
        <v>#N/A</v>
      </c>
      <c r="W42" s="83" t="str">
        <f ca="1">IF(ISNA(V42),"-",INDEX([17]Portfolios!A$3:H$827,MATCH(D42,[17]Portfolios!B$3:B$827,0),7)&amp;H42)</f>
        <v>-</v>
      </c>
      <c r="X42" s="83" t="str">
        <f t="shared" si="9"/>
        <v>-</v>
      </c>
      <c r="Y42" s="83" t="str">
        <f t="shared" si="10"/>
        <v>IMCANADAP</v>
      </c>
      <c r="AC42" s="80">
        <v>36033</v>
      </c>
      <c r="AD42" s="81" t="s">
        <v>40</v>
      </c>
      <c r="AE42" t="s">
        <v>79</v>
      </c>
      <c r="AF42" t="s">
        <v>93</v>
      </c>
      <c r="AG42" t="s">
        <v>30</v>
      </c>
      <c r="AH42" t="str">
        <f t="shared" si="12"/>
        <v>INTRA-CAND-WEST-PHYEMERSON-ONT</v>
      </c>
    </row>
    <row r="43" spans="1:34" x14ac:dyDescent="0.2">
      <c r="A43" s="85">
        <v>36698</v>
      </c>
      <c r="B43" t="s">
        <v>67</v>
      </c>
      <c r="C43" t="s">
        <v>68</v>
      </c>
      <c r="D43" t="s">
        <v>86</v>
      </c>
      <c r="E43" t="s">
        <v>21</v>
      </c>
      <c r="G43" t="s">
        <v>89</v>
      </c>
      <c r="H43" s="80">
        <v>36708</v>
      </c>
      <c r="I43">
        <v>154753</v>
      </c>
      <c r="J43" s="79">
        <f t="shared" si="1"/>
        <v>0</v>
      </c>
      <c r="K43" s="79" t="e">
        <f t="shared" si="2"/>
        <v>#N/A</v>
      </c>
      <c r="L43" s="79" t="str">
        <f t="shared" si="3"/>
        <v>IF-NWPL_ROCKY_M36708</v>
      </c>
      <c r="M43" s="79">
        <f t="shared" si="4"/>
        <v>15.475300000000001</v>
      </c>
      <c r="N43" s="79">
        <f t="shared" si="5"/>
        <v>0</v>
      </c>
      <c r="O43" s="83" t="str">
        <f t="shared" si="6"/>
        <v>P</v>
      </c>
      <c r="P43" s="83" t="str">
        <f ca="1">INDEX([17]Portfolios!A$3:G$929,MATCH(D43,[17]Portfolios!B$3:B$929,0),7)</f>
        <v>IMCANADA</v>
      </c>
      <c r="Q43" s="83">
        <f ca="1">IF($O43="P",INDEX('[17]Date Master'!I$3:J$332,MATCH($H43,'[17]Date Master'!I$3:I$332,0),2),0)</f>
        <v>3</v>
      </c>
      <c r="R43" s="83">
        <f ca="1">IF($O43="D",INDEX('[17]Date Master'!O$3:P$332,MATCH($H43,'[17]Date Master'!O$3:O$332,0),2),0)</f>
        <v>0</v>
      </c>
      <c r="S43" s="83">
        <f ca="1">IF($O43="PHY",INDEX('[17]Date Master'!R$3:S$332,MATCH($H43,'[17]Date Master'!R$3:R$332,0),2),0)</f>
        <v>0</v>
      </c>
      <c r="T43" s="83">
        <f ca="1">IF($O43="G",INDEX('[17]Date Master'!R$3:S$332,MATCH($H43,'[17]Date Master'!R$3:R$332,0),2),0)</f>
        <v>0</v>
      </c>
      <c r="U43" s="83">
        <f t="shared" si="7"/>
        <v>3</v>
      </c>
      <c r="V43" s="83" t="str">
        <f t="shared" si="8"/>
        <v>IMCANADAP3</v>
      </c>
      <c r="W43" s="83" t="str">
        <f ca="1">IF(ISNA(V43),"-",INDEX([17]Portfolios!A$3:H$827,MATCH(D43,[17]Portfolios!B$3:B$827,0),7)&amp;H43)</f>
        <v>IMCANADA36708</v>
      </c>
      <c r="X43" s="83" t="str">
        <f t="shared" si="9"/>
        <v>IMCANADAP36708</v>
      </c>
      <c r="Y43" s="83" t="str">
        <f t="shared" si="10"/>
        <v>IMCANADAP</v>
      </c>
      <c r="AC43" s="80">
        <v>36033</v>
      </c>
      <c r="AD43" s="81" t="s">
        <v>40</v>
      </c>
      <c r="AE43" t="s">
        <v>79</v>
      </c>
      <c r="AF43" t="s">
        <v>97</v>
      </c>
      <c r="AG43" t="s">
        <v>30</v>
      </c>
      <c r="AH43" t="str">
        <f t="shared" si="12"/>
        <v>INTRA-CAND-WEST-PHYGD-AECOUSD-DAIL</v>
      </c>
    </row>
    <row r="44" spans="1:34" x14ac:dyDescent="0.2">
      <c r="A44" s="85">
        <v>36698</v>
      </c>
      <c r="B44" t="s">
        <v>67</v>
      </c>
      <c r="C44" t="s">
        <v>68</v>
      </c>
      <c r="D44" t="s">
        <v>86</v>
      </c>
      <c r="E44" t="s">
        <v>21</v>
      </c>
      <c r="G44" t="s">
        <v>71</v>
      </c>
      <c r="H44" s="80">
        <v>36678</v>
      </c>
      <c r="I44">
        <v>0</v>
      </c>
      <c r="J44" s="79">
        <f t="shared" si="1"/>
        <v>0</v>
      </c>
      <c r="K44" s="79">
        <f t="shared" si="2"/>
        <v>1</v>
      </c>
      <c r="L44" s="79" t="str">
        <f t="shared" si="3"/>
        <v>NG36678</v>
      </c>
      <c r="M44" s="79">
        <f t="shared" si="4"/>
        <v>0</v>
      </c>
      <c r="N44" s="79">
        <f t="shared" si="5"/>
        <v>0</v>
      </c>
      <c r="O44" s="83" t="str">
        <f t="shared" si="6"/>
        <v>P</v>
      </c>
      <c r="P44" s="83" t="str">
        <f ca="1">INDEX([17]Portfolios!A$3:G$929,MATCH(D44,[17]Portfolios!B$3:B$929,0),7)</f>
        <v>IMCANADA</v>
      </c>
      <c r="Q44" s="83" t="e">
        <f ca="1">IF($O44="P",INDEX('[17]Date Master'!I$3:J$332,MATCH($H44,'[17]Date Master'!I$3:I$332,0),2),0)</f>
        <v>#N/A</v>
      </c>
      <c r="R44" s="83">
        <f ca="1">IF($O44="D",INDEX('[17]Date Master'!O$3:P$332,MATCH($H44,'[17]Date Master'!O$3:O$332,0),2),0)</f>
        <v>0</v>
      </c>
      <c r="S44" s="83">
        <f ca="1">IF($O44="PHY",INDEX('[17]Date Master'!R$3:S$332,MATCH($H44,'[17]Date Master'!R$3:R$332,0),2),0)</f>
        <v>0</v>
      </c>
      <c r="T44" s="83">
        <f ca="1">IF($O44="G",INDEX('[17]Date Master'!R$3:S$332,MATCH($H44,'[17]Date Master'!R$3:R$332,0),2),0)</f>
        <v>0</v>
      </c>
      <c r="U44" s="83" t="e">
        <f t="shared" si="7"/>
        <v>#N/A</v>
      </c>
      <c r="V44" s="83" t="e">
        <f t="shared" si="8"/>
        <v>#N/A</v>
      </c>
      <c r="W44" s="83" t="str">
        <f ca="1">IF(ISNA(V44),"-",INDEX([17]Portfolios!A$3:H$827,MATCH(D44,[17]Portfolios!B$3:B$827,0),7)&amp;H44)</f>
        <v>-</v>
      </c>
      <c r="X44" s="83" t="str">
        <f t="shared" si="9"/>
        <v>-</v>
      </c>
      <c r="Y44" s="83" t="str">
        <f t="shared" si="10"/>
        <v>IMCANADAP</v>
      </c>
      <c r="AC44" s="80">
        <v>36033</v>
      </c>
      <c r="AD44" s="81" t="s">
        <v>40</v>
      </c>
      <c r="AE44" t="s">
        <v>79</v>
      </c>
      <c r="AF44" t="s">
        <v>72</v>
      </c>
      <c r="AG44" t="s">
        <v>30</v>
      </c>
      <c r="AH44" t="str">
        <f t="shared" si="12"/>
        <v>INTRA-CAND-WEST-PHYGDM-WADDINGTON</v>
      </c>
    </row>
    <row r="45" spans="1:34" x14ac:dyDescent="0.2">
      <c r="A45" s="85">
        <v>36698</v>
      </c>
      <c r="B45" t="s">
        <v>67</v>
      </c>
      <c r="C45" t="s">
        <v>68</v>
      </c>
      <c r="D45" t="s">
        <v>86</v>
      </c>
      <c r="E45" t="s">
        <v>21</v>
      </c>
      <c r="G45" t="s">
        <v>71</v>
      </c>
      <c r="H45" s="80">
        <v>36708</v>
      </c>
      <c r="I45">
        <v>-1248006</v>
      </c>
      <c r="J45" s="79">
        <f t="shared" si="1"/>
        <v>-1248006</v>
      </c>
      <c r="K45" s="79">
        <f t="shared" si="2"/>
        <v>1</v>
      </c>
      <c r="L45" s="79" t="str">
        <f t="shared" si="3"/>
        <v>NG36708</v>
      </c>
      <c r="M45" s="79">
        <f t="shared" si="4"/>
        <v>-124.8006</v>
      </c>
      <c r="N45" s="79">
        <f t="shared" si="5"/>
        <v>-124.8006</v>
      </c>
      <c r="O45" s="83" t="str">
        <f t="shared" si="6"/>
        <v>P</v>
      </c>
      <c r="P45" s="83" t="str">
        <f ca="1">INDEX([17]Portfolios!A$3:G$929,MATCH(D45,[17]Portfolios!B$3:B$929,0),7)</f>
        <v>IMCANADA</v>
      </c>
      <c r="Q45" s="83">
        <f ca="1">IF($O45="P",INDEX('[17]Date Master'!I$3:J$332,MATCH($H45,'[17]Date Master'!I$3:I$332,0),2),0)</f>
        <v>3</v>
      </c>
      <c r="R45" s="83">
        <f ca="1">IF($O45="D",INDEX('[17]Date Master'!O$3:P$332,MATCH($H45,'[17]Date Master'!O$3:O$332,0),2),0)</f>
        <v>0</v>
      </c>
      <c r="S45" s="83">
        <f ca="1">IF($O45="PHY",INDEX('[17]Date Master'!R$3:S$332,MATCH($H45,'[17]Date Master'!R$3:R$332,0),2),0)</f>
        <v>0</v>
      </c>
      <c r="T45" s="83">
        <f ca="1">IF($O45="G",INDEX('[17]Date Master'!R$3:S$332,MATCH($H45,'[17]Date Master'!R$3:R$332,0),2),0)</f>
        <v>0</v>
      </c>
      <c r="U45" s="83">
        <f t="shared" si="7"/>
        <v>3</v>
      </c>
      <c r="V45" s="83" t="str">
        <f t="shared" si="8"/>
        <v>IMCANADAP3</v>
      </c>
      <c r="W45" s="83" t="str">
        <f ca="1">IF(ISNA(V45),"-",INDEX([17]Portfolios!A$3:H$827,MATCH(D45,[17]Portfolios!B$3:B$827,0),7)&amp;H45)</f>
        <v>IMCANADA36708</v>
      </c>
      <c r="X45" s="83" t="str">
        <f t="shared" si="9"/>
        <v>IMCANADAP36708</v>
      </c>
      <c r="Y45" s="83" t="str">
        <f t="shared" si="10"/>
        <v>IMCANADAP</v>
      </c>
      <c r="AC45" s="80">
        <v>36033</v>
      </c>
      <c r="AD45" s="81" t="s">
        <v>40</v>
      </c>
      <c r="AE45" t="s">
        <v>79</v>
      </c>
      <c r="AF45" t="s">
        <v>74</v>
      </c>
      <c r="AG45" t="s">
        <v>30</v>
      </c>
      <c r="AH45" t="str">
        <f t="shared" si="12"/>
        <v>INTRA-CAND-WEST-PHYNIAGARA/IM</v>
      </c>
    </row>
    <row r="46" spans="1:34" x14ac:dyDescent="0.2">
      <c r="A46" s="85">
        <v>36698</v>
      </c>
      <c r="B46" t="s">
        <v>67</v>
      </c>
      <c r="C46" t="s">
        <v>68</v>
      </c>
      <c r="D46" t="s">
        <v>86</v>
      </c>
      <c r="E46" t="s">
        <v>21</v>
      </c>
      <c r="G46" t="s">
        <v>71</v>
      </c>
      <c r="H46" s="80">
        <v>36739</v>
      </c>
      <c r="I46">
        <v>615951</v>
      </c>
      <c r="J46" s="79">
        <f t="shared" si="1"/>
        <v>615951</v>
      </c>
      <c r="K46" s="79">
        <f t="shared" si="2"/>
        <v>1</v>
      </c>
      <c r="L46" s="79" t="str">
        <f t="shared" si="3"/>
        <v>NG36739</v>
      </c>
      <c r="M46" s="79">
        <f t="shared" si="4"/>
        <v>61.595100000000002</v>
      </c>
      <c r="N46" s="79">
        <f t="shared" si="5"/>
        <v>61.595100000000002</v>
      </c>
      <c r="O46" s="83" t="str">
        <f t="shared" si="6"/>
        <v>P</v>
      </c>
      <c r="P46" s="83" t="str">
        <f ca="1">INDEX([17]Portfolios!A$3:G$929,MATCH(D46,[17]Portfolios!B$3:B$929,0),7)</f>
        <v>IMCANADA</v>
      </c>
      <c r="Q46" s="83">
        <f ca="1">IF($O46="P",INDEX('[17]Date Master'!I$3:J$332,MATCH($H46,'[17]Date Master'!I$3:I$332,0),2),0)</f>
        <v>4</v>
      </c>
      <c r="R46" s="83">
        <f ca="1">IF($O46="D",INDEX('[17]Date Master'!O$3:P$332,MATCH($H46,'[17]Date Master'!O$3:O$332,0),2),0)</f>
        <v>0</v>
      </c>
      <c r="S46" s="83">
        <f ca="1">IF($O46="PHY",INDEX('[17]Date Master'!R$3:S$332,MATCH($H46,'[17]Date Master'!R$3:R$332,0),2),0)</f>
        <v>0</v>
      </c>
      <c r="T46" s="83">
        <f ca="1">IF($O46="G",INDEX('[17]Date Master'!R$3:S$332,MATCH($H46,'[17]Date Master'!R$3:R$332,0),2),0)</f>
        <v>0</v>
      </c>
      <c r="U46" s="83">
        <f t="shared" si="7"/>
        <v>4</v>
      </c>
      <c r="V46" s="83" t="str">
        <f t="shared" si="8"/>
        <v>IMCANADAP4</v>
      </c>
      <c r="W46" s="83" t="str">
        <f ca="1">IF(ISNA(V46),"-",INDEX([17]Portfolios!A$3:H$827,MATCH(D46,[17]Portfolios!B$3:B$827,0),7)&amp;H46)</f>
        <v>IMCANADA36739</v>
      </c>
      <c r="X46" s="83" t="str">
        <f t="shared" si="9"/>
        <v>IMCANADAP36739</v>
      </c>
      <c r="Y46" s="83" t="str">
        <f t="shared" si="10"/>
        <v>IMCANADAP</v>
      </c>
      <c r="AC46" s="80">
        <v>36033</v>
      </c>
      <c r="AD46" s="81" t="s">
        <v>40</v>
      </c>
      <c r="AE46" t="s">
        <v>79</v>
      </c>
      <c r="AF46" t="s">
        <v>74</v>
      </c>
      <c r="AG46" t="s">
        <v>30</v>
      </c>
      <c r="AH46" t="str">
        <f t="shared" si="12"/>
        <v>INTRA-CAND-WEST-PHYNIAGARA/IM</v>
      </c>
    </row>
    <row r="47" spans="1:34" x14ac:dyDescent="0.2">
      <c r="A47" s="85">
        <v>36698</v>
      </c>
      <c r="B47" t="s">
        <v>67</v>
      </c>
      <c r="C47" t="s">
        <v>68</v>
      </c>
      <c r="D47" t="s">
        <v>86</v>
      </c>
      <c r="E47" t="s">
        <v>21</v>
      </c>
      <c r="G47" t="s">
        <v>71</v>
      </c>
      <c r="H47" s="80">
        <v>36770</v>
      </c>
      <c r="I47">
        <v>741398</v>
      </c>
      <c r="J47" s="79">
        <f t="shared" si="1"/>
        <v>741398</v>
      </c>
      <c r="K47" s="79">
        <f t="shared" si="2"/>
        <v>1</v>
      </c>
      <c r="L47" s="79" t="str">
        <f t="shared" si="3"/>
        <v>NG36770</v>
      </c>
      <c r="M47" s="79">
        <f t="shared" si="4"/>
        <v>74.139799999999994</v>
      </c>
      <c r="N47" s="79">
        <f t="shared" si="5"/>
        <v>74.139799999999994</v>
      </c>
      <c r="O47" s="83" t="str">
        <f t="shared" si="6"/>
        <v>P</v>
      </c>
      <c r="P47" s="83" t="str">
        <f ca="1">INDEX([17]Portfolios!A$3:G$929,MATCH(D47,[17]Portfolios!B$3:B$929,0),7)</f>
        <v>IMCANADA</v>
      </c>
      <c r="Q47" s="83">
        <f ca="1">IF($O47="P",INDEX('[17]Date Master'!I$3:J$332,MATCH($H47,'[17]Date Master'!I$3:I$332,0),2),0)</f>
        <v>5</v>
      </c>
      <c r="R47" s="83">
        <f ca="1">IF($O47="D",INDEX('[17]Date Master'!O$3:P$332,MATCH($H47,'[17]Date Master'!O$3:O$332,0),2),0)</f>
        <v>0</v>
      </c>
      <c r="S47" s="83">
        <f ca="1">IF($O47="PHY",INDEX('[17]Date Master'!R$3:S$332,MATCH($H47,'[17]Date Master'!R$3:R$332,0),2),0)</f>
        <v>0</v>
      </c>
      <c r="T47" s="83">
        <f ca="1">IF($O47="G",INDEX('[17]Date Master'!R$3:S$332,MATCH($H47,'[17]Date Master'!R$3:R$332,0),2),0)</f>
        <v>0</v>
      </c>
      <c r="U47" s="83">
        <f t="shared" si="7"/>
        <v>5</v>
      </c>
      <c r="V47" s="83" t="str">
        <f t="shared" si="8"/>
        <v>IMCANADAP5</v>
      </c>
      <c r="W47" s="83" t="str">
        <f ca="1">IF(ISNA(V47),"-",INDEX([17]Portfolios!A$3:H$827,MATCH(D47,[17]Portfolios!B$3:B$827,0),7)&amp;H47)</f>
        <v>IMCANADA36770</v>
      </c>
      <c r="X47" s="83" t="str">
        <f t="shared" si="9"/>
        <v>IMCANADAP36770</v>
      </c>
      <c r="Y47" s="83" t="str">
        <f t="shared" si="10"/>
        <v>IMCANADAP</v>
      </c>
      <c r="AC47" s="80">
        <v>36033</v>
      </c>
      <c r="AD47" s="81" t="s">
        <v>40</v>
      </c>
      <c r="AE47" t="s">
        <v>79</v>
      </c>
      <c r="AF47" t="s">
        <v>76</v>
      </c>
      <c r="AG47" t="s">
        <v>30</v>
      </c>
      <c r="AH47" t="str">
        <f t="shared" si="12"/>
        <v>INTRA-CAND-WEST-PHYPARK-CDN/IM</v>
      </c>
    </row>
    <row r="48" spans="1:34" x14ac:dyDescent="0.2">
      <c r="A48" s="85">
        <v>36698</v>
      </c>
      <c r="B48" t="s">
        <v>67</v>
      </c>
      <c r="C48" t="s">
        <v>68</v>
      </c>
      <c r="D48" t="s">
        <v>86</v>
      </c>
      <c r="E48" t="s">
        <v>21</v>
      </c>
      <c r="G48" t="s">
        <v>71</v>
      </c>
      <c r="H48" s="80">
        <v>36800</v>
      </c>
      <c r="I48">
        <v>1047686</v>
      </c>
      <c r="J48" s="79">
        <f t="shared" si="1"/>
        <v>1047686</v>
      </c>
      <c r="K48" s="79">
        <f t="shared" si="2"/>
        <v>1</v>
      </c>
      <c r="L48" s="79" t="str">
        <f t="shared" si="3"/>
        <v>NG36800</v>
      </c>
      <c r="M48" s="79">
        <f t="shared" si="4"/>
        <v>104.76860000000001</v>
      </c>
      <c r="N48" s="79">
        <f t="shared" si="5"/>
        <v>104.76860000000001</v>
      </c>
      <c r="O48" s="83" t="str">
        <f t="shared" si="6"/>
        <v>P</v>
      </c>
      <c r="P48" s="83" t="str">
        <f ca="1">INDEX([17]Portfolios!A$3:G$929,MATCH(D48,[17]Portfolios!B$3:B$929,0),7)</f>
        <v>IMCANADA</v>
      </c>
      <c r="Q48" s="83">
        <f ca="1">IF($O48="P",INDEX('[17]Date Master'!I$3:J$332,MATCH($H48,'[17]Date Master'!I$3:I$332,0),2),0)</f>
        <v>6</v>
      </c>
      <c r="R48" s="83">
        <f ca="1">IF($O48="D",INDEX('[17]Date Master'!O$3:P$332,MATCH($H48,'[17]Date Master'!O$3:O$332,0),2),0)</f>
        <v>0</v>
      </c>
      <c r="S48" s="83">
        <f ca="1">IF($O48="PHY",INDEX('[17]Date Master'!R$3:S$332,MATCH($H48,'[17]Date Master'!R$3:R$332,0),2),0)</f>
        <v>0</v>
      </c>
      <c r="T48" s="83">
        <f ca="1">IF($O48="G",INDEX('[17]Date Master'!R$3:S$332,MATCH($H48,'[17]Date Master'!R$3:R$332,0),2),0)</f>
        <v>0</v>
      </c>
      <c r="U48" s="83">
        <f t="shared" si="7"/>
        <v>6</v>
      </c>
      <c r="V48" s="83" t="str">
        <f t="shared" si="8"/>
        <v>IMCANADAP6</v>
      </c>
      <c r="W48" s="83" t="str">
        <f ca="1">IF(ISNA(V48),"-",INDEX([17]Portfolios!A$3:H$827,MATCH(D48,[17]Portfolios!B$3:B$827,0),7)&amp;H48)</f>
        <v>IMCANADA36800</v>
      </c>
      <c r="X48" s="83" t="str">
        <f t="shared" si="9"/>
        <v>IMCANADAP36800</v>
      </c>
      <c r="Y48" s="83" t="str">
        <f t="shared" si="10"/>
        <v>IMCANADAP</v>
      </c>
      <c r="AC48" s="80">
        <v>36033</v>
      </c>
      <c r="AD48" s="81" t="s">
        <v>40</v>
      </c>
      <c r="AE48" t="s">
        <v>79</v>
      </c>
      <c r="AF48" t="s">
        <v>76</v>
      </c>
      <c r="AG48" t="s">
        <v>30</v>
      </c>
      <c r="AH48" t="str">
        <f t="shared" si="12"/>
        <v>INTRA-CAND-WEST-PHYPARK-CDN/IM</v>
      </c>
    </row>
    <row r="49" spans="1:34" x14ac:dyDescent="0.2">
      <c r="A49" s="85">
        <v>36698</v>
      </c>
      <c r="B49" t="s">
        <v>67</v>
      </c>
      <c r="C49" t="s">
        <v>68</v>
      </c>
      <c r="D49" t="s">
        <v>86</v>
      </c>
      <c r="E49" t="s">
        <v>21</v>
      </c>
      <c r="G49" t="s">
        <v>99</v>
      </c>
      <c r="H49" s="80">
        <v>36678</v>
      </c>
      <c r="I49">
        <v>0</v>
      </c>
      <c r="J49" s="79">
        <f t="shared" si="1"/>
        <v>0</v>
      </c>
      <c r="K49" s="79" t="e">
        <f t="shared" si="2"/>
        <v>#N/A</v>
      </c>
      <c r="L49" s="79" t="str">
        <f t="shared" si="3"/>
        <v>NGGJ36678</v>
      </c>
      <c r="M49" s="79">
        <f t="shared" si="4"/>
        <v>0</v>
      </c>
      <c r="N49" s="79">
        <f t="shared" si="5"/>
        <v>0</v>
      </c>
      <c r="O49" s="83" t="str">
        <f t="shared" si="6"/>
        <v>P</v>
      </c>
      <c r="P49" s="83" t="str">
        <f ca="1">INDEX([17]Portfolios!A$3:G$929,MATCH(D49,[17]Portfolios!B$3:B$929,0),7)</f>
        <v>IMCANADA</v>
      </c>
      <c r="Q49" s="83" t="e">
        <f ca="1">IF($O49="P",INDEX('[17]Date Master'!I$3:J$332,MATCH($H49,'[17]Date Master'!I$3:I$332,0),2),0)</f>
        <v>#N/A</v>
      </c>
      <c r="R49" s="83">
        <f ca="1">IF($O49="D",INDEX('[17]Date Master'!O$3:P$332,MATCH($H49,'[17]Date Master'!O$3:O$332,0),2),0)</f>
        <v>0</v>
      </c>
      <c r="S49" s="83">
        <f ca="1">IF($O49="PHY",INDEX('[17]Date Master'!R$3:S$332,MATCH($H49,'[17]Date Master'!R$3:R$332,0),2),0)</f>
        <v>0</v>
      </c>
      <c r="T49" s="83">
        <f ca="1">IF($O49="G",INDEX('[17]Date Master'!R$3:S$332,MATCH($H49,'[17]Date Master'!R$3:R$332,0),2),0)</f>
        <v>0</v>
      </c>
      <c r="U49" s="83" t="e">
        <f t="shared" si="7"/>
        <v>#N/A</v>
      </c>
      <c r="V49" s="83" t="e">
        <f t="shared" si="8"/>
        <v>#N/A</v>
      </c>
      <c r="W49" s="83" t="str">
        <f ca="1">IF(ISNA(V49),"-",INDEX([17]Portfolios!A$3:H$827,MATCH(D49,[17]Portfolios!B$3:B$827,0),7)&amp;H49)</f>
        <v>-</v>
      </c>
      <c r="X49" s="83" t="str">
        <f t="shared" si="9"/>
        <v>-</v>
      </c>
      <c r="Y49" s="83" t="str">
        <f t="shared" si="10"/>
        <v>IMCANADAP</v>
      </c>
      <c r="AC49" s="80">
        <v>36033</v>
      </c>
      <c r="AD49" s="81" t="s">
        <v>40</v>
      </c>
      <c r="AE49" t="s">
        <v>79</v>
      </c>
      <c r="AF49" t="s">
        <v>77</v>
      </c>
      <c r="AG49" t="s">
        <v>30</v>
      </c>
      <c r="AH49" t="str">
        <f t="shared" si="12"/>
        <v>INTRA-CAND-WEST-PHYPARKWAY/IM</v>
      </c>
    </row>
    <row r="50" spans="1:34" x14ac:dyDescent="0.2">
      <c r="A50" s="85">
        <v>36698</v>
      </c>
      <c r="B50" t="s">
        <v>67</v>
      </c>
      <c r="C50" t="s">
        <v>68</v>
      </c>
      <c r="D50" t="s">
        <v>86</v>
      </c>
      <c r="E50" t="s">
        <v>21</v>
      </c>
      <c r="G50" t="s">
        <v>100</v>
      </c>
      <c r="H50" s="80">
        <v>36678</v>
      </c>
      <c r="I50">
        <v>150000</v>
      </c>
      <c r="J50" s="79">
        <f t="shared" si="1"/>
        <v>0</v>
      </c>
      <c r="K50" s="79" t="e">
        <f t="shared" si="2"/>
        <v>#N/A</v>
      </c>
      <c r="L50" s="79" t="str">
        <f t="shared" si="3"/>
        <v>NGI-MALIN36678</v>
      </c>
      <c r="M50" s="79">
        <f t="shared" si="4"/>
        <v>15</v>
      </c>
      <c r="N50" s="79">
        <f t="shared" si="5"/>
        <v>0</v>
      </c>
      <c r="O50" s="83" t="str">
        <f t="shared" si="6"/>
        <v>P</v>
      </c>
      <c r="P50" s="83" t="str">
        <f ca="1">INDEX([17]Portfolios!A$3:G$929,MATCH(D50,[17]Portfolios!B$3:B$929,0),7)</f>
        <v>IMCANADA</v>
      </c>
      <c r="Q50" s="83" t="e">
        <f ca="1">IF($O50="P",INDEX('[17]Date Master'!I$3:J$332,MATCH($H50,'[17]Date Master'!I$3:I$332,0),2),0)</f>
        <v>#N/A</v>
      </c>
      <c r="R50" s="83">
        <f ca="1">IF($O50="D",INDEX('[17]Date Master'!O$3:P$332,MATCH($H50,'[17]Date Master'!O$3:O$332,0),2),0)</f>
        <v>0</v>
      </c>
      <c r="S50" s="83">
        <f ca="1">IF($O50="PHY",INDEX('[17]Date Master'!R$3:S$332,MATCH($H50,'[17]Date Master'!R$3:R$332,0),2),0)</f>
        <v>0</v>
      </c>
      <c r="T50" s="83">
        <f ca="1">IF($O50="G",INDEX('[17]Date Master'!R$3:S$332,MATCH($H50,'[17]Date Master'!R$3:R$332,0),2),0)</f>
        <v>0</v>
      </c>
      <c r="U50" s="83" t="e">
        <f t="shared" si="7"/>
        <v>#N/A</v>
      </c>
      <c r="V50" s="83" t="e">
        <f t="shared" si="8"/>
        <v>#N/A</v>
      </c>
      <c r="W50" s="83" t="str">
        <f ca="1">IF(ISNA(V50),"-",INDEX([17]Portfolios!A$3:H$827,MATCH(D50,[17]Portfolios!B$3:B$827,0),7)&amp;H50)</f>
        <v>-</v>
      </c>
      <c r="X50" s="83" t="str">
        <f t="shared" si="9"/>
        <v>-</v>
      </c>
      <c r="Y50" s="83" t="str">
        <f t="shared" si="10"/>
        <v>IMCANADAP</v>
      </c>
      <c r="AC50" s="80">
        <v>36033</v>
      </c>
      <c r="AD50" s="81" t="s">
        <v>40</v>
      </c>
      <c r="AE50" t="s">
        <v>79</v>
      </c>
      <c r="AF50" t="s">
        <v>77</v>
      </c>
      <c r="AG50" t="s">
        <v>30</v>
      </c>
      <c r="AH50" t="str">
        <f t="shared" si="12"/>
        <v>INTRA-CAND-WEST-PHYPARKWAY/IM</v>
      </c>
    </row>
    <row r="51" spans="1:34" x14ac:dyDescent="0.2">
      <c r="A51" s="85">
        <v>36698</v>
      </c>
      <c r="B51" t="s">
        <v>67</v>
      </c>
      <c r="C51" t="s">
        <v>68</v>
      </c>
      <c r="D51" t="s">
        <v>86</v>
      </c>
      <c r="E51" t="s">
        <v>21</v>
      </c>
      <c r="G51" t="s">
        <v>73</v>
      </c>
      <c r="H51" s="80">
        <v>36678</v>
      </c>
      <c r="I51">
        <v>-335527</v>
      </c>
      <c r="J51" s="79">
        <f t="shared" si="1"/>
        <v>-268421.60000000003</v>
      </c>
      <c r="K51" s="79">
        <f t="shared" si="2"/>
        <v>0.8</v>
      </c>
      <c r="L51" s="79" t="str">
        <f t="shared" si="3"/>
        <v>NGMR-AECO/C36678</v>
      </c>
      <c r="M51" s="79">
        <f t="shared" si="4"/>
        <v>-33.552700000000002</v>
      </c>
      <c r="N51" s="79">
        <f t="shared" si="5"/>
        <v>-26.842160000000003</v>
      </c>
      <c r="O51" s="83" t="str">
        <f t="shared" si="6"/>
        <v>P</v>
      </c>
      <c r="P51" s="83" t="str">
        <f ca="1">INDEX([17]Portfolios!A$3:G$929,MATCH(D51,[17]Portfolios!B$3:B$929,0),7)</f>
        <v>IMCANADA</v>
      </c>
      <c r="Q51" s="83" t="e">
        <f ca="1">IF($O51="P",INDEX('[17]Date Master'!I$3:J$332,MATCH($H51,'[17]Date Master'!I$3:I$332,0),2),0)</f>
        <v>#N/A</v>
      </c>
      <c r="R51" s="83">
        <f ca="1">IF($O51="D",INDEX('[17]Date Master'!O$3:P$332,MATCH($H51,'[17]Date Master'!O$3:O$332,0),2),0)</f>
        <v>0</v>
      </c>
      <c r="S51" s="83">
        <f ca="1">IF($O51="PHY",INDEX('[17]Date Master'!R$3:S$332,MATCH($H51,'[17]Date Master'!R$3:R$332,0),2),0)</f>
        <v>0</v>
      </c>
      <c r="T51" s="83">
        <f ca="1">IF($O51="G",INDEX('[17]Date Master'!R$3:S$332,MATCH($H51,'[17]Date Master'!R$3:R$332,0),2),0)</f>
        <v>0</v>
      </c>
      <c r="U51" s="83" t="e">
        <f t="shared" si="7"/>
        <v>#N/A</v>
      </c>
      <c r="V51" s="83" t="e">
        <f t="shared" si="8"/>
        <v>#N/A</v>
      </c>
      <c r="W51" s="83" t="str">
        <f ca="1">IF(ISNA(V51),"-",INDEX([17]Portfolios!A$3:H$827,MATCH(D51,[17]Portfolios!B$3:B$827,0),7)&amp;H51)</f>
        <v>-</v>
      </c>
      <c r="X51" s="83" t="str">
        <f t="shared" si="9"/>
        <v>-</v>
      </c>
      <c r="Y51" s="83" t="str">
        <f t="shared" si="10"/>
        <v>IMCANADAP</v>
      </c>
      <c r="AC51" s="80">
        <v>36033</v>
      </c>
      <c r="AD51" s="81" t="s">
        <v>40</v>
      </c>
      <c r="AE51" t="s">
        <v>79</v>
      </c>
      <c r="AF51" t="s">
        <v>98</v>
      </c>
      <c r="AG51" t="s">
        <v>30</v>
      </c>
      <c r="AH51" t="str">
        <f t="shared" si="12"/>
        <v>INTRA-CAND-WEST-PHYST.CLAIR/IM</v>
      </c>
    </row>
    <row r="52" spans="1:34" x14ac:dyDescent="0.2">
      <c r="A52" s="85">
        <v>36698</v>
      </c>
      <c r="B52" t="s">
        <v>67</v>
      </c>
      <c r="C52" t="s">
        <v>68</v>
      </c>
      <c r="D52" t="s">
        <v>86</v>
      </c>
      <c r="E52" t="s">
        <v>21</v>
      </c>
      <c r="G52" t="s">
        <v>73</v>
      </c>
      <c r="H52" s="80">
        <v>36708</v>
      </c>
      <c r="I52">
        <v>-2725265</v>
      </c>
      <c r="J52" s="79">
        <f t="shared" si="1"/>
        <v>-2180212</v>
      </c>
      <c r="K52" s="79">
        <f t="shared" si="2"/>
        <v>0.8</v>
      </c>
      <c r="L52" s="79" t="str">
        <f t="shared" si="3"/>
        <v>NGMR-AECO/C36708</v>
      </c>
      <c r="M52" s="79">
        <f t="shared" si="4"/>
        <v>-272.5265</v>
      </c>
      <c r="N52" s="79">
        <f t="shared" si="5"/>
        <v>-218.02119999999999</v>
      </c>
      <c r="O52" s="83" t="str">
        <f t="shared" si="6"/>
        <v>P</v>
      </c>
      <c r="P52" s="83" t="str">
        <f ca="1">INDEX([17]Portfolios!A$3:G$929,MATCH(D52,[17]Portfolios!B$3:B$929,0),7)</f>
        <v>IMCANADA</v>
      </c>
      <c r="Q52" s="83">
        <f ca="1">IF($O52="P",INDEX('[17]Date Master'!I$3:J$332,MATCH($H52,'[17]Date Master'!I$3:I$332,0),2),0)</f>
        <v>3</v>
      </c>
      <c r="R52" s="83">
        <f ca="1">IF($O52="D",INDEX('[17]Date Master'!O$3:P$332,MATCH($H52,'[17]Date Master'!O$3:O$332,0),2),0)</f>
        <v>0</v>
      </c>
      <c r="S52" s="83">
        <f ca="1">IF($O52="PHY",INDEX('[17]Date Master'!R$3:S$332,MATCH($H52,'[17]Date Master'!R$3:R$332,0),2),0)</f>
        <v>0</v>
      </c>
      <c r="T52" s="83">
        <f ca="1">IF($O52="G",INDEX('[17]Date Master'!R$3:S$332,MATCH($H52,'[17]Date Master'!R$3:R$332,0),2),0)</f>
        <v>0</v>
      </c>
      <c r="U52" s="83">
        <f t="shared" si="7"/>
        <v>3</v>
      </c>
      <c r="V52" s="83" t="str">
        <f t="shared" si="8"/>
        <v>IMCANADAP3</v>
      </c>
      <c r="W52" s="83" t="str">
        <f ca="1">IF(ISNA(V52),"-",INDEX([17]Portfolios!A$3:H$827,MATCH(D52,[17]Portfolios!B$3:B$827,0),7)&amp;H52)</f>
        <v>IMCANADA36708</v>
      </c>
      <c r="X52" s="83" t="str">
        <f t="shared" si="9"/>
        <v>IMCANADAP36708</v>
      </c>
      <c r="Y52" s="83" t="str">
        <f t="shared" si="10"/>
        <v>IMCANADAP</v>
      </c>
      <c r="AC52" s="80">
        <v>36034</v>
      </c>
      <c r="AD52" s="81" t="s">
        <v>40</v>
      </c>
      <c r="AE52" t="s">
        <v>79</v>
      </c>
      <c r="AF52" t="s">
        <v>98</v>
      </c>
      <c r="AG52" t="s">
        <v>30</v>
      </c>
      <c r="AH52" t="str">
        <f t="shared" si="12"/>
        <v>INTRA-CAND-WEST-PHYST.CLAIR/IM</v>
      </c>
    </row>
    <row r="53" spans="1:34" x14ac:dyDescent="0.2">
      <c r="A53" s="85">
        <v>36698</v>
      </c>
      <c r="B53" t="s">
        <v>67</v>
      </c>
      <c r="C53" t="s">
        <v>68</v>
      </c>
      <c r="D53" t="s">
        <v>86</v>
      </c>
      <c r="E53" t="s">
        <v>21</v>
      </c>
      <c r="G53" t="s">
        <v>73</v>
      </c>
      <c r="H53" s="80">
        <v>36739</v>
      </c>
      <c r="I53">
        <v>2247663</v>
      </c>
      <c r="J53" s="79">
        <f t="shared" si="1"/>
        <v>1798130.4000000001</v>
      </c>
      <c r="K53" s="79">
        <f t="shared" si="2"/>
        <v>0.8</v>
      </c>
      <c r="L53" s="79" t="str">
        <f t="shared" si="3"/>
        <v>NGMR-AECO/C36739</v>
      </c>
      <c r="M53" s="79">
        <f t="shared" si="4"/>
        <v>224.7663</v>
      </c>
      <c r="N53" s="79">
        <f t="shared" si="5"/>
        <v>179.81304</v>
      </c>
      <c r="O53" s="83" t="str">
        <f t="shared" si="6"/>
        <v>P</v>
      </c>
      <c r="P53" s="83" t="str">
        <f ca="1">INDEX([17]Portfolios!A$3:G$929,MATCH(D53,[17]Portfolios!B$3:B$929,0),7)</f>
        <v>IMCANADA</v>
      </c>
      <c r="Q53" s="83">
        <f ca="1">IF($O53="P",INDEX('[17]Date Master'!I$3:J$332,MATCH($H53,'[17]Date Master'!I$3:I$332,0),2),0)</f>
        <v>4</v>
      </c>
      <c r="R53" s="83">
        <f ca="1">IF($O53="D",INDEX('[17]Date Master'!O$3:P$332,MATCH($H53,'[17]Date Master'!O$3:O$332,0),2),0)</f>
        <v>0</v>
      </c>
      <c r="S53" s="83">
        <f ca="1">IF($O53="PHY",INDEX('[17]Date Master'!R$3:S$332,MATCH($H53,'[17]Date Master'!R$3:R$332,0),2),0)</f>
        <v>0</v>
      </c>
      <c r="T53" s="83">
        <f ca="1">IF($O53="G",INDEX('[17]Date Master'!R$3:S$332,MATCH($H53,'[17]Date Master'!R$3:R$332,0),2),0)</f>
        <v>0</v>
      </c>
      <c r="U53" s="83">
        <f t="shared" si="7"/>
        <v>4</v>
      </c>
      <c r="V53" s="83" t="str">
        <f t="shared" si="8"/>
        <v>IMCANADAP4</v>
      </c>
      <c r="W53" s="83" t="str">
        <f ca="1">IF(ISNA(V53),"-",INDEX([17]Portfolios!A$3:H$827,MATCH(D53,[17]Portfolios!B$3:B$827,0),7)&amp;H53)</f>
        <v>IMCANADA36739</v>
      </c>
      <c r="X53" s="83" t="str">
        <f t="shared" si="9"/>
        <v>IMCANADAP36739</v>
      </c>
      <c r="Y53" s="83" t="str">
        <f t="shared" si="10"/>
        <v>IMCANADAP</v>
      </c>
      <c r="AC53" s="80">
        <v>36035</v>
      </c>
      <c r="AD53" s="81" t="s">
        <v>40</v>
      </c>
      <c r="AE53" t="s">
        <v>79</v>
      </c>
      <c r="AF53" t="s">
        <v>78</v>
      </c>
      <c r="AG53" t="s">
        <v>30</v>
      </c>
      <c r="AH53" t="str">
        <f t="shared" si="12"/>
        <v>INTRA-CAND-WEST-PHYWADDINGTON/IM</v>
      </c>
    </row>
    <row r="54" spans="1:34" x14ac:dyDescent="0.2">
      <c r="A54" s="85">
        <v>36698</v>
      </c>
      <c r="B54" t="s">
        <v>67</v>
      </c>
      <c r="C54" t="s">
        <v>68</v>
      </c>
      <c r="D54" t="s">
        <v>86</v>
      </c>
      <c r="E54" t="s">
        <v>21</v>
      </c>
      <c r="G54" t="s">
        <v>73</v>
      </c>
      <c r="H54" s="80">
        <v>36770</v>
      </c>
      <c r="I54">
        <v>421626</v>
      </c>
      <c r="J54" s="79">
        <f t="shared" si="1"/>
        <v>337300.80000000005</v>
      </c>
      <c r="K54" s="79">
        <f t="shared" si="2"/>
        <v>0.8</v>
      </c>
      <c r="L54" s="79" t="str">
        <f t="shared" si="3"/>
        <v>NGMR-AECO/C36770</v>
      </c>
      <c r="M54" s="79">
        <f t="shared" si="4"/>
        <v>42.162599999999998</v>
      </c>
      <c r="N54" s="79">
        <f t="shared" si="5"/>
        <v>33.730080000000008</v>
      </c>
      <c r="O54" s="83" t="str">
        <f t="shared" si="6"/>
        <v>P</v>
      </c>
      <c r="P54" s="83" t="str">
        <f ca="1">INDEX([17]Portfolios!A$3:G$929,MATCH(D54,[17]Portfolios!B$3:B$929,0),7)</f>
        <v>IMCANADA</v>
      </c>
      <c r="Q54" s="83">
        <f ca="1">IF($O54="P",INDEX('[17]Date Master'!I$3:J$332,MATCH($H54,'[17]Date Master'!I$3:I$332,0),2),0)</f>
        <v>5</v>
      </c>
      <c r="R54" s="83">
        <f ca="1">IF($O54="D",INDEX('[17]Date Master'!O$3:P$332,MATCH($H54,'[17]Date Master'!O$3:O$332,0),2),0)</f>
        <v>0</v>
      </c>
      <c r="S54" s="83">
        <f ca="1">IF($O54="PHY",INDEX('[17]Date Master'!R$3:S$332,MATCH($H54,'[17]Date Master'!R$3:R$332,0),2),0)</f>
        <v>0</v>
      </c>
      <c r="T54" s="83">
        <f ca="1">IF($O54="G",INDEX('[17]Date Master'!R$3:S$332,MATCH($H54,'[17]Date Master'!R$3:R$332,0),2),0)</f>
        <v>0</v>
      </c>
      <c r="U54" s="83">
        <f t="shared" si="7"/>
        <v>5</v>
      </c>
      <c r="V54" s="83" t="str">
        <f t="shared" si="8"/>
        <v>IMCANADAP5</v>
      </c>
      <c r="W54" s="83" t="str">
        <f ca="1">IF(ISNA(V54),"-",INDEX([17]Portfolios!A$3:H$827,MATCH(D54,[17]Portfolios!B$3:B$827,0),7)&amp;H54)</f>
        <v>IMCANADA36770</v>
      </c>
      <c r="X54" s="83" t="str">
        <f t="shared" si="9"/>
        <v>IMCANADAP36770</v>
      </c>
      <c r="Y54" s="83" t="str">
        <f t="shared" si="10"/>
        <v>IMCANADAP</v>
      </c>
      <c r="AC54" s="80">
        <v>36036</v>
      </c>
      <c r="AD54" s="81" t="s">
        <v>40</v>
      </c>
      <c r="AE54" t="s">
        <v>79</v>
      </c>
      <c r="AF54" t="s">
        <v>78</v>
      </c>
      <c r="AG54" t="s">
        <v>30</v>
      </c>
      <c r="AH54" t="str">
        <f t="shared" si="12"/>
        <v>INTRA-CAND-WEST-PHYWADDINGTON/IM</v>
      </c>
    </row>
    <row r="55" spans="1:34" x14ac:dyDescent="0.2">
      <c r="A55" s="85">
        <v>36698</v>
      </c>
      <c r="B55" t="s">
        <v>67</v>
      </c>
      <c r="C55" t="s">
        <v>68</v>
      </c>
      <c r="D55" t="s">
        <v>86</v>
      </c>
      <c r="E55" t="s">
        <v>21</v>
      </c>
      <c r="G55" t="s">
        <v>73</v>
      </c>
      <c r="H55" s="80">
        <v>36800</v>
      </c>
      <c r="I55">
        <v>0</v>
      </c>
      <c r="J55" s="79">
        <f t="shared" si="1"/>
        <v>0</v>
      </c>
      <c r="K55" s="79">
        <f t="shared" si="2"/>
        <v>0.8</v>
      </c>
      <c r="L55" s="79" t="str">
        <f t="shared" si="3"/>
        <v>NGMR-AECO/C36800</v>
      </c>
      <c r="M55" s="79">
        <f t="shared" si="4"/>
        <v>0</v>
      </c>
      <c r="N55" s="79">
        <f t="shared" si="5"/>
        <v>0</v>
      </c>
      <c r="O55" s="83" t="str">
        <f t="shared" si="6"/>
        <v>P</v>
      </c>
      <c r="P55" s="83" t="str">
        <f ca="1">INDEX([17]Portfolios!A$3:G$929,MATCH(D55,[17]Portfolios!B$3:B$929,0),7)</f>
        <v>IMCANADA</v>
      </c>
      <c r="Q55" s="83">
        <f ca="1">IF($O55="P",INDEX('[17]Date Master'!I$3:J$332,MATCH($H55,'[17]Date Master'!I$3:I$332,0),2),0)</f>
        <v>6</v>
      </c>
      <c r="R55" s="83">
        <f ca="1">IF($O55="D",INDEX('[17]Date Master'!O$3:P$332,MATCH($H55,'[17]Date Master'!O$3:O$332,0),2),0)</f>
        <v>0</v>
      </c>
      <c r="S55" s="83">
        <f ca="1">IF($O55="PHY",INDEX('[17]Date Master'!R$3:S$332,MATCH($H55,'[17]Date Master'!R$3:R$332,0),2),0)</f>
        <v>0</v>
      </c>
      <c r="T55" s="83">
        <f ca="1">IF($O55="G",INDEX('[17]Date Master'!R$3:S$332,MATCH($H55,'[17]Date Master'!R$3:R$332,0),2),0)</f>
        <v>0</v>
      </c>
      <c r="U55" s="83">
        <f t="shared" si="7"/>
        <v>6</v>
      </c>
      <c r="V55" s="83" t="str">
        <f t="shared" si="8"/>
        <v>IMCANADAP6</v>
      </c>
      <c r="W55" s="83" t="str">
        <f ca="1">IF(ISNA(V55),"-",INDEX([17]Portfolios!A$3:H$827,MATCH(D55,[17]Portfolios!B$3:B$827,0),7)&amp;H55)</f>
        <v>IMCANADA36800</v>
      </c>
      <c r="X55" s="83" t="str">
        <f t="shared" si="9"/>
        <v>IMCANADAP36800</v>
      </c>
      <c r="Y55" s="83" t="str">
        <f t="shared" si="10"/>
        <v>IMCANADAP</v>
      </c>
      <c r="AC55" s="80">
        <v>36037</v>
      </c>
      <c r="AD55" s="81" t="s">
        <v>40</v>
      </c>
      <c r="AE55" t="s">
        <v>86</v>
      </c>
      <c r="AF55" t="s">
        <v>73</v>
      </c>
      <c r="AG55" t="s">
        <v>21</v>
      </c>
      <c r="AH55" t="str">
        <f t="shared" si="12"/>
        <v>INTRA-CAND-WEST-PRCNGMR-AECO/C</v>
      </c>
    </row>
    <row r="56" spans="1:34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4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4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4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4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4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4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4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4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2023-09-16T20:31:54Z</dcterms:modified>
</cp:coreProperties>
</file>