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hartsheets/sheet1.xml" ContentType="application/vnd.openxmlformats-officedocument.spreadsheetml.chart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trlProps/ctrlProp7.xml" ContentType="application/vnd.ms-excel.controlproperties+xml"/>
  <Override PartName="/xl/drawings/drawing4.xml" ContentType="application/vnd.openxmlformats-officedocument.drawing+xml"/>
  <Override PartName="/xl/ctrlProps/ctrlProp8.xml" ContentType="application/vnd.ms-excel.controlproperties+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trlProps/ctrlProp9.xml" ContentType="application/vnd.ms-excel.controlproperties+xml"/>
  <Override PartName="/xl/comments3.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omments4.xml" ContentType="application/vnd.openxmlformats-officedocument.spreadsheetml.comments+xml"/>
  <Override PartName="/xl/drawings/drawing14.xml" ContentType="application/vnd.openxmlformats-officedocument.drawing+xml"/>
  <Override PartName="/xl/comments5.xml" ContentType="application/vnd.openxmlformats-officedocument.spreadsheetml.comments+xml"/>
  <Override PartName="/xl/drawings/drawing15.xml" ContentType="application/vnd.openxmlformats-officedocument.drawing+xml"/>
  <Override PartName="/xl/drawings/drawing16.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6DA2F3CB-7A78-4B37-AB78-452948E95246}" xr6:coauthVersionLast="47" xr6:coauthVersionMax="47" xr10:uidLastSave="{00000000-0000-0000-0000-000000000000}"/>
  <bookViews>
    <workbookView xWindow="-120" yWindow="-120" windowWidth="38640" windowHeight="15720" tabRatio="871" activeTab="3"/>
  </bookViews>
  <sheets>
    <sheet name="Front" sheetId="21" r:id="rId1"/>
    <sheet name="NewDeals" sheetId="20" r:id="rId2"/>
    <sheet name="Report" sheetId="1" r:id="rId3"/>
    <sheet name="PL by Trader" sheetId="24" r:id="rId4"/>
    <sheet name="PriceAlberta" sheetId="3" r:id="rId5"/>
    <sheet name="AlbertaIndex" sheetId="5" r:id="rId6"/>
    <sheet name="PriceBC" sheetId="22" r:id="rId7"/>
    <sheet name="BCIndex" sheetId="23" r:id="rId8"/>
    <sheet name="PriceEOL" sheetId="10" r:id="rId9"/>
    <sheet name="EOLIndex" sheetId="11" r:id="rId10"/>
    <sheet name="Options" sheetId="4" r:id="rId11"/>
    <sheet name="OptionsIndex" sheetId="12" r:id="rId12"/>
    <sheet name="Straddle" sheetId="13" r:id="rId13"/>
    <sheet name="OptionsProp" sheetId="19" r:id="rId14"/>
    <sheet name="SpotRates" sheetId="6" r:id="rId15"/>
    <sheet name="TollExpl" sheetId="17" r:id="rId16"/>
    <sheet name="PrudExpl" sheetId="16" r:id="rId17"/>
    <sheet name="PrudCalc" sheetId="7" r:id="rId18"/>
    <sheet name="US $" sheetId="8" r:id="rId19"/>
    <sheet name="Orig Sched" sheetId="9" r:id="rId20"/>
    <sheet name="Price - East " sheetId="2" r:id="rId21"/>
    <sheet name="Chart1" sheetId="18" r:id="rId22"/>
  </sheets>
  <externalReferences>
    <externalReference r:id="rId23"/>
  </externalReferences>
  <definedNames>
    <definedName name="_Order1" localSheetId="19" hidden="1">255</definedName>
    <definedName name="_Order2" localSheetId="19" hidden="1">255</definedName>
    <definedName name="ACwvu.BookBal." localSheetId="5" hidden="1">AlbertaIndex!$A$6:$R$40</definedName>
    <definedName name="ACwvu.BookBal." localSheetId="7" hidden="1">BCIndex!$A$6:$R$40</definedName>
    <definedName name="ACwvu.BookBal." localSheetId="9" hidden="1">EOLIndex!$A$6:$R$40</definedName>
    <definedName name="ACwvu.BookBal." localSheetId="10" hidden="1">Options!$A$6:$R$40</definedName>
    <definedName name="ACwvu.BookBal." localSheetId="11" hidden="1">OptionsIndex!$A$6:$R$40</definedName>
    <definedName name="ACwvu.BookBal." localSheetId="13" hidden="1">OptionsProp!$A$6:$R$40</definedName>
    <definedName name="ACwvu.BookBal." localSheetId="20" hidden="1">'Price - East '!$A$6:$R$40</definedName>
    <definedName name="ACwvu.BookBal." localSheetId="4" hidden="1">PriceAlberta!$A$6:$R$40</definedName>
    <definedName name="ACwvu.BookBal." localSheetId="6" hidden="1">PriceBC!$A$6:$R$40</definedName>
    <definedName name="ACwvu.BookBal." localSheetId="8" hidden="1">PriceEOL!$A$6:$R$40</definedName>
    <definedName name="ACwvu.BookBal." localSheetId="12" hidden="1">Straddle!$A$6:$R$40</definedName>
    <definedName name="ACwvu.BookBal." localSheetId="18" hidden="1">'US $'!$A$6:$R$40</definedName>
    <definedName name="ACwvu.DailyChange." localSheetId="5" hidden="1">AlbertaIndex!$A$41:$AG$118</definedName>
    <definedName name="ACwvu.DailyChange." localSheetId="7" hidden="1">BCIndex!$A$41:$AG$118</definedName>
    <definedName name="ACwvu.DailyChange." localSheetId="9" hidden="1">EOLIndex!$A$41:$AG$118</definedName>
    <definedName name="ACwvu.DailyChange." localSheetId="10" hidden="1">Options!$A$41:$AG$118</definedName>
    <definedName name="ACwvu.DailyChange." localSheetId="11" hidden="1">OptionsIndex!$A$41:$AG$118</definedName>
    <definedName name="ACwvu.DailyChange." localSheetId="13" hidden="1">OptionsProp!$A$41:$AG$118</definedName>
    <definedName name="ACwvu.DailyChange." localSheetId="20" hidden="1">'Price - East '!$A$41:$AG$118</definedName>
    <definedName name="ACwvu.DailyChange." localSheetId="4" hidden="1">PriceAlberta!$A$41:$AG$118</definedName>
    <definedName name="ACwvu.DailyChange." localSheetId="6" hidden="1">PriceBC!$A$41:$AG$118</definedName>
    <definedName name="ACwvu.DailyChange." localSheetId="8" hidden="1">PriceEOL!$A$41:$AG$118</definedName>
    <definedName name="ACwvu.DailyChange." localSheetId="12" hidden="1">Straddle!$A$41:$AG$118</definedName>
    <definedName name="ACwvu.DailyChange." localSheetId="18" hidden="1">'US $'!$A$41:$AG$118</definedName>
    <definedName name="ACwvu.Schedules." localSheetId="5" hidden="1">AlbertaIndex!$A$121:$M$239</definedName>
    <definedName name="ACwvu.Schedules." localSheetId="7" hidden="1">BCIndex!$A$121:$M$239</definedName>
    <definedName name="ACwvu.Schedules." localSheetId="9" hidden="1">EOLIndex!$A$121:$M$239</definedName>
    <definedName name="ACwvu.Schedules." localSheetId="10" hidden="1">Options!$A$121:$M$239</definedName>
    <definedName name="ACwvu.Schedules." localSheetId="11" hidden="1">OptionsIndex!$A$121:$M$239</definedName>
    <definedName name="ACwvu.Schedules." localSheetId="13" hidden="1">OptionsProp!$A$121:$M$239</definedName>
    <definedName name="ACwvu.Schedules." localSheetId="20" hidden="1">'Price - East '!$A$121:$M$239</definedName>
    <definedName name="ACwvu.Schedules." localSheetId="4" hidden="1">PriceAlberta!$A$121:$M$238</definedName>
    <definedName name="ACwvu.Schedules." localSheetId="6" hidden="1">PriceBC!$A$121:$M$238</definedName>
    <definedName name="ACwvu.Schedules." localSheetId="8" hidden="1">PriceEOL!$A$121:$M$239</definedName>
    <definedName name="ACwvu.Schedules." localSheetId="12" hidden="1">Straddle!$A$121:$M$239</definedName>
    <definedName name="ACwvu.Schedules." localSheetId="18" hidden="1">'US $'!$A$121:$M$239</definedName>
    <definedName name="DAILY" localSheetId="7">'[1]Orig Sched'!#REF!</definedName>
    <definedName name="DAILY" localSheetId="6">'[1]Orig Sched'!#REF!</definedName>
    <definedName name="DAILY">'Orig Sched'!#REF!</definedName>
    <definedName name="DTITLE">'Orig Sched'!$T$1:$AN$8</definedName>
    <definedName name="orignames">'Orig Sched'!$AP$9:$AP$35</definedName>
    <definedName name="_xlnm.Print_Area" localSheetId="9">EOLIndex!$A$6:$R$39</definedName>
    <definedName name="_xlnm.Print_Area" localSheetId="1">NewDeals!$A$1:$I$39</definedName>
    <definedName name="_xlnm.Print_Area" localSheetId="10">Options!$A$6:$R$39</definedName>
    <definedName name="_xlnm.Print_Area" localSheetId="11">OptionsIndex!$A$6:$R$39</definedName>
    <definedName name="_xlnm.Print_Area" localSheetId="13">OptionsProp!$A$6:$R$39</definedName>
    <definedName name="_xlnm.Print_Area" localSheetId="19">'Orig Sched'!$A$5:$Q$181</definedName>
    <definedName name="_xlnm.Print_Area" localSheetId="3">'PL by Trader'!$A$1:$K$102</definedName>
    <definedName name="_xlnm.Print_Area" localSheetId="20">'Price - East '!$A$1:$AC$71</definedName>
    <definedName name="_xlnm.Print_Area" localSheetId="4">PriceAlberta!$A$1:$K$71</definedName>
    <definedName name="_xlnm.Print_Area" localSheetId="6">PriceBC!$A$1:$K$71</definedName>
    <definedName name="_xlnm.Print_Area" localSheetId="8">PriceEOL!$A$6:$R$39</definedName>
    <definedName name="_xlnm.Print_Area" localSheetId="17">PrudCalc!$A$1:$AJ$62</definedName>
    <definedName name="_xlnm.Print_Area" localSheetId="16">PrudExpl!$A$1:$G$23</definedName>
    <definedName name="_xlnm.Print_Area" localSheetId="2">Report!$A$1:$AE$102</definedName>
    <definedName name="_xlnm.Print_Area" localSheetId="14">SpotRates!$A$1:$T$67</definedName>
    <definedName name="_xlnm.Print_Area" localSheetId="12">Straddle!$A$6:$R$39</definedName>
    <definedName name="_xlnm.Print_Area" localSheetId="18">'US $'!$A$6:$R$39</definedName>
    <definedName name="Print_Area_MI">'Orig Sched'!$A$1:$G$8</definedName>
    <definedName name="_xlnm.Print_Titles" localSheetId="5">AlbertaIndex!$1:$7</definedName>
    <definedName name="_xlnm.Print_Titles" localSheetId="7">BCIndex!$1:$7</definedName>
    <definedName name="_xlnm.Print_Titles" localSheetId="9">EOLIndex!$1:$5</definedName>
    <definedName name="_xlnm.Print_Titles" localSheetId="10">Options!$1:$5</definedName>
    <definedName name="_xlnm.Print_Titles" localSheetId="11">OptionsIndex!$1:$5</definedName>
    <definedName name="_xlnm.Print_Titles" localSheetId="13">OptionsProp!$1:$5</definedName>
    <definedName name="_xlnm.Print_Titles" localSheetId="19">'Orig Sched'!$1:$7</definedName>
    <definedName name="_xlnm.Print_Titles" localSheetId="20">'Price - East '!$1:$7</definedName>
    <definedName name="_xlnm.Print_Titles" localSheetId="4">PriceAlberta!$1:$7</definedName>
    <definedName name="_xlnm.Print_Titles" localSheetId="6">PriceBC!$1:$7</definedName>
    <definedName name="_xlnm.Print_Titles" localSheetId="8">PriceEOL!$1:$7</definedName>
    <definedName name="_xlnm.Print_Titles" localSheetId="12">Straddle!$1:$5</definedName>
    <definedName name="_xlnm.Print_Titles" localSheetId="18">'US $'!$1:$7</definedName>
    <definedName name="Print_Titles_MI">'Orig Sched'!$1:$8</definedName>
    <definedName name="RANGE" localSheetId="7">'[1]Orig Sched'!#REF!</definedName>
    <definedName name="RANGE" localSheetId="6">'[1]Orig Sched'!#REF!</definedName>
    <definedName name="RANGE">'Orig Sched'!#REF!</definedName>
    <definedName name="Swvu.BookBal." localSheetId="5" hidden="1">AlbertaIndex!$A$6:$R$40</definedName>
    <definedName name="Swvu.BookBal." localSheetId="7" hidden="1">BCIndex!$A$6:$R$40</definedName>
    <definedName name="Swvu.BookBal." localSheetId="9" hidden="1">EOLIndex!$A$6:$R$40</definedName>
    <definedName name="Swvu.BookBal." localSheetId="10" hidden="1">Options!$A$6:$R$40</definedName>
    <definedName name="Swvu.BookBal." localSheetId="11" hidden="1">OptionsIndex!$A$6:$R$40</definedName>
    <definedName name="Swvu.BookBal." localSheetId="13" hidden="1">OptionsProp!$A$6:$R$40</definedName>
    <definedName name="Swvu.BookBal." localSheetId="20" hidden="1">'Price - East '!$A$6:$R$40</definedName>
    <definedName name="Swvu.BookBal." localSheetId="4" hidden="1">PriceAlberta!$A$6:$R$40</definedName>
    <definedName name="Swvu.BookBal." localSheetId="6" hidden="1">PriceBC!$A$6:$R$40</definedName>
    <definedName name="Swvu.BookBal." localSheetId="8" hidden="1">PriceEOL!$A$6:$R$40</definedName>
    <definedName name="Swvu.BookBal." localSheetId="12" hidden="1">Straddle!$A$6:$R$40</definedName>
    <definedName name="Swvu.BookBal." localSheetId="18" hidden="1">'US $'!$A$6:$R$40</definedName>
    <definedName name="Swvu.DailyChange." localSheetId="5" hidden="1">AlbertaIndex!$A$41:$AG$118</definedName>
    <definedName name="Swvu.DailyChange." localSheetId="7" hidden="1">BCIndex!$A$41:$AG$118</definedName>
    <definedName name="Swvu.DailyChange." localSheetId="9" hidden="1">EOLIndex!$A$41:$AG$118</definedName>
    <definedName name="Swvu.DailyChange." localSheetId="10" hidden="1">Options!$A$41:$AG$118</definedName>
    <definedName name="Swvu.DailyChange." localSheetId="11" hidden="1">OptionsIndex!$A$41:$AG$118</definedName>
    <definedName name="Swvu.DailyChange." localSheetId="13" hidden="1">OptionsProp!$A$41:$AG$118</definedName>
    <definedName name="Swvu.DailyChange." localSheetId="20" hidden="1">'Price - East '!$A$41:$AG$118</definedName>
    <definedName name="Swvu.DailyChange." localSheetId="4" hidden="1">PriceAlberta!$A$41:$AG$118</definedName>
    <definedName name="Swvu.DailyChange." localSheetId="6" hidden="1">PriceBC!$A$41:$AG$118</definedName>
    <definedName name="Swvu.DailyChange." localSheetId="8" hidden="1">PriceEOL!$A$41:$AG$118</definedName>
    <definedName name="Swvu.DailyChange." localSheetId="12" hidden="1">Straddle!$A$41:$AG$118</definedName>
    <definedName name="Swvu.DailyChange." localSheetId="18" hidden="1">'US $'!$A$41:$AG$118</definedName>
    <definedName name="_1Swvu.Sc0_y_les." localSheetId="11" hidden="1">OptionsIndex!$A$121:$M$239</definedName>
    <definedName name="Swvu.Schedules." localSheetId="5" hidden="1">AlbertaIndex!$A$121:$M$239</definedName>
    <definedName name="Swvu.Schedules." localSheetId="7" hidden="1">BCIndex!$A$121:$M$239</definedName>
    <definedName name="Swvu.Schedules." localSheetId="9" hidden="1">EOLIndex!$A$121:$M$239</definedName>
    <definedName name="Swvu.Schedules." localSheetId="10" hidden="1">Options!$A$121:$M$239</definedName>
    <definedName name="Swvu.Schedules." localSheetId="13" hidden="1">OptionsProp!$A$121:$M$239</definedName>
    <definedName name="Swvu.Schedules." localSheetId="20" hidden="1">'Price - East '!$A$121:$M$239</definedName>
    <definedName name="Swvu.Schedules." localSheetId="4" hidden="1">PriceAlberta!$A$121:$M$238</definedName>
    <definedName name="Swvu.Schedules." localSheetId="6" hidden="1">PriceBC!$A$121:$M$238</definedName>
    <definedName name="Swvu.Schedules." localSheetId="8" hidden="1">PriceEOL!$A$121:$M$239</definedName>
    <definedName name="Swvu.Schedules." localSheetId="12" hidden="1">Straddle!$A$121:$M$239</definedName>
    <definedName name="Swvu.Schedules." localSheetId="18" hidden="1">'US $'!$A$121:$M$239</definedName>
    <definedName name="TITLE">'Orig Sched'!$A$1:$O$8</definedName>
    <definedName name="wrn.RollDetail." localSheetId="5" hidden="1">{"BookBal",#N/A,FALSE,"Roll";"DailyChange",#N/A,FALSE,"Roll";"Schedules",#N/A,FALSE,"Roll"}</definedName>
    <definedName name="wrn.RollDetail." localSheetId="7" hidden="1">{"BookBal",#N/A,FALSE,"Roll";"DailyChange",#N/A,FALSE,"Roll";"Schedules",#N/A,FALSE,"Roll"}</definedName>
    <definedName name="wrn.RollDetail." localSheetId="9" hidden="1">{"BookBal",#N/A,FALSE,"Roll";"DailyChange",#N/A,FALSE,"Roll";"Schedules",#N/A,FALSE,"Roll"}</definedName>
    <definedName name="wrn.RollDetail." localSheetId="10" hidden="1">{"BookBal",#N/A,FALSE,"Roll";"DailyChange",#N/A,FALSE,"Roll";"Schedules",#N/A,FALSE,"Roll"}</definedName>
    <definedName name="wrn.RollDetail." localSheetId="11" hidden="1">{"BookBal",#N/A,FALSE,"Roll";"DailyChange",#N/A,FALSE,"Roll";"Schedules",#N/A,FALSE,"Roll"}</definedName>
    <definedName name="wrn.RollDetail." localSheetId="13" hidden="1">{"BookBal",#N/A,FALSE,"Roll";"DailyChange",#N/A,FALSE,"Roll";"Schedules",#N/A,FALSE,"Roll"}</definedName>
    <definedName name="wrn.RollDetail." localSheetId="3" hidden="1">{"BookBal",#N/A,FALSE,"Roll-1";"DailyChange",#N/A,FALSE,"Roll-1";"Schedules",#N/A,FALSE,"Roll-1"}</definedName>
    <definedName name="wrn.RollDetail." localSheetId="20" hidden="1">{"BookBal",#N/A,FALSE,"Roll-1";"DailyChange",#N/A,FALSE,"Roll-1";"Schedules",#N/A,FALSE,"Roll-1"}</definedName>
    <definedName name="wrn.RollDetail." localSheetId="6" hidden="1">{"BookBal",#N/A,FALSE,"Roll-1";"DailyChange",#N/A,FALSE,"Roll-1";"Schedules",#N/A,FALSE,"Roll-1"}</definedName>
    <definedName name="wrn.RollDetail." localSheetId="8" hidden="1">{"BookBal",#N/A,FALSE,"Roll";"DailyChange",#N/A,FALSE,"Roll";"Schedules",#N/A,FALSE,"Roll"}</definedName>
    <definedName name="wrn.RollDetail." localSheetId="12" hidden="1">{"BookBal",#N/A,FALSE,"Roll";"DailyChange",#N/A,FALSE,"Roll";"Schedules",#N/A,FALSE,"Roll"}</definedName>
    <definedName name="wrn.RollDetail." localSheetId="18" hidden="1">{"BookBal",#N/A,FALSE,"Roll";"DailyChange",#N/A,FALSE,"Roll";"Schedules",#N/A,FALSE,"Roll"}</definedName>
    <definedName name="wrn.RollDetail." hidden="1">{"BookBal",#N/A,FALSE,"Roll-1";"DailyChange",#N/A,FALSE,"Roll-1";"Schedules",#N/A,FALSE,"Roll-1"}</definedName>
    <definedName name="wvu.BookBal." localSheetId="5"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7"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9"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0"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1"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3"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20"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4"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6"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8"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2"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8"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DailyChange." localSheetId="5"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7"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9"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0"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1"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3"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20"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4"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6"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8"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2"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8"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Schedules." localSheetId="5"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7"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9"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0"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1"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3"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20"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4"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6"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8"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2"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8"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Z_00D2C730_B168_11D2_A84F_00805F2505DF_.wvu.PrintArea" localSheetId="5" hidden="1">AlbertaIndex!$A$6:$R$39</definedName>
    <definedName name="Z_00D2C730_B168_11D2_A84F_00805F2505DF_.wvu.PrintArea" localSheetId="7" hidden="1">BCIndex!$A$6:$R$39</definedName>
    <definedName name="Z_00D2C730_B168_11D2_A84F_00805F2505DF_.wvu.PrintTitles" localSheetId="5" hidden="1">AlbertaIndex!$1:$5</definedName>
    <definedName name="Z_00D2C730_B168_11D2_A84F_00805F2505DF_.wvu.PrintTitles" localSheetId="7" hidden="1">BCIndex!$1:$5</definedName>
    <definedName name="Z_00D2C731_B168_11D2_A84F_00805F2505DF_.wvu.PrintArea" localSheetId="10" hidden="1">Options!$A$6:$R$39</definedName>
    <definedName name="Z_00D2C731_B168_11D2_A84F_00805F2505DF_.wvu.PrintArea" localSheetId="13" hidden="1">OptionsProp!$A$6:$R$39</definedName>
    <definedName name="Z_00D2C731_B168_11D2_A84F_00805F2505DF_.wvu.PrintTitles" localSheetId="10" hidden="1">Options!$1:$5</definedName>
    <definedName name="Z_00D2C731_B168_11D2_A84F_00805F2505DF_.wvu.PrintTitles" localSheetId="13" hidden="1">OptionsProp!$1:$5</definedName>
    <definedName name="Z_00D2C732_B168_11D2_A84F_00805F2505DF_.wvu.PrintArea" localSheetId="20" hidden="1">'Price - East '!$A$6:$R$39</definedName>
    <definedName name="Z_00D2C732_B168_11D2_A84F_00805F2505DF_.wvu.PrintTitles" localSheetId="20" hidden="1">'Price - East '!$1:$5</definedName>
    <definedName name="Z_00D2C733_B168_11D2_A84F_00805F2505DF_.wvu.PrintArea" localSheetId="4" hidden="1">PriceAlberta!$A$6:$R$39</definedName>
    <definedName name="Z_00D2C733_B168_11D2_A84F_00805F2505DF_.wvu.PrintArea" localSheetId="6" hidden="1">PriceBC!$A$6:$R$39</definedName>
    <definedName name="Z_00D2C733_B168_11D2_A84F_00805F2505DF_.wvu.PrintTitles" localSheetId="4" hidden="1">PriceAlberta!$1:$5</definedName>
    <definedName name="Z_00D2C733_B168_11D2_A84F_00805F2505DF_.wvu.PrintTitles" localSheetId="6" hidden="1">PriceBC!$1:$5</definedName>
    <definedName name="Z_00D2C734_B168_11D2_A84F_00805F2505DF_.wvu.PrintArea" localSheetId="8" hidden="1">PriceEOL!$A$6:$R$39</definedName>
    <definedName name="Z_00D2C734_B168_11D2_A84F_00805F2505DF_.wvu.PrintTitles" localSheetId="8" hidden="1">PriceEOL!$1:$5</definedName>
    <definedName name="Z_00D2C735_B168_11D2_A84F_00805F2505DF_.wvu.PrintArea" localSheetId="9" hidden="1">EOLIndex!$A$6:$R$39</definedName>
    <definedName name="Z_00D2C735_B168_11D2_A84F_00805F2505DF_.wvu.PrintTitles" localSheetId="9" hidden="1">EOLIndex!$1:$5</definedName>
    <definedName name="Z_00D2C736_B168_11D2_A84F_00805F2505DF_.wvu.PrintArea" localSheetId="11" hidden="1">OptionsIndex!$A$6:$R$39</definedName>
    <definedName name="Z_00D2C736_B168_11D2_A84F_00805F2505DF_.wvu.PrintTitles" localSheetId="11" hidden="1">OptionsIndex!$1:$5</definedName>
    <definedName name="Z_00D2C737_B168_11D2_A84F_00805F2505DF_.wvu.PrintArea" localSheetId="12" hidden="1">Straddle!$A$6:$R$39</definedName>
    <definedName name="Z_00D2C737_B168_11D2_A84F_00805F2505DF_.wvu.PrintTitles" localSheetId="12" hidden="1">Straddle!$1:$5</definedName>
    <definedName name="Z_00D2C738_B168_11D2_A84F_00805F2505DF_.wvu.PrintArea" localSheetId="18" hidden="1">'US $'!$A$6:$R$39</definedName>
    <definedName name="Z_00D2C738_B168_11D2_A84F_00805F2505DF_.wvu.PrintTitles" localSheetId="18" hidden="1">'US $'!$1:$5</definedName>
    <definedName name="Z_00D2C739_B168_11D2_A84F_00805F2505DF_.wvu.PrintArea" localSheetId="5" hidden="1">AlbertaIndex!$A$40:$AG$118</definedName>
    <definedName name="Z_00D2C739_B168_11D2_A84F_00805F2505DF_.wvu.PrintArea" localSheetId="7" hidden="1">BCIndex!$A$40:$AG$118</definedName>
    <definedName name="Z_00D2C739_B168_11D2_A84F_00805F2505DF_.wvu.PrintTitles" localSheetId="5" hidden="1">AlbertaIndex!$1:$5</definedName>
    <definedName name="Z_00D2C739_B168_11D2_A84F_00805F2505DF_.wvu.PrintTitles" localSheetId="7" hidden="1">BCIndex!$1:$5</definedName>
    <definedName name="Z_00D2C73A_B168_11D2_A84F_00805F2505DF_.wvu.PrintArea" localSheetId="10" hidden="1">Options!$A$40:$AG$118</definedName>
    <definedName name="Z_00D2C73A_B168_11D2_A84F_00805F2505DF_.wvu.PrintArea" localSheetId="13" hidden="1">OptionsProp!$A$40:$AG$118</definedName>
    <definedName name="Z_00D2C73A_B168_11D2_A84F_00805F2505DF_.wvu.PrintTitles" localSheetId="10" hidden="1">Options!$1:$5</definedName>
    <definedName name="Z_00D2C73A_B168_11D2_A84F_00805F2505DF_.wvu.PrintTitles" localSheetId="13" hidden="1">OptionsProp!$1:$5</definedName>
    <definedName name="Z_00D2C73B_B168_11D2_A84F_00805F2505DF_.wvu.PrintArea" localSheetId="20" hidden="1">'Price - East '!$A$40:$AG$118</definedName>
    <definedName name="Z_00D2C73B_B168_11D2_A84F_00805F2505DF_.wvu.PrintTitles" localSheetId="20" hidden="1">'Price - East '!$1:$5</definedName>
    <definedName name="Z_00D2C73C_B168_11D2_A84F_00805F2505DF_.wvu.PrintArea" localSheetId="4" hidden="1">PriceAlberta!$A$40:$AG$118</definedName>
    <definedName name="Z_00D2C73C_B168_11D2_A84F_00805F2505DF_.wvu.PrintArea" localSheetId="6" hidden="1">PriceBC!$A$40:$AG$118</definedName>
    <definedName name="Z_00D2C73C_B168_11D2_A84F_00805F2505DF_.wvu.PrintTitles" localSheetId="4" hidden="1">PriceAlberta!$1:$5</definedName>
    <definedName name="Z_00D2C73C_B168_11D2_A84F_00805F2505DF_.wvu.PrintTitles" localSheetId="6" hidden="1">PriceBC!$1:$5</definedName>
    <definedName name="Z_00D2C73D_B168_11D2_A84F_00805F2505DF_.wvu.PrintArea" localSheetId="8" hidden="1">PriceEOL!$A$40:$AG$118</definedName>
    <definedName name="Z_00D2C73D_B168_11D2_A84F_00805F2505DF_.wvu.PrintTitles" localSheetId="8" hidden="1">PriceEOL!$1:$5</definedName>
    <definedName name="Z_00D2C73E_B168_11D2_A84F_00805F2505DF_.wvu.PrintArea" localSheetId="9" hidden="1">EOLIndex!$A$40:$AG$118</definedName>
    <definedName name="Z_00D2C73E_B168_11D2_A84F_00805F2505DF_.wvu.PrintTitles" localSheetId="9" hidden="1">EOLIndex!$1:$5</definedName>
    <definedName name="Z_00D2C73F_B168_11D2_A84F_00805F2505DF_.wvu.PrintArea" localSheetId="11" hidden="1">OptionsIndex!$A$40:$AG$118</definedName>
    <definedName name="Z_00D2C73F_B168_11D2_A84F_00805F2505DF_.wvu.PrintTitles" localSheetId="11" hidden="1">OptionsIndex!$1:$5</definedName>
    <definedName name="Z_00D2C740_B168_11D2_A84F_00805F2505DF_.wvu.PrintArea" localSheetId="12" hidden="1">Straddle!$A$40:$AG$118</definedName>
    <definedName name="Z_00D2C740_B168_11D2_A84F_00805F2505DF_.wvu.PrintTitles" localSheetId="12" hidden="1">Straddle!$1:$5</definedName>
    <definedName name="Z_00D2C741_B168_11D2_A84F_00805F2505DF_.wvu.PrintArea" localSheetId="18" hidden="1">'US $'!$A$40:$AG$118</definedName>
    <definedName name="Z_00D2C741_B168_11D2_A84F_00805F2505DF_.wvu.PrintTitles" localSheetId="18" hidden="1">'US $'!$1:$5</definedName>
    <definedName name="Z_00D2C742_B168_11D2_A84F_00805F2505DF_.wvu.PrintArea" localSheetId="5" hidden="1">AlbertaIndex!$A$120:$M$238</definedName>
    <definedName name="Z_00D2C742_B168_11D2_A84F_00805F2505DF_.wvu.PrintArea" localSheetId="7" hidden="1">BCIndex!$A$120:$M$238</definedName>
    <definedName name="Z_00D2C742_B168_11D2_A84F_00805F2505DF_.wvu.PrintTitles" localSheetId="5" hidden="1">AlbertaIndex!$1:$5</definedName>
    <definedName name="Z_00D2C742_B168_11D2_A84F_00805F2505DF_.wvu.PrintTitles" localSheetId="7" hidden="1">BCIndex!$1:$5</definedName>
    <definedName name="Z_00D2C743_B168_11D2_A84F_00805F2505DF_.wvu.PrintArea" localSheetId="10" hidden="1">Options!$A$120:$M$238</definedName>
    <definedName name="Z_00D2C743_B168_11D2_A84F_00805F2505DF_.wvu.PrintArea" localSheetId="13" hidden="1">OptionsProp!$A$120:$M$238</definedName>
    <definedName name="Z_00D2C743_B168_11D2_A84F_00805F2505DF_.wvu.PrintTitles" localSheetId="10" hidden="1">Options!$1:$5</definedName>
    <definedName name="Z_00D2C743_B168_11D2_A84F_00805F2505DF_.wvu.PrintTitles" localSheetId="13" hidden="1">OptionsProp!$1:$5</definedName>
    <definedName name="Z_00D2C744_B168_11D2_A84F_00805F2505DF_.wvu.PrintArea" localSheetId="20" hidden="1">'Price - East '!$A$120:$M$238</definedName>
    <definedName name="Z_00D2C744_B168_11D2_A84F_00805F2505DF_.wvu.PrintTitles" localSheetId="20" hidden="1">'Price - East '!$1:$5</definedName>
    <definedName name="Z_00D2C745_B168_11D2_A84F_00805F2505DF_.wvu.PrintArea" localSheetId="4" hidden="1">PriceAlberta!$A$120:$M$237</definedName>
    <definedName name="Z_00D2C745_B168_11D2_A84F_00805F2505DF_.wvu.PrintArea" localSheetId="6" hidden="1">PriceBC!$A$120:$M$237</definedName>
    <definedName name="Z_00D2C745_B168_11D2_A84F_00805F2505DF_.wvu.PrintTitles" localSheetId="4" hidden="1">PriceAlberta!$1:$5</definedName>
    <definedName name="Z_00D2C745_B168_11D2_A84F_00805F2505DF_.wvu.PrintTitles" localSheetId="6" hidden="1">PriceBC!$1:$5</definedName>
    <definedName name="Z_00D2C746_B168_11D2_A84F_00805F2505DF_.wvu.PrintArea" localSheetId="8" hidden="1">PriceEOL!$A$120:$M$238</definedName>
    <definedName name="Z_00D2C746_B168_11D2_A84F_00805F2505DF_.wvu.PrintTitles" localSheetId="8" hidden="1">PriceEOL!$1:$5</definedName>
    <definedName name="Z_00D2C747_B168_11D2_A84F_00805F2505DF_.wvu.PrintArea" localSheetId="9" hidden="1">EOLIndex!$A$120:$M$238</definedName>
    <definedName name="Z_00D2C747_B168_11D2_A84F_00805F2505DF_.wvu.PrintTitles" localSheetId="9" hidden="1">EOLIndex!$1:$5</definedName>
    <definedName name="Z_00D2C748_B168_11D2_A84F_00805F2505DF_.wvu.PrintArea" localSheetId="11" hidden="1">OptionsIndex!$A$120:$M$238</definedName>
    <definedName name="Z_00D2C748_B168_11D2_A84F_00805F2505DF_.wvu.PrintTitles" localSheetId="11" hidden="1">OptionsIndex!$1:$5</definedName>
    <definedName name="Z_00D2C749_B168_11D2_A84F_00805F2505DF_.wvu.PrintArea" localSheetId="12" hidden="1">Straddle!$A$120:$M$238</definedName>
    <definedName name="Z_00D2C749_B168_11D2_A84F_00805F2505DF_.wvu.PrintTitles" localSheetId="12" hidden="1">Straddle!$1:$5</definedName>
    <definedName name="Z_00D2C74A_B168_11D2_A84F_00805F2505DF_.wvu.PrintArea" localSheetId="18" hidden="1">'US $'!$A$120:$M$238</definedName>
    <definedName name="Z_00D2C74A_B168_11D2_A84F_00805F2505DF_.wvu.PrintTitles" localSheetId="18" hidden="1">'US $'!$1:$5</definedName>
    <definedName name="Z_01843847_B93D_11D2_8444_00805F3629DE_.wvu.PrintArea" localSheetId="5" hidden="1">AlbertaIndex!$A$6:$R$39</definedName>
    <definedName name="Z_01843847_B93D_11D2_8444_00805F3629DE_.wvu.PrintArea" localSheetId="7" hidden="1">BCIndex!$A$6:$R$39</definedName>
    <definedName name="Z_01843847_B93D_11D2_8444_00805F3629DE_.wvu.PrintTitles" localSheetId="5" hidden="1">AlbertaIndex!$1:$5</definedName>
    <definedName name="Z_01843847_B93D_11D2_8444_00805F3629DE_.wvu.PrintTitles" localSheetId="7" hidden="1">BCIndex!$1:$5</definedName>
    <definedName name="Z_01843848_B93D_11D2_8444_00805F3629DE_.wvu.PrintArea" localSheetId="10" hidden="1">Options!$A$6:$R$39</definedName>
    <definedName name="Z_01843848_B93D_11D2_8444_00805F3629DE_.wvu.PrintArea" localSheetId="13" hidden="1">OptionsProp!$A$6:$R$39</definedName>
    <definedName name="Z_01843848_B93D_11D2_8444_00805F3629DE_.wvu.PrintTitles" localSheetId="10" hidden="1">Options!$1:$5</definedName>
    <definedName name="Z_01843848_B93D_11D2_8444_00805F3629DE_.wvu.PrintTitles" localSheetId="13" hidden="1">OptionsProp!$1:$5</definedName>
    <definedName name="Z_01843849_B93D_11D2_8444_00805F3629DE_.wvu.PrintArea" localSheetId="20" hidden="1">'Price - East '!$A$6:$R$39</definedName>
    <definedName name="Z_01843849_B93D_11D2_8444_00805F3629DE_.wvu.PrintTitles" localSheetId="20" hidden="1">'Price - East '!$1:$5</definedName>
    <definedName name="Z_0184384A_B93D_11D2_8444_00805F3629DE_.wvu.PrintArea" localSheetId="4" hidden="1">PriceAlberta!$A$6:$R$39</definedName>
    <definedName name="Z_0184384A_B93D_11D2_8444_00805F3629DE_.wvu.PrintArea" localSheetId="6" hidden="1">PriceBC!$A$6:$R$39</definedName>
    <definedName name="Z_0184384A_B93D_11D2_8444_00805F3629DE_.wvu.PrintTitles" localSheetId="4" hidden="1">PriceAlberta!$1:$5</definedName>
    <definedName name="Z_0184384A_B93D_11D2_8444_00805F3629DE_.wvu.PrintTitles" localSheetId="6" hidden="1">PriceBC!$1:$5</definedName>
    <definedName name="Z_0184384B_B93D_11D2_8444_00805F3629DE_.wvu.PrintArea" localSheetId="8" hidden="1">PriceEOL!$A$6:$R$39</definedName>
    <definedName name="Z_0184384B_B93D_11D2_8444_00805F3629DE_.wvu.PrintTitles" localSheetId="8" hidden="1">PriceEOL!$1:$5</definedName>
    <definedName name="Z_0184384C_B93D_11D2_8444_00805F3629DE_.wvu.PrintArea" localSheetId="9" hidden="1">EOLIndex!$A$6:$R$39</definedName>
    <definedName name="Z_0184384C_B93D_11D2_8444_00805F3629DE_.wvu.PrintTitles" localSheetId="9" hidden="1">EOLIndex!$1:$5</definedName>
    <definedName name="Z_0184384D_B93D_11D2_8444_00805F3629DE_.wvu.PrintArea" localSheetId="11" hidden="1">OptionsIndex!$A$6:$R$39</definedName>
    <definedName name="Z_0184384D_B93D_11D2_8444_00805F3629DE_.wvu.PrintTitles" localSheetId="11" hidden="1">OptionsIndex!$1:$5</definedName>
    <definedName name="Z_0184384E_B93D_11D2_8444_00805F3629DE_.wvu.PrintArea" localSheetId="12" hidden="1">Straddle!$A$6:$R$39</definedName>
    <definedName name="Z_0184384E_B93D_11D2_8444_00805F3629DE_.wvu.PrintTitles" localSheetId="12" hidden="1">Straddle!$1:$5</definedName>
    <definedName name="Z_0184384F_B93D_11D2_8444_00805F3629DE_.wvu.PrintArea" localSheetId="18" hidden="1">'US $'!$A$6:$R$39</definedName>
    <definedName name="Z_0184384F_B93D_11D2_8444_00805F3629DE_.wvu.PrintTitles" localSheetId="18" hidden="1">'US $'!$1:$5</definedName>
    <definedName name="Z_01843850_B93D_11D2_8444_00805F3629DE_.wvu.PrintArea" localSheetId="5" hidden="1">AlbertaIndex!$A$40:$AG$118</definedName>
    <definedName name="Z_01843850_B93D_11D2_8444_00805F3629DE_.wvu.PrintArea" localSheetId="7" hidden="1">BCIndex!$A$40:$AG$118</definedName>
    <definedName name="Z_01843850_B93D_11D2_8444_00805F3629DE_.wvu.PrintTitles" localSheetId="5" hidden="1">AlbertaIndex!$1:$5</definedName>
    <definedName name="Z_01843850_B93D_11D2_8444_00805F3629DE_.wvu.PrintTitles" localSheetId="7" hidden="1">BCIndex!$1:$5</definedName>
    <definedName name="Z_01843851_B93D_11D2_8444_00805F3629DE_.wvu.PrintArea" localSheetId="10" hidden="1">Options!$A$40:$AG$118</definedName>
    <definedName name="Z_01843851_B93D_11D2_8444_00805F3629DE_.wvu.PrintArea" localSheetId="13" hidden="1">OptionsProp!$A$40:$AG$118</definedName>
    <definedName name="Z_01843851_B93D_11D2_8444_00805F3629DE_.wvu.PrintTitles" localSheetId="10" hidden="1">Options!$1:$5</definedName>
    <definedName name="Z_01843851_B93D_11D2_8444_00805F3629DE_.wvu.PrintTitles" localSheetId="13" hidden="1">OptionsProp!$1:$5</definedName>
    <definedName name="Z_01843852_B93D_11D2_8444_00805F3629DE_.wvu.PrintArea" localSheetId="20" hidden="1">'Price - East '!$A$40:$AG$118</definedName>
    <definedName name="Z_01843852_B93D_11D2_8444_00805F3629DE_.wvu.PrintTitles" localSheetId="20" hidden="1">'Price - East '!$1:$5</definedName>
    <definedName name="Z_01843853_B93D_11D2_8444_00805F3629DE_.wvu.PrintArea" localSheetId="4" hidden="1">PriceAlberta!$A$40:$AG$118</definedName>
    <definedName name="Z_01843853_B93D_11D2_8444_00805F3629DE_.wvu.PrintArea" localSheetId="6" hidden="1">PriceBC!$A$40:$AG$118</definedName>
    <definedName name="Z_01843853_B93D_11D2_8444_00805F3629DE_.wvu.PrintTitles" localSheetId="4" hidden="1">PriceAlberta!$1:$5</definedName>
    <definedName name="Z_01843853_B93D_11D2_8444_00805F3629DE_.wvu.PrintTitles" localSheetId="6" hidden="1">PriceBC!$1:$5</definedName>
    <definedName name="Z_01843854_B93D_11D2_8444_00805F3629DE_.wvu.PrintArea" localSheetId="8" hidden="1">PriceEOL!$A$40:$AG$118</definedName>
    <definedName name="Z_01843854_B93D_11D2_8444_00805F3629DE_.wvu.PrintTitles" localSheetId="8" hidden="1">PriceEOL!$1:$5</definedName>
    <definedName name="Z_01843855_B93D_11D2_8444_00805F3629DE_.wvu.PrintArea" localSheetId="9" hidden="1">EOLIndex!$A$40:$AG$118</definedName>
    <definedName name="Z_01843855_B93D_11D2_8444_00805F3629DE_.wvu.PrintTitles" localSheetId="9" hidden="1">EOLIndex!$1:$5</definedName>
    <definedName name="Z_01843856_B93D_11D2_8444_00805F3629DE_.wvu.PrintArea" localSheetId="11" hidden="1">OptionsIndex!$A$40:$AG$118</definedName>
    <definedName name="Z_01843856_B93D_11D2_8444_00805F3629DE_.wvu.PrintTitles" localSheetId="11" hidden="1">OptionsIndex!$1:$5</definedName>
    <definedName name="Z_01843857_B93D_11D2_8444_00805F3629DE_.wvu.PrintArea" localSheetId="12" hidden="1">Straddle!$A$40:$AG$118</definedName>
    <definedName name="Z_01843857_B93D_11D2_8444_00805F3629DE_.wvu.PrintTitles" localSheetId="12" hidden="1">Straddle!$1:$5</definedName>
    <definedName name="Z_01843858_B93D_11D2_8444_00805F3629DE_.wvu.PrintArea" localSheetId="18" hidden="1">'US $'!$A$40:$AG$118</definedName>
    <definedName name="Z_01843858_B93D_11D2_8444_00805F3629DE_.wvu.PrintTitles" localSheetId="18" hidden="1">'US $'!$1:$5</definedName>
    <definedName name="Z_01843859_B93D_11D2_8444_00805F3629DE_.wvu.PrintArea" localSheetId="5" hidden="1">AlbertaIndex!$A$120:$M$238</definedName>
    <definedName name="Z_01843859_B93D_11D2_8444_00805F3629DE_.wvu.PrintArea" localSheetId="7" hidden="1">BCIndex!$A$120:$M$238</definedName>
    <definedName name="Z_01843859_B93D_11D2_8444_00805F3629DE_.wvu.PrintTitles" localSheetId="5" hidden="1">AlbertaIndex!$1:$5</definedName>
    <definedName name="Z_01843859_B93D_11D2_8444_00805F3629DE_.wvu.PrintTitles" localSheetId="7" hidden="1">BCIndex!$1:$5</definedName>
    <definedName name="Z_0184385A_B93D_11D2_8444_00805F3629DE_.wvu.PrintArea" localSheetId="10" hidden="1">Options!$A$120:$M$238</definedName>
    <definedName name="Z_0184385A_B93D_11D2_8444_00805F3629DE_.wvu.PrintArea" localSheetId="13" hidden="1">OptionsProp!$A$120:$M$238</definedName>
    <definedName name="Z_0184385A_B93D_11D2_8444_00805F3629DE_.wvu.PrintTitles" localSheetId="10" hidden="1">Options!$1:$5</definedName>
    <definedName name="Z_0184385A_B93D_11D2_8444_00805F3629DE_.wvu.PrintTitles" localSheetId="13" hidden="1">OptionsProp!$1:$5</definedName>
    <definedName name="Z_0184385B_B93D_11D2_8444_00805F3629DE_.wvu.PrintArea" localSheetId="20" hidden="1">'Price - East '!$A$120:$M$238</definedName>
    <definedName name="Z_0184385B_B93D_11D2_8444_00805F3629DE_.wvu.PrintTitles" localSheetId="20" hidden="1">'Price - East '!$1:$5</definedName>
    <definedName name="Z_0184385C_B93D_11D2_8444_00805F3629DE_.wvu.PrintArea" localSheetId="4" hidden="1">PriceAlberta!$A$120:$M$237</definedName>
    <definedName name="Z_0184385C_B93D_11D2_8444_00805F3629DE_.wvu.PrintArea" localSheetId="6" hidden="1">PriceBC!$A$120:$M$237</definedName>
    <definedName name="Z_0184385C_B93D_11D2_8444_00805F3629DE_.wvu.PrintTitles" localSheetId="4" hidden="1">PriceAlberta!$1:$5</definedName>
    <definedName name="Z_0184385C_B93D_11D2_8444_00805F3629DE_.wvu.PrintTitles" localSheetId="6" hidden="1">PriceBC!$1:$5</definedName>
    <definedName name="Z_0184385D_B93D_11D2_8444_00805F3629DE_.wvu.PrintArea" localSheetId="8" hidden="1">PriceEOL!$A$120:$M$238</definedName>
    <definedName name="Z_0184385D_B93D_11D2_8444_00805F3629DE_.wvu.PrintTitles" localSheetId="8" hidden="1">PriceEOL!$1:$5</definedName>
    <definedName name="Z_0184385E_B93D_11D2_8444_00805F3629DE_.wvu.PrintArea" localSheetId="9" hidden="1">EOLIndex!$A$120:$M$238</definedName>
    <definedName name="Z_0184385E_B93D_11D2_8444_00805F3629DE_.wvu.PrintTitles" localSheetId="9" hidden="1">EOLIndex!$1:$5</definedName>
    <definedName name="Z_0184385F_B93D_11D2_8444_00805F3629DE_.wvu.PrintArea" localSheetId="11" hidden="1">OptionsIndex!$A$120:$M$238</definedName>
    <definedName name="Z_0184385F_B93D_11D2_8444_00805F3629DE_.wvu.PrintTitles" localSheetId="11" hidden="1">OptionsIndex!$1:$5</definedName>
    <definedName name="Z_01843860_B93D_11D2_8444_00805F3629DE_.wvu.PrintArea" localSheetId="12" hidden="1">Straddle!$A$120:$M$238</definedName>
    <definedName name="Z_01843860_B93D_11D2_8444_00805F3629DE_.wvu.PrintTitles" localSheetId="12" hidden="1">Straddle!$1:$5</definedName>
    <definedName name="Z_01843861_B93D_11D2_8444_00805F3629DE_.wvu.PrintArea" localSheetId="18" hidden="1">'US $'!$A$120:$M$238</definedName>
    <definedName name="Z_01843861_B93D_11D2_8444_00805F3629DE_.wvu.PrintTitles" localSheetId="18" hidden="1">'US $'!$1:$5</definedName>
    <definedName name="Z_02448BA0_88FA_11D2_B05A_00104B2CC235_.wvu.PrintArea" localSheetId="5" hidden="1">AlbertaIndex!$A$6:$R$39</definedName>
    <definedName name="Z_02448BA0_88FA_11D2_B05A_00104B2CC235_.wvu.PrintArea" localSheetId="7" hidden="1">BCIndex!$A$6:$R$39</definedName>
    <definedName name="Z_02448BA0_88FA_11D2_B05A_00104B2CC235_.wvu.PrintTitles" localSheetId="5" hidden="1">AlbertaIndex!$1:$5</definedName>
    <definedName name="Z_02448BA0_88FA_11D2_B05A_00104B2CC235_.wvu.PrintTitles" localSheetId="7" hidden="1">BCIndex!$1:$5</definedName>
    <definedName name="Z_02448BA1_88FA_11D2_B05A_00104B2CC235_.wvu.PrintArea" localSheetId="10" hidden="1">Options!$A$6:$R$39</definedName>
    <definedName name="Z_02448BA1_88FA_11D2_B05A_00104B2CC235_.wvu.PrintArea" localSheetId="13" hidden="1">OptionsProp!$A$6:$R$39</definedName>
    <definedName name="Z_02448BA1_88FA_11D2_B05A_00104B2CC235_.wvu.PrintTitles" localSheetId="10" hidden="1">Options!$1:$5</definedName>
    <definedName name="Z_02448BA1_88FA_11D2_B05A_00104B2CC235_.wvu.PrintTitles" localSheetId="13" hidden="1">OptionsProp!$1:$5</definedName>
    <definedName name="Z_02448BA2_88FA_11D2_B05A_00104B2CC235_.wvu.PrintArea" localSheetId="20" hidden="1">'Price - East '!$A$6:$R$39</definedName>
    <definedName name="Z_02448BA2_88FA_11D2_B05A_00104B2CC235_.wvu.PrintTitles" localSheetId="20" hidden="1">'Price - East '!$1:$5</definedName>
    <definedName name="Z_02448BA3_88FA_11D2_B05A_00104B2CC235_.wvu.PrintArea" localSheetId="4" hidden="1">PriceAlberta!$A$6:$R$39</definedName>
    <definedName name="Z_02448BA3_88FA_11D2_B05A_00104B2CC235_.wvu.PrintArea" localSheetId="6" hidden="1">PriceBC!$A$6:$R$39</definedName>
    <definedName name="Z_02448BA3_88FA_11D2_B05A_00104B2CC235_.wvu.PrintTitles" localSheetId="4" hidden="1">PriceAlberta!$1:$5</definedName>
    <definedName name="Z_02448BA3_88FA_11D2_B05A_00104B2CC235_.wvu.PrintTitles" localSheetId="6" hidden="1">PriceBC!$1:$5</definedName>
    <definedName name="Z_02448BA4_88FA_11D2_B05A_00104B2CC235_.wvu.PrintArea" localSheetId="8" hidden="1">PriceEOL!$A$6:$R$39</definedName>
    <definedName name="Z_02448BA4_88FA_11D2_B05A_00104B2CC235_.wvu.PrintTitles" localSheetId="8" hidden="1">PriceEOL!$1:$5</definedName>
    <definedName name="Z_02448BA5_88FA_11D2_B05A_00104B2CC235_.wvu.PrintArea" localSheetId="9" hidden="1">EOLIndex!$A$6:$R$39</definedName>
    <definedName name="Z_02448BA5_88FA_11D2_B05A_00104B2CC235_.wvu.PrintTitles" localSheetId="9" hidden="1">EOLIndex!$1:$5</definedName>
    <definedName name="Z_02448BA6_88FA_11D2_B05A_00104B2CC235_.wvu.PrintArea" localSheetId="11" hidden="1">OptionsIndex!$A$6:$R$39</definedName>
    <definedName name="Z_02448BA6_88FA_11D2_B05A_00104B2CC235_.wvu.PrintTitles" localSheetId="11" hidden="1">OptionsIndex!$1:$5</definedName>
    <definedName name="Z_02448BA7_88FA_11D2_B05A_00104B2CC235_.wvu.PrintArea" localSheetId="12" hidden="1">Straddle!$A$6:$R$39</definedName>
    <definedName name="Z_02448BA7_88FA_11D2_B05A_00104B2CC235_.wvu.PrintTitles" localSheetId="12" hidden="1">Straddle!$1:$5</definedName>
    <definedName name="Z_02448BA8_88FA_11D2_B05A_00104B2CC235_.wvu.PrintArea" localSheetId="18" hidden="1">'US $'!$A$6:$R$39</definedName>
    <definedName name="Z_02448BA8_88FA_11D2_B05A_00104B2CC235_.wvu.PrintTitles" localSheetId="18" hidden="1">'US $'!$1:$5</definedName>
    <definedName name="Z_02448BA9_88FA_11D2_B05A_00104B2CC235_.wvu.PrintArea" localSheetId="5" hidden="1">AlbertaIndex!$A$40:$AG$118</definedName>
    <definedName name="Z_02448BA9_88FA_11D2_B05A_00104B2CC235_.wvu.PrintArea" localSheetId="7" hidden="1">BCIndex!$A$40:$AG$118</definedName>
    <definedName name="Z_02448BA9_88FA_11D2_B05A_00104B2CC235_.wvu.PrintTitles" localSheetId="5" hidden="1">AlbertaIndex!$1:$5</definedName>
    <definedName name="Z_02448BA9_88FA_11D2_B05A_00104B2CC235_.wvu.PrintTitles" localSheetId="7" hidden="1">BCIndex!$1:$5</definedName>
    <definedName name="Z_02448BAA_88FA_11D2_B05A_00104B2CC235_.wvu.PrintArea" localSheetId="10" hidden="1">Options!$A$40:$AG$118</definedName>
    <definedName name="Z_02448BAA_88FA_11D2_B05A_00104B2CC235_.wvu.PrintArea" localSheetId="13" hidden="1">OptionsProp!$A$40:$AG$118</definedName>
    <definedName name="Z_02448BAA_88FA_11D2_B05A_00104B2CC235_.wvu.PrintTitles" localSheetId="10" hidden="1">Options!$1:$5</definedName>
    <definedName name="Z_02448BAA_88FA_11D2_B05A_00104B2CC235_.wvu.PrintTitles" localSheetId="13" hidden="1">OptionsProp!$1:$5</definedName>
    <definedName name="Z_02448BAB_88FA_11D2_B05A_00104B2CC235_.wvu.PrintArea" localSheetId="20" hidden="1">'Price - East '!$A$40:$AG$118</definedName>
    <definedName name="Z_02448BAB_88FA_11D2_B05A_00104B2CC235_.wvu.PrintTitles" localSheetId="20" hidden="1">'Price - East '!$1:$5</definedName>
    <definedName name="Z_02448BAC_88FA_11D2_B05A_00104B2CC235_.wvu.PrintArea" localSheetId="4" hidden="1">PriceAlberta!$A$40:$AG$118</definedName>
    <definedName name="Z_02448BAC_88FA_11D2_B05A_00104B2CC235_.wvu.PrintArea" localSheetId="6" hidden="1">PriceBC!$A$40:$AG$118</definedName>
    <definedName name="Z_02448BAC_88FA_11D2_B05A_00104B2CC235_.wvu.PrintTitles" localSheetId="4" hidden="1">PriceAlberta!$1:$5</definedName>
    <definedName name="Z_02448BAC_88FA_11D2_B05A_00104B2CC235_.wvu.PrintTitles" localSheetId="6" hidden="1">PriceBC!$1:$5</definedName>
    <definedName name="Z_02448BAD_88FA_11D2_B05A_00104B2CC235_.wvu.PrintArea" localSheetId="8" hidden="1">PriceEOL!$A$40:$AG$118</definedName>
    <definedName name="Z_02448BAD_88FA_11D2_B05A_00104B2CC235_.wvu.PrintTitles" localSheetId="8" hidden="1">PriceEOL!$1:$5</definedName>
    <definedName name="Z_02448BAE_88FA_11D2_B05A_00104B2CC235_.wvu.PrintArea" localSheetId="9" hidden="1">EOLIndex!$A$40:$AG$118</definedName>
    <definedName name="Z_02448BAE_88FA_11D2_B05A_00104B2CC235_.wvu.PrintTitles" localSheetId="9" hidden="1">EOLIndex!$1:$5</definedName>
    <definedName name="Z_02448BAF_88FA_11D2_B05A_00104B2CC235_.wvu.PrintArea" localSheetId="11" hidden="1">OptionsIndex!$A$40:$AG$118</definedName>
    <definedName name="Z_02448BAF_88FA_11D2_B05A_00104B2CC235_.wvu.PrintTitles" localSheetId="11" hidden="1">OptionsIndex!$1:$5</definedName>
    <definedName name="Z_02448BB0_88FA_11D2_B05A_00104B2CC235_.wvu.PrintArea" localSheetId="12" hidden="1">Straddle!$A$40:$AG$118</definedName>
    <definedName name="Z_02448BB0_88FA_11D2_B05A_00104B2CC235_.wvu.PrintTitles" localSheetId="12" hidden="1">Straddle!$1:$5</definedName>
    <definedName name="Z_02448BB1_88FA_11D2_B05A_00104B2CC235_.wvu.PrintArea" localSheetId="18" hidden="1">'US $'!$A$40:$AG$118</definedName>
    <definedName name="Z_02448BB1_88FA_11D2_B05A_00104B2CC235_.wvu.PrintTitles" localSheetId="18" hidden="1">'US $'!$1:$5</definedName>
    <definedName name="Z_02448BB2_88FA_11D2_B05A_00104B2CC235_.wvu.PrintArea" localSheetId="5" hidden="1">AlbertaIndex!$A$120:$M$238</definedName>
    <definedName name="Z_02448BB2_88FA_11D2_B05A_00104B2CC235_.wvu.PrintArea" localSheetId="7" hidden="1">BCIndex!$A$120:$M$238</definedName>
    <definedName name="Z_02448BB2_88FA_11D2_B05A_00104B2CC235_.wvu.PrintTitles" localSheetId="5" hidden="1">AlbertaIndex!$1:$5</definedName>
    <definedName name="Z_02448BB2_88FA_11D2_B05A_00104B2CC235_.wvu.PrintTitles" localSheetId="7" hidden="1">BCIndex!$1:$5</definedName>
    <definedName name="Z_02448BB3_88FA_11D2_B05A_00104B2CC235_.wvu.PrintArea" localSheetId="10" hidden="1">Options!$A$120:$M$238</definedName>
    <definedName name="Z_02448BB3_88FA_11D2_B05A_00104B2CC235_.wvu.PrintArea" localSheetId="13" hidden="1">OptionsProp!$A$120:$M$238</definedName>
    <definedName name="Z_02448BB3_88FA_11D2_B05A_00104B2CC235_.wvu.PrintTitles" localSheetId="10" hidden="1">Options!$1:$5</definedName>
    <definedName name="Z_02448BB3_88FA_11D2_B05A_00104B2CC235_.wvu.PrintTitles" localSheetId="13" hidden="1">OptionsProp!$1:$5</definedName>
    <definedName name="Z_02448BB4_88FA_11D2_B05A_00104B2CC235_.wvu.PrintArea" localSheetId="20" hidden="1">'Price - East '!$A$120:$M$238</definedName>
    <definedName name="Z_02448BB4_88FA_11D2_B05A_00104B2CC235_.wvu.PrintTitles" localSheetId="20" hidden="1">'Price - East '!$1:$5</definedName>
    <definedName name="Z_02448BB5_88FA_11D2_B05A_00104B2CC235_.wvu.PrintArea" localSheetId="4" hidden="1">PriceAlberta!$A$120:$M$237</definedName>
    <definedName name="Z_02448BB5_88FA_11D2_B05A_00104B2CC235_.wvu.PrintArea" localSheetId="6" hidden="1">PriceBC!$A$120:$M$237</definedName>
    <definedName name="Z_02448BB5_88FA_11D2_B05A_00104B2CC235_.wvu.PrintTitles" localSheetId="4" hidden="1">PriceAlberta!$1:$5</definedName>
    <definedName name="Z_02448BB5_88FA_11D2_B05A_00104B2CC235_.wvu.PrintTitles" localSheetId="6" hidden="1">PriceBC!$1:$5</definedName>
    <definedName name="Z_02448BB6_88FA_11D2_B05A_00104B2CC235_.wvu.PrintArea" localSheetId="8" hidden="1">PriceEOL!$A$120:$M$238</definedName>
    <definedName name="Z_02448BB6_88FA_11D2_B05A_00104B2CC235_.wvu.PrintTitles" localSheetId="8" hidden="1">PriceEOL!$1:$5</definedName>
    <definedName name="Z_02448BB7_88FA_11D2_B05A_00104B2CC235_.wvu.PrintArea" localSheetId="9" hidden="1">EOLIndex!$A$120:$M$238</definedName>
    <definedName name="Z_02448BB7_88FA_11D2_B05A_00104B2CC235_.wvu.PrintTitles" localSheetId="9" hidden="1">EOLIndex!$1:$5</definedName>
    <definedName name="Z_02448BB8_88FA_11D2_B05A_00104B2CC235_.wvu.PrintArea" localSheetId="11" hidden="1">OptionsIndex!$A$120:$M$238</definedName>
    <definedName name="Z_02448BB8_88FA_11D2_B05A_00104B2CC235_.wvu.PrintTitles" localSheetId="11" hidden="1">OptionsIndex!$1:$5</definedName>
    <definedName name="Z_02448BB9_88FA_11D2_B05A_00104B2CC235_.wvu.PrintArea" localSheetId="12" hidden="1">Straddle!$A$120:$M$238</definedName>
    <definedName name="Z_02448BB9_88FA_11D2_B05A_00104B2CC235_.wvu.PrintTitles" localSheetId="12" hidden="1">Straddle!$1:$5</definedName>
    <definedName name="Z_02448BBA_88FA_11D2_B05A_00104B2CC235_.wvu.PrintArea" localSheetId="18" hidden="1">'US $'!$A$120:$M$238</definedName>
    <definedName name="Z_02448BBA_88FA_11D2_B05A_00104B2CC235_.wvu.PrintTitles" localSheetId="18" hidden="1">'US $'!$1:$5</definedName>
    <definedName name="Z_0AC5A1F0_9EA7_11D2_A842_00805F2505DF_.wvu.PrintArea" localSheetId="5" hidden="1">AlbertaIndex!$A$6:$R$39</definedName>
    <definedName name="Z_0AC5A1F0_9EA7_11D2_A842_00805F2505DF_.wvu.PrintArea" localSheetId="7" hidden="1">BCIndex!$A$6:$R$39</definedName>
    <definedName name="Z_0AC5A1F0_9EA7_11D2_A842_00805F2505DF_.wvu.PrintTitles" localSheetId="5" hidden="1">AlbertaIndex!$1:$5</definedName>
    <definedName name="Z_0AC5A1F0_9EA7_11D2_A842_00805F2505DF_.wvu.PrintTitles" localSheetId="7" hidden="1">BCIndex!$1:$5</definedName>
    <definedName name="Z_0AC5A1F1_9EA7_11D2_A842_00805F2505DF_.wvu.PrintArea" localSheetId="10" hidden="1">Options!$A$6:$R$39</definedName>
    <definedName name="Z_0AC5A1F1_9EA7_11D2_A842_00805F2505DF_.wvu.PrintArea" localSheetId="13" hidden="1">OptionsProp!$A$6:$R$39</definedName>
    <definedName name="Z_0AC5A1F1_9EA7_11D2_A842_00805F2505DF_.wvu.PrintTitles" localSheetId="10" hidden="1">Options!$1:$5</definedName>
    <definedName name="Z_0AC5A1F1_9EA7_11D2_A842_00805F2505DF_.wvu.PrintTitles" localSheetId="13" hidden="1">OptionsProp!$1:$5</definedName>
    <definedName name="Z_0AC5A1F2_9EA7_11D2_A842_00805F2505DF_.wvu.PrintArea" localSheetId="20" hidden="1">'Price - East '!$A$6:$R$39</definedName>
    <definedName name="Z_0AC5A1F2_9EA7_11D2_A842_00805F2505DF_.wvu.PrintTitles" localSheetId="20" hidden="1">'Price - East '!$1:$5</definedName>
    <definedName name="Z_0AC5A1F3_9EA7_11D2_A842_00805F2505DF_.wvu.PrintArea" localSheetId="4" hidden="1">PriceAlberta!$A$6:$R$39</definedName>
    <definedName name="Z_0AC5A1F3_9EA7_11D2_A842_00805F2505DF_.wvu.PrintArea" localSheetId="6" hidden="1">PriceBC!$A$6:$R$39</definedName>
    <definedName name="Z_0AC5A1F3_9EA7_11D2_A842_00805F2505DF_.wvu.PrintTitles" localSheetId="4" hidden="1">PriceAlberta!$1:$5</definedName>
    <definedName name="Z_0AC5A1F3_9EA7_11D2_A842_00805F2505DF_.wvu.PrintTitles" localSheetId="6" hidden="1">PriceBC!$1:$5</definedName>
    <definedName name="Z_0AC5A1F4_9EA7_11D2_A842_00805F2505DF_.wvu.PrintArea" localSheetId="8" hidden="1">PriceEOL!$A$6:$R$39</definedName>
    <definedName name="Z_0AC5A1F4_9EA7_11D2_A842_00805F2505DF_.wvu.PrintTitles" localSheetId="8" hidden="1">PriceEOL!$1:$5</definedName>
    <definedName name="Z_0AC5A1F5_9EA7_11D2_A842_00805F2505DF_.wvu.PrintArea" localSheetId="9" hidden="1">EOLIndex!$A$6:$R$39</definedName>
    <definedName name="Z_0AC5A1F5_9EA7_11D2_A842_00805F2505DF_.wvu.PrintTitles" localSheetId="9" hidden="1">EOLIndex!$1:$5</definedName>
    <definedName name="Z_0AC5A1F6_9EA7_11D2_A842_00805F2505DF_.wvu.PrintArea" localSheetId="11" hidden="1">OptionsIndex!$A$6:$R$39</definedName>
    <definedName name="Z_0AC5A1F6_9EA7_11D2_A842_00805F2505DF_.wvu.PrintTitles" localSheetId="11" hidden="1">OptionsIndex!$1:$5</definedName>
    <definedName name="Z_0AC5A1F7_9EA7_11D2_A842_00805F2505DF_.wvu.PrintArea" localSheetId="12" hidden="1">Straddle!$A$6:$R$39</definedName>
    <definedName name="Z_0AC5A1F7_9EA7_11D2_A842_00805F2505DF_.wvu.PrintTitles" localSheetId="12" hidden="1">Straddle!$1:$5</definedName>
    <definedName name="Z_0AC5A1F8_9EA7_11D2_A842_00805F2505DF_.wvu.PrintArea" localSheetId="18" hidden="1">'US $'!$A$6:$R$39</definedName>
    <definedName name="Z_0AC5A1F8_9EA7_11D2_A842_00805F2505DF_.wvu.PrintTitles" localSheetId="18" hidden="1">'US $'!$1:$5</definedName>
    <definedName name="Z_0AC5A1F9_9EA7_11D2_A842_00805F2505DF_.wvu.PrintArea" localSheetId="5" hidden="1">AlbertaIndex!$A$40:$AG$118</definedName>
    <definedName name="Z_0AC5A1F9_9EA7_11D2_A842_00805F2505DF_.wvu.PrintArea" localSheetId="7" hidden="1">BCIndex!$A$40:$AG$118</definedName>
    <definedName name="Z_0AC5A1F9_9EA7_11D2_A842_00805F2505DF_.wvu.PrintTitles" localSheetId="5" hidden="1">AlbertaIndex!$1:$5</definedName>
    <definedName name="Z_0AC5A1F9_9EA7_11D2_A842_00805F2505DF_.wvu.PrintTitles" localSheetId="7" hidden="1">BCIndex!$1:$5</definedName>
    <definedName name="Z_0AC5A1FA_9EA7_11D2_A842_00805F2505DF_.wvu.PrintArea" localSheetId="10" hidden="1">Options!$A$40:$AG$118</definedName>
    <definedName name="Z_0AC5A1FA_9EA7_11D2_A842_00805F2505DF_.wvu.PrintArea" localSheetId="13" hidden="1">OptionsProp!$A$40:$AG$118</definedName>
    <definedName name="Z_0AC5A1FA_9EA7_11D2_A842_00805F2505DF_.wvu.PrintTitles" localSheetId="10" hidden="1">Options!$1:$5</definedName>
    <definedName name="Z_0AC5A1FA_9EA7_11D2_A842_00805F2505DF_.wvu.PrintTitles" localSheetId="13" hidden="1">OptionsProp!$1:$5</definedName>
    <definedName name="Z_0AC5A1FB_9EA7_11D2_A842_00805F2505DF_.wvu.PrintArea" localSheetId="20" hidden="1">'Price - East '!$A$40:$AG$118</definedName>
    <definedName name="Z_0AC5A1FB_9EA7_11D2_A842_00805F2505DF_.wvu.PrintTitles" localSheetId="20" hidden="1">'Price - East '!$1:$5</definedName>
    <definedName name="Z_0AC5A1FC_9EA7_11D2_A842_00805F2505DF_.wvu.PrintArea" localSheetId="4" hidden="1">PriceAlberta!$A$40:$AG$118</definedName>
    <definedName name="Z_0AC5A1FC_9EA7_11D2_A842_00805F2505DF_.wvu.PrintArea" localSheetId="6" hidden="1">PriceBC!$A$40:$AG$118</definedName>
    <definedName name="Z_0AC5A1FC_9EA7_11D2_A842_00805F2505DF_.wvu.PrintTitles" localSheetId="4" hidden="1">PriceAlberta!$1:$5</definedName>
    <definedName name="Z_0AC5A1FC_9EA7_11D2_A842_00805F2505DF_.wvu.PrintTitles" localSheetId="6" hidden="1">PriceBC!$1:$5</definedName>
    <definedName name="Z_0AC5A1FD_9EA7_11D2_A842_00805F2505DF_.wvu.PrintArea" localSheetId="8" hidden="1">PriceEOL!$A$40:$AG$118</definedName>
    <definedName name="Z_0AC5A1FD_9EA7_11D2_A842_00805F2505DF_.wvu.PrintTitles" localSheetId="8" hidden="1">PriceEOL!$1:$5</definedName>
    <definedName name="Z_0AC5A1FE_9EA7_11D2_A842_00805F2505DF_.wvu.PrintArea" localSheetId="9" hidden="1">EOLIndex!$A$40:$AG$118</definedName>
    <definedName name="Z_0AC5A1FE_9EA7_11D2_A842_00805F2505DF_.wvu.PrintTitles" localSheetId="9" hidden="1">EOLIndex!$1:$5</definedName>
    <definedName name="Z_0AC5A1FF_9EA7_11D2_A842_00805F2505DF_.wvu.PrintArea" localSheetId="11" hidden="1">OptionsIndex!$A$40:$AG$118</definedName>
    <definedName name="Z_0AC5A1FF_9EA7_11D2_A842_00805F2505DF_.wvu.PrintTitles" localSheetId="11" hidden="1">OptionsIndex!$1:$5</definedName>
    <definedName name="Z_0AC5A200_9EA7_11D2_A842_00805F2505DF_.wvu.PrintArea" localSheetId="12" hidden="1">Straddle!$A$40:$AG$118</definedName>
    <definedName name="Z_0AC5A200_9EA7_11D2_A842_00805F2505DF_.wvu.PrintTitles" localSheetId="12" hidden="1">Straddle!$1:$5</definedName>
    <definedName name="Z_0AC5A201_9EA7_11D2_A842_00805F2505DF_.wvu.PrintArea" localSheetId="18" hidden="1">'US $'!$A$40:$AG$118</definedName>
    <definedName name="Z_0AC5A201_9EA7_11D2_A842_00805F2505DF_.wvu.PrintTitles" localSheetId="18" hidden="1">'US $'!$1:$5</definedName>
    <definedName name="Z_0AC5A202_9EA7_11D2_A842_00805F2505DF_.wvu.PrintArea" localSheetId="5" hidden="1">AlbertaIndex!$A$120:$M$238</definedName>
    <definedName name="Z_0AC5A202_9EA7_11D2_A842_00805F2505DF_.wvu.PrintArea" localSheetId="7" hidden="1">BCIndex!$A$120:$M$238</definedName>
    <definedName name="Z_0AC5A202_9EA7_11D2_A842_00805F2505DF_.wvu.PrintTitles" localSheetId="5" hidden="1">AlbertaIndex!$1:$5</definedName>
    <definedName name="Z_0AC5A202_9EA7_11D2_A842_00805F2505DF_.wvu.PrintTitles" localSheetId="7" hidden="1">BCIndex!$1:$5</definedName>
    <definedName name="Z_0AC5A203_9EA7_11D2_A842_00805F2505DF_.wvu.PrintArea" localSheetId="10" hidden="1">Options!$A$120:$M$238</definedName>
    <definedName name="Z_0AC5A203_9EA7_11D2_A842_00805F2505DF_.wvu.PrintArea" localSheetId="13" hidden="1">OptionsProp!$A$120:$M$238</definedName>
    <definedName name="Z_0AC5A203_9EA7_11D2_A842_00805F2505DF_.wvu.PrintTitles" localSheetId="10" hidden="1">Options!$1:$5</definedName>
    <definedName name="Z_0AC5A203_9EA7_11D2_A842_00805F2505DF_.wvu.PrintTitles" localSheetId="13" hidden="1">OptionsProp!$1:$5</definedName>
    <definedName name="Z_0AC5A204_9EA7_11D2_A842_00805F2505DF_.wvu.PrintArea" localSheetId="20" hidden="1">'Price - East '!$A$120:$M$238</definedName>
    <definedName name="Z_0AC5A204_9EA7_11D2_A842_00805F2505DF_.wvu.PrintTitles" localSheetId="20" hidden="1">'Price - East '!$1:$5</definedName>
    <definedName name="Z_0AC5A205_9EA7_11D2_A842_00805F2505DF_.wvu.PrintArea" localSheetId="4" hidden="1">PriceAlberta!$A$120:$M$237</definedName>
    <definedName name="Z_0AC5A205_9EA7_11D2_A842_00805F2505DF_.wvu.PrintArea" localSheetId="6" hidden="1">PriceBC!$A$120:$M$237</definedName>
    <definedName name="Z_0AC5A205_9EA7_11D2_A842_00805F2505DF_.wvu.PrintTitles" localSheetId="4" hidden="1">PriceAlberta!$1:$5</definedName>
    <definedName name="Z_0AC5A205_9EA7_11D2_A842_00805F2505DF_.wvu.PrintTitles" localSheetId="6" hidden="1">PriceBC!$1:$5</definedName>
    <definedName name="Z_0AC5A206_9EA7_11D2_A842_00805F2505DF_.wvu.PrintArea" localSheetId="8" hidden="1">PriceEOL!$A$120:$M$238</definedName>
    <definedName name="Z_0AC5A206_9EA7_11D2_A842_00805F2505DF_.wvu.PrintTitles" localSheetId="8" hidden="1">PriceEOL!$1:$5</definedName>
    <definedName name="Z_0AC5A207_9EA7_11D2_A842_00805F2505DF_.wvu.PrintArea" localSheetId="9" hidden="1">EOLIndex!$A$120:$M$238</definedName>
    <definedName name="Z_0AC5A207_9EA7_11D2_A842_00805F2505DF_.wvu.PrintTitles" localSheetId="9" hidden="1">EOLIndex!$1:$5</definedName>
    <definedName name="Z_0AC5A208_9EA7_11D2_A842_00805F2505DF_.wvu.PrintArea" localSheetId="11" hidden="1">OptionsIndex!$A$120:$M$238</definedName>
    <definedName name="Z_0AC5A208_9EA7_11D2_A842_00805F2505DF_.wvu.PrintTitles" localSheetId="11" hidden="1">OptionsIndex!$1:$5</definedName>
    <definedName name="Z_0AC5A209_9EA7_11D2_A842_00805F2505DF_.wvu.PrintArea" localSheetId="12" hidden="1">Straddle!$A$120:$M$238</definedName>
    <definedName name="Z_0AC5A209_9EA7_11D2_A842_00805F2505DF_.wvu.PrintTitles" localSheetId="12" hidden="1">Straddle!$1:$5</definedName>
    <definedName name="Z_0AC5A20A_9EA7_11D2_A842_00805F2505DF_.wvu.PrintArea" localSheetId="18" hidden="1">'US $'!$A$120:$M$238</definedName>
    <definedName name="Z_0AC5A20A_9EA7_11D2_A842_00805F2505DF_.wvu.PrintTitles" localSheetId="18" hidden="1">'US $'!$1:$5</definedName>
    <definedName name="Z_37FD7BD7_ABC9_11D2_843C_00805F3629DE_.wvu.PrintArea" localSheetId="5" hidden="1">AlbertaIndex!$A$6:$R$39</definedName>
    <definedName name="Z_37FD7BD7_ABC9_11D2_843C_00805F3629DE_.wvu.PrintArea" localSheetId="7" hidden="1">BCIndex!$A$6:$R$39</definedName>
    <definedName name="Z_37FD7BD7_ABC9_11D2_843C_00805F3629DE_.wvu.PrintTitles" localSheetId="5" hidden="1">AlbertaIndex!$1:$5</definedName>
    <definedName name="Z_37FD7BD7_ABC9_11D2_843C_00805F3629DE_.wvu.PrintTitles" localSheetId="7" hidden="1">BCIndex!$1:$5</definedName>
    <definedName name="Z_37FD7BD8_ABC9_11D2_843C_00805F3629DE_.wvu.PrintArea" localSheetId="10" hidden="1">Options!$A$6:$R$39</definedName>
    <definedName name="Z_37FD7BD8_ABC9_11D2_843C_00805F3629DE_.wvu.PrintArea" localSheetId="13" hidden="1">OptionsProp!$A$6:$R$39</definedName>
    <definedName name="Z_37FD7BD8_ABC9_11D2_843C_00805F3629DE_.wvu.PrintTitles" localSheetId="10" hidden="1">Options!$1:$5</definedName>
    <definedName name="Z_37FD7BD8_ABC9_11D2_843C_00805F3629DE_.wvu.PrintTitles" localSheetId="13" hidden="1">OptionsProp!$1:$5</definedName>
    <definedName name="Z_37FD7BD9_ABC9_11D2_843C_00805F3629DE_.wvu.PrintArea" localSheetId="20" hidden="1">'Price - East '!$A$6:$R$39</definedName>
    <definedName name="Z_37FD7BD9_ABC9_11D2_843C_00805F3629DE_.wvu.PrintTitles" localSheetId="20" hidden="1">'Price - East '!$1:$5</definedName>
    <definedName name="Z_37FD7BDA_ABC9_11D2_843C_00805F3629DE_.wvu.PrintArea" localSheetId="4" hidden="1">PriceAlberta!$A$6:$R$39</definedName>
    <definedName name="Z_37FD7BDA_ABC9_11D2_843C_00805F3629DE_.wvu.PrintArea" localSheetId="6" hidden="1">PriceBC!$A$6:$R$39</definedName>
    <definedName name="Z_37FD7BDA_ABC9_11D2_843C_00805F3629DE_.wvu.PrintTitles" localSheetId="4" hidden="1">PriceAlberta!$1:$5</definedName>
    <definedName name="Z_37FD7BDA_ABC9_11D2_843C_00805F3629DE_.wvu.PrintTitles" localSheetId="6" hidden="1">PriceBC!$1:$5</definedName>
    <definedName name="Z_37FD7BDB_ABC9_11D2_843C_00805F3629DE_.wvu.PrintArea" localSheetId="8" hidden="1">PriceEOL!$A$6:$R$39</definedName>
    <definedName name="Z_37FD7BDB_ABC9_11D2_843C_00805F3629DE_.wvu.PrintTitles" localSheetId="8" hidden="1">PriceEOL!$1:$5</definedName>
    <definedName name="Z_37FD7BDC_ABC9_11D2_843C_00805F3629DE_.wvu.PrintArea" localSheetId="9" hidden="1">EOLIndex!$A$6:$R$39</definedName>
    <definedName name="Z_37FD7BDC_ABC9_11D2_843C_00805F3629DE_.wvu.PrintTitles" localSheetId="9" hidden="1">EOLIndex!$1:$5</definedName>
    <definedName name="Z_37FD7BDD_ABC9_11D2_843C_00805F3629DE_.wvu.PrintArea" localSheetId="11" hidden="1">OptionsIndex!$A$6:$R$39</definedName>
    <definedName name="Z_37FD7BDD_ABC9_11D2_843C_00805F3629DE_.wvu.PrintTitles" localSheetId="11" hidden="1">OptionsIndex!$1:$5</definedName>
    <definedName name="Z_37FD7BDE_ABC9_11D2_843C_00805F3629DE_.wvu.PrintArea" localSheetId="12" hidden="1">Straddle!$A$6:$R$39</definedName>
    <definedName name="Z_37FD7BDE_ABC9_11D2_843C_00805F3629DE_.wvu.PrintTitles" localSheetId="12" hidden="1">Straddle!$1:$5</definedName>
    <definedName name="Z_37FD7BDF_ABC9_11D2_843C_00805F3629DE_.wvu.PrintArea" localSheetId="18" hidden="1">'US $'!$A$6:$R$39</definedName>
    <definedName name="Z_37FD7BDF_ABC9_11D2_843C_00805F3629DE_.wvu.PrintTitles" localSheetId="18" hidden="1">'US $'!$1:$5</definedName>
    <definedName name="Z_37FD7BE0_ABC9_11D2_843C_00805F3629DE_.wvu.PrintArea" localSheetId="5" hidden="1">AlbertaIndex!$A$40:$AG$118</definedName>
    <definedName name="Z_37FD7BE0_ABC9_11D2_843C_00805F3629DE_.wvu.PrintArea" localSheetId="7" hidden="1">BCIndex!$A$40:$AG$118</definedName>
    <definedName name="Z_37FD7BE0_ABC9_11D2_843C_00805F3629DE_.wvu.PrintTitles" localSheetId="5" hidden="1">AlbertaIndex!$1:$5</definedName>
    <definedName name="Z_37FD7BE0_ABC9_11D2_843C_00805F3629DE_.wvu.PrintTitles" localSheetId="7" hidden="1">BCIndex!$1:$5</definedName>
    <definedName name="Z_37FD7BE1_ABC9_11D2_843C_00805F3629DE_.wvu.PrintArea" localSheetId="10" hidden="1">Options!$A$40:$AG$118</definedName>
    <definedName name="Z_37FD7BE1_ABC9_11D2_843C_00805F3629DE_.wvu.PrintArea" localSheetId="13" hidden="1">OptionsProp!$A$40:$AG$118</definedName>
    <definedName name="Z_37FD7BE1_ABC9_11D2_843C_00805F3629DE_.wvu.PrintTitles" localSheetId="10" hidden="1">Options!$1:$5</definedName>
    <definedName name="Z_37FD7BE1_ABC9_11D2_843C_00805F3629DE_.wvu.PrintTitles" localSheetId="13" hidden="1">OptionsProp!$1:$5</definedName>
    <definedName name="Z_37FD7BE2_ABC9_11D2_843C_00805F3629DE_.wvu.PrintArea" localSheetId="20" hidden="1">'Price - East '!$A$40:$AG$118</definedName>
    <definedName name="Z_37FD7BE2_ABC9_11D2_843C_00805F3629DE_.wvu.PrintTitles" localSheetId="20" hidden="1">'Price - East '!$1:$5</definedName>
    <definedName name="Z_37FD7BE3_ABC9_11D2_843C_00805F3629DE_.wvu.PrintArea" localSheetId="4" hidden="1">PriceAlberta!$A$40:$AG$118</definedName>
    <definedName name="Z_37FD7BE3_ABC9_11D2_843C_00805F3629DE_.wvu.PrintArea" localSheetId="6" hidden="1">PriceBC!$A$40:$AG$118</definedName>
    <definedName name="Z_37FD7BE3_ABC9_11D2_843C_00805F3629DE_.wvu.PrintTitles" localSheetId="4" hidden="1">PriceAlberta!$1:$5</definedName>
    <definedName name="Z_37FD7BE3_ABC9_11D2_843C_00805F3629DE_.wvu.PrintTitles" localSheetId="6" hidden="1">PriceBC!$1:$5</definedName>
    <definedName name="Z_37FD7BE4_ABC9_11D2_843C_00805F3629DE_.wvu.PrintArea" localSheetId="8" hidden="1">PriceEOL!$A$40:$AG$118</definedName>
    <definedName name="Z_37FD7BE4_ABC9_11D2_843C_00805F3629DE_.wvu.PrintTitles" localSheetId="8" hidden="1">PriceEOL!$1:$5</definedName>
    <definedName name="Z_37FD7BE5_ABC9_11D2_843C_00805F3629DE_.wvu.PrintArea" localSheetId="9" hidden="1">EOLIndex!$A$40:$AG$118</definedName>
    <definedName name="Z_37FD7BE5_ABC9_11D2_843C_00805F3629DE_.wvu.PrintTitles" localSheetId="9" hidden="1">EOLIndex!$1:$5</definedName>
    <definedName name="Z_37FD7BE6_ABC9_11D2_843C_00805F3629DE_.wvu.PrintArea" localSheetId="11" hidden="1">OptionsIndex!$A$40:$AG$118</definedName>
    <definedName name="Z_37FD7BE6_ABC9_11D2_843C_00805F3629DE_.wvu.PrintTitles" localSheetId="11" hidden="1">OptionsIndex!$1:$5</definedName>
    <definedName name="Z_37FD7BE7_ABC9_11D2_843C_00805F3629DE_.wvu.PrintArea" localSheetId="12" hidden="1">Straddle!$A$40:$AG$118</definedName>
    <definedName name="Z_37FD7BE7_ABC9_11D2_843C_00805F3629DE_.wvu.PrintTitles" localSheetId="12" hidden="1">Straddle!$1:$5</definedName>
    <definedName name="Z_37FD7BE8_ABC9_11D2_843C_00805F3629DE_.wvu.PrintArea" localSheetId="18" hidden="1">'US $'!$A$40:$AG$118</definedName>
    <definedName name="Z_37FD7BE8_ABC9_11D2_843C_00805F3629DE_.wvu.PrintTitles" localSheetId="18" hidden="1">'US $'!$1:$5</definedName>
    <definedName name="Z_37FD7BE9_ABC9_11D2_843C_00805F3629DE_.wvu.PrintArea" localSheetId="5" hidden="1">AlbertaIndex!$A$120:$M$238</definedName>
    <definedName name="Z_37FD7BE9_ABC9_11D2_843C_00805F3629DE_.wvu.PrintArea" localSheetId="7" hidden="1">BCIndex!$A$120:$M$238</definedName>
    <definedName name="Z_37FD7BE9_ABC9_11D2_843C_00805F3629DE_.wvu.PrintTitles" localSheetId="5" hidden="1">AlbertaIndex!$1:$5</definedName>
    <definedName name="Z_37FD7BE9_ABC9_11D2_843C_00805F3629DE_.wvu.PrintTitles" localSheetId="7" hidden="1">BCIndex!$1:$5</definedName>
    <definedName name="Z_37FD7BEA_ABC9_11D2_843C_00805F3629DE_.wvu.PrintArea" localSheetId="10" hidden="1">Options!$A$120:$M$238</definedName>
    <definedName name="Z_37FD7BEA_ABC9_11D2_843C_00805F3629DE_.wvu.PrintArea" localSheetId="13" hidden="1">OptionsProp!$A$120:$M$238</definedName>
    <definedName name="Z_37FD7BEA_ABC9_11D2_843C_00805F3629DE_.wvu.PrintTitles" localSheetId="10" hidden="1">Options!$1:$5</definedName>
    <definedName name="Z_37FD7BEA_ABC9_11D2_843C_00805F3629DE_.wvu.PrintTitles" localSheetId="13" hidden="1">OptionsProp!$1:$5</definedName>
    <definedName name="Z_37FD7BEB_ABC9_11D2_843C_00805F3629DE_.wvu.PrintArea" localSheetId="20" hidden="1">'Price - East '!$A$120:$M$238</definedName>
    <definedName name="Z_37FD7BEB_ABC9_11D2_843C_00805F3629DE_.wvu.PrintTitles" localSheetId="20" hidden="1">'Price - East '!$1:$5</definedName>
    <definedName name="Z_37FD7BEC_ABC9_11D2_843C_00805F3629DE_.wvu.PrintArea" localSheetId="4" hidden="1">PriceAlberta!$A$120:$M$237</definedName>
    <definedName name="Z_37FD7BEC_ABC9_11D2_843C_00805F3629DE_.wvu.PrintArea" localSheetId="6" hidden="1">PriceBC!$A$120:$M$237</definedName>
    <definedName name="Z_37FD7BEC_ABC9_11D2_843C_00805F3629DE_.wvu.PrintTitles" localSheetId="4" hidden="1">PriceAlberta!$1:$5</definedName>
    <definedName name="Z_37FD7BEC_ABC9_11D2_843C_00805F3629DE_.wvu.PrintTitles" localSheetId="6" hidden="1">PriceBC!$1:$5</definedName>
    <definedName name="Z_37FD7BED_ABC9_11D2_843C_00805F3629DE_.wvu.PrintArea" localSheetId="8" hidden="1">PriceEOL!$A$120:$M$238</definedName>
    <definedName name="Z_37FD7BED_ABC9_11D2_843C_00805F3629DE_.wvu.PrintTitles" localSheetId="8" hidden="1">PriceEOL!$1:$5</definedName>
    <definedName name="Z_37FD7BEE_ABC9_11D2_843C_00805F3629DE_.wvu.PrintArea" localSheetId="9" hidden="1">EOLIndex!$A$120:$M$238</definedName>
    <definedName name="Z_37FD7BEE_ABC9_11D2_843C_00805F3629DE_.wvu.PrintTitles" localSheetId="9" hidden="1">EOLIndex!$1:$5</definedName>
    <definedName name="Z_37FD7BEF_ABC9_11D2_843C_00805F3629DE_.wvu.PrintArea" localSheetId="11" hidden="1">OptionsIndex!$A$120:$M$238</definedName>
    <definedName name="Z_37FD7BEF_ABC9_11D2_843C_00805F3629DE_.wvu.PrintTitles" localSheetId="11" hidden="1">OptionsIndex!$1:$5</definedName>
    <definedName name="Z_37FD7BF0_ABC9_11D2_843C_00805F3629DE_.wvu.PrintArea" localSheetId="12" hidden="1">Straddle!$A$120:$M$238</definedName>
    <definedName name="Z_37FD7BF0_ABC9_11D2_843C_00805F3629DE_.wvu.PrintTitles" localSheetId="12" hidden="1">Straddle!$1:$5</definedName>
    <definedName name="Z_37FD7BF1_ABC9_11D2_843C_00805F3629DE_.wvu.PrintArea" localSheetId="18" hidden="1">'US $'!$A$120:$M$238</definedName>
    <definedName name="Z_37FD7BF1_ABC9_11D2_843C_00805F3629DE_.wvu.PrintTitles" localSheetId="18" hidden="1">'US $'!$1:$5</definedName>
    <definedName name="Z_383AC424_A3FF_11D2_A845_00805F2505DF_.wvu.PrintArea" localSheetId="5" hidden="1">AlbertaIndex!$A$6:$R$39</definedName>
    <definedName name="Z_383AC424_A3FF_11D2_A845_00805F2505DF_.wvu.PrintArea" localSheetId="7" hidden="1">BCIndex!$A$6:$R$39</definedName>
    <definedName name="Z_383AC424_A3FF_11D2_A845_00805F2505DF_.wvu.PrintTitles" localSheetId="5" hidden="1">AlbertaIndex!$1:$5</definedName>
    <definedName name="Z_383AC424_A3FF_11D2_A845_00805F2505DF_.wvu.PrintTitles" localSheetId="7" hidden="1">BCIndex!$1:$5</definedName>
    <definedName name="Z_383AC425_A3FF_11D2_A845_00805F2505DF_.wvu.PrintArea" localSheetId="10" hidden="1">Options!$A$6:$R$39</definedName>
    <definedName name="Z_383AC425_A3FF_11D2_A845_00805F2505DF_.wvu.PrintArea" localSheetId="13" hidden="1">OptionsProp!$A$6:$R$39</definedName>
    <definedName name="Z_383AC425_A3FF_11D2_A845_00805F2505DF_.wvu.PrintTitles" localSheetId="10" hidden="1">Options!$1:$5</definedName>
    <definedName name="Z_383AC425_A3FF_11D2_A845_00805F2505DF_.wvu.PrintTitles" localSheetId="13" hidden="1">OptionsProp!$1:$5</definedName>
    <definedName name="Z_383AC426_A3FF_11D2_A845_00805F2505DF_.wvu.PrintArea" localSheetId="20" hidden="1">'Price - East '!$A$6:$R$39</definedName>
    <definedName name="Z_383AC426_A3FF_11D2_A845_00805F2505DF_.wvu.PrintTitles" localSheetId="20" hidden="1">'Price - East '!$1:$5</definedName>
    <definedName name="Z_383AC427_A3FF_11D2_A845_00805F2505DF_.wvu.PrintArea" localSheetId="4" hidden="1">PriceAlberta!$A$6:$R$39</definedName>
    <definedName name="Z_383AC427_A3FF_11D2_A845_00805F2505DF_.wvu.PrintArea" localSheetId="6" hidden="1">PriceBC!$A$6:$R$39</definedName>
    <definedName name="Z_383AC427_A3FF_11D2_A845_00805F2505DF_.wvu.PrintTitles" localSheetId="4" hidden="1">PriceAlberta!$1:$5</definedName>
    <definedName name="Z_383AC427_A3FF_11D2_A845_00805F2505DF_.wvu.PrintTitles" localSheetId="6" hidden="1">PriceBC!$1:$5</definedName>
    <definedName name="Z_383AC428_A3FF_11D2_A845_00805F2505DF_.wvu.PrintArea" localSheetId="8" hidden="1">PriceEOL!$A$6:$R$39</definedName>
    <definedName name="Z_383AC428_A3FF_11D2_A845_00805F2505DF_.wvu.PrintTitles" localSheetId="8" hidden="1">PriceEOL!$1:$5</definedName>
    <definedName name="Z_383AC429_A3FF_11D2_A845_00805F2505DF_.wvu.PrintArea" localSheetId="9" hidden="1">EOLIndex!$A$6:$R$39</definedName>
    <definedName name="Z_383AC429_A3FF_11D2_A845_00805F2505DF_.wvu.PrintTitles" localSheetId="9" hidden="1">EOLIndex!$1:$5</definedName>
    <definedName name="Z_383AC42A_A3FF_11D2_A845_00805F2505DF_.wvu.PrintArea" localSheetId="11" hidden="1">OptionsIndex!$A$6:$R$39</definedName>
    <definedName name="Z_383AC42A_A3FF_11D2_A845_00805F2505DF_.wvu.PrintTitles" localSheetId="11" hidden="1">OptionsIndex!$1:$5</definedName>
    <definedName name="Z_383AC42B_A3FF_11D2_A845_00805F2505DF_.wvu.PrintArea" localSheetId="12" hidden="1">Straddle!$A$6:$R$39</definedName>
    <definedName name="Z_383AC42B_A3FF_11D2_A845_00805F2505DF_.wvu.PrintTitles" localSheetId="12" hidden="1">Straddle!$1:$5</definedName>
    <definedName name="Z_383AC42C_A3FF_11D2_A845_00805F2505DF_.wvu.PrintArea" localSheetId="18" hidden="1">'US $'!$A$6:$R$39</definedName>
    <definedName name="Z_383AC42C_A3FF_11D2_A845_00805F2505DF_.wvu.PrintTitles" localSheetId="18" hidden="1">'US $'!$1:$5</definedName>
    <definedName name="Z_383AC42D_A3FF_11D2_A845_00805F2505DF_.wvu.PrintArea" localSheetId="5" hidden="1">AlbertaIndex!$A$40:$AG$118</definedName>
    <definedName name="Z_383AC42D_A3FF_11D2_A845_00805F2505DF_.wvu.PrintArea" localSheetId="7" hidden="1">BCIndex!$A$40:$AG$118</definedName>
    <definedName name="Z_383AC42D_A3FF_11D2_A845_00805F2505DF_.wvu.PrintTitles" localSheetId="5" hidden="1">AlbertaIndex!$1:$5</definedName>
    <definedName name="Z_383AC42D_A3FF_11D2_A845_00805F2505DF_.wvu.PrintTitles" localSheetId="7" hidden="1">BCIndex!$1:$5</definedName>
    <definedName name="Z_383AC42E_A3FF_11D2_A845_00805F2505DF_.wvu.PrintArea" localSheetId="10" hidden="1">Options!$A$40:$AG$118</definedName>
    <definedName name="Z_383AC42E_A3FF_11D2_A845_00805F2505DF_.wvu.PrintArea" localSheetId="13" hidden="1">OptionsProp!$A$40:$AG$118</definedName>
    <definedName name="Z_383AC42E_A3FF_11D2_A845_00805F2505DF_.wvu.PrintTitles" localSheetId="10" hidden="1">Options!$1:$5</definedName>
    <definedName name="Z_383AC42E_A3FF_11D2_A845_00805F2505DF_.wvu.PrintTitles" localSheetId="13" hidden="1">OptionsProp!$1:$5</definedName>
    <definedName name="Z_383AC42F_A3FF_11D2_A845_00805F2505DF_.wvu.PrintArea" localSheetId="20" hidden="1">'Price - East '!$A$40:$AG$118</definedName>
    <definedName name="Z_383AC42F_A3FF_11D2_A845_00805F2505DF_.wvu.PrintTitles" localSheetId="20" hidden="1">'Price - East '!$1:$5</definedName>
    <definedName name="Z_383AC430_A3FF_11D2_A845_00805F2505DF_.wvu.PrintArea" localSheetId="4" hidden="1">PriceAlberta!$A$40:$AG$118</definedName>
    <definedName name="Z_383AC430_A3FF_11D2_A845_00805F2505DF_.wvu.PrintArea" localSheetId="6" hidden="1">PriceBC!$A$40:$AG$118</definedName>
    <definedName name="Z_383AC430_A3FF_11D2_A845_00805F2505DF_.wvu.PrintTitles" localSheetId="4" hidden="1">PriceAlberta!$1:$5</definedName>
    <definedName name="Z_383AC430_A3FF_11D2_A845_00805F2505DF_.wvu.PrintTitles" localSheetId="6" hidden="1">PriceBC!$1:$5</definedName>
    <definedName name="Z_383AC431_A3FF_11D2_A845_00805F2505DF_.wvu.PrintArea" localSheetId="8" hidden="1">PriceEOL!$A$40:$AG$118</definedName>
    <definedName name="Z_383AC431_A3FF_11D2_A845_00805F2505DF_.wvu.PrintTitles" localSheetId="8" hidden="1">PriceEOL!$1:$5</definedName>
    <definedName name="Z_383AC432_A3FF_11D2_A845_00805F2505DF_.wvu.PrintArea" localSheetId="9" hidden="1">EOLIndex!$A$40:$AG$118</definedName>
    <definedName name="Z_383AC432_A3FF_11D2_A845_00805F2505DF_.wvu.PrintTitles" localSheetId="9" hidden="1">EOLIndex!$1:$5</definedName>
    <definedName name="Z_383AC433_A3FF_11D2_A845_00805F2505DF_.wvu.PrintArea" localSheetId="11" hidden="1">OptionsIndex!$A$40:$AG$118</definedName>
    <definedName name="Z_383AC433_A3FF_11D2_A845_00805F2505DF_.wvu.PrintTitles" localSheetId="11" hidden="1">OptionsIndex!$1:$5</definedName>
    <definedName name="Z_383AC434_A3FF_11D2_A845_00805F2505DF_.wvu.PrintArea" localSheetId="12" hidden="1">Straddle!$A$40:$AG$118</definedName>
    <definedName name="Z_383AC434_A3FF_11D2_A845_00805F2505DF_.wvu.PrintTitles" localSheetId="12" hidden="1">Straddle!$1:$5</definedName>
    <definedName name="Z_383AC435_A3FF_11D2_A845_00805F2505DF_.wvu.PrintArea" localSheetId="18" hidden="1">'US $'!$A$40:$AG$118</definedName>
    <definedName name="Z_383AC435_A3FF_11D2_A845_00805F2505DF_.wvu.PrintTitles" localSheetId="18" hidden="1">'US $'!$1:$5</definedName>
    <definedName name="Z_383AC436_A3FF_11D2_A845_00805F2505DF_.wvu.PrintArea" localSheetId="5" hidden="1">AlbertaIndex!$A$120:$M$238</definedName>
    <definedName name="Z_383AC436_A3FF_11D2_A845_00805F2505DF_.wvu.PrintArea" localSheetId="7" hidden="1">BCIndex!$A$120:$M$238</definedName>
    <definedName name="Z_383AC436_A3FF_11D2_A845_00805F2505DF_.wvu.PrintTitles" localSheetId="5" hidden="1">AlbertaIndex!$1:$5</definedName>
    <definedName name="Z_383AC436_A3FF_11D2_A845_00805F2505DF_.wvu.PrintTitles" localSheetId="7" hidden="1">BCIndex!$1:$5</definedName>
    <definedName name="Z_383AC437_A3FF_11D2_A845_00805F2505DF_.wvu.PrintArea" localSheetId="10" hidden="1">Options!$A$120:$M$238</definedName>
    <definedName name="Z_383AC437_A3FF_11D2_A845_00805F2505DF_.wvu.PrintArea" localSheetId="13" hidden="1">OptionsProp!$A$120:$M$238</definedName>
    <definedName name="Z_383AC437_A3FF_11D2_A845_00805F2505DF_.wvu.PrintTitles" localSheetId="10" hidden="1">Options!$1:$5</definedName>
    <definedName name="Z_383AC437_A3FF_11D2_A845_00805F2505DF_.wvu.PrintTitles" localSheetId="13" hidden="1">OptionsProp!$1:$5</definedName>
    <definedName name="Z_383AC438_A3FF_11D2_A845_00805F2505DF_.wvu.PrintArea" localSheetId="20" hidden="1">'Price - East '!$A$120:$M$238</definedName>
    <definedName name="Z_383AC438_A3FF_11D2_A845_00805F2505DF_.wvu.PrintTitles" localSheetId="20" hidden="1">'Price - East '!$1:$5</definedName>
    <definedName name="Z_383AC439_A3FF_11D2_A845_00805F2505DF_.wvu.PrintArea" localSheetId="4" hidden="1">PriceAlberta!$A$120:$M$237</definedName>
    <definedName name="Z_383AC439_A3FF_11D2_A845_00805F2505DF_.wvu.PrintArea" localSheetId="6" hidden="1">PriceBC!$A$120:$M$237</definedName>
    <definedName name="Z_383AC439_A3FF_11D2_A845_00805F2505DF_.wvu.PrintTitles" localSheetId="4" hidden="1">PriceAlberta!$1:$5</definedName>
    <definedName name="Z_383AC439_A3FF_11D2_A845_00805F2505DF_.wvu.PrintTitles" localSheetId="6" hidden="1">PriceBC!$1:$5</definedName>
    <definedName name="Z_383AC43A_A3FF_11D2_A845_00805F2505DF_.wvu.PrintArea" localSheetId="8" hidden="1">PriceEOL!$A$120:$M$238</definedName>
    <definedName name="Z_383AC43A_A3FF_11D2_A845_00805F2505DF_.wvu.PrintTitles" localSheetId="8" hidden="1">PriceEOL!$1:$5</definedName>
    <definedName name="Z_383AC43B_A3FF_11D2_A845_00805F2505DF_.wvu.PrintArea" localSheetId="9" hidden="1">EOLIndex!$A$120:$M$238</definedName>
    <definedName name="Z_383AC43B_A3FF_11D2_A845_00805F2505DF_.wvu.PrintTitles" localSheetId="9" hidden="1">EOLIndex!$1:$5</definedName>
    <definedName name="Z_383AC43C_A3FF_11D2_A845_00805F2505DF_.wvu.PrintArea" localSheetId="11" hidden="1">OptionsIndex!$A$120:$M$238</definedName>
    <definedName name="Z_383AC43C_A3FF_11D2_A845_00805F2505DF_.wvu.PrintTitles" localSheetId="11" hidden="1">OptionsIndex!$1:$5</definedName>
    <definedName name="Z_383AC43D_A3FF_11D2_A845_00805F2505DF_.wvu.PrintArea" localSheetId="12" hidden="1">Straddle!$A$120:$M$238</definedName>
    <definedName name="Z_383AC43D_A3FF_11D2_A845_00805F2505DF_.wvu.PrintTitles" localSheetId="12" hidden="1">Straddle!$1:$5</definedName>
    <definedName name="Z_383AC43E_A3FF_11D2_A845_00805F2505DF_.wvu.PrintArea" localSheetId="18" hidden="1">'US $'!$A$120:$M$238</definedName>
    <definedName name="Z_383AC43E_A3FF_11D2_A845_00805F2505DF_.wvu.PrintTitles" localSheetId="18" hidden="1">'US $'!$1:$5</definedName>
    <definedName name="Z_4398CED0_B092_11D2_A84E_00805F2505DF_.wvu.PrintArea" localSheetId="5" hidden="1">AlbertaIndex!$A$6:$R$39</definedName>
    <definedName name="Z_4398CED0_B092_11D2_A84E_00805F2505DF_.wvu.PrintArea" localSheetId="7" hidden="1">BCIndex!$A$6:$R$39</definedName>
    <definedName name="Z_4398CED0_B092_11D2_A84E_00805F2505DF_.wvu.PrintTitles" localSheetId="5" hidden="1">AlbertaIndex!$1:$5</definedName>
    <definedName name="Z_4398CED0_B092_11D2_A84E_00805F2505DF_.wvu.PrintTitles" localSheetId="7" hidden="1">BCIndex!$1:$5</definedName>
    <definedName name="Z_4398CED1_B092_11D2_A84E_00805F2505DF_.wvu.PrintArea" localSheetId="10" hidden="1">Options!$A$6:$R$39</definedName>
    <definedName name="Z_4398CED1_B092_11D2_A84E_00805F2505DF_.wvu.PrintArea" localSheetId="13" hidden="1">OptionsProp!$A$6:$R$39</definedName>
    <definedName name="Z_4398CED1_B092_11D2_A84E_00805F2505DF_.wvu.PrintTitles" localSheetId="10" hidden="1">Options!$1:$5</definedName>
    <definedName name="Z_4398CED1_B092_11D2_A84E_00805F2505DF_.wvu.PrintTitles" localSheetId="13" hidden="1">OptionsProp!$1:$5</definedName>
    <definedName name="Z_4398CED2_B092_11D2_A84E_00805F2505DF_.wvu.PrintArea" localSheetId="20" hidden="1">'Price - East '!$A$6:$R$39</definedName>
    <definedName name="Z_4398CED2_B092_11D2_A84E_00805F2505DF_.wvu.PrintTitles" localSheetId="20" hidden="1">'Price - East '!$1:$5</definedName>
    <definedName name="Z_4398CED3_B092_11D2_A84E_00805F2505DF_.wvu.PrintArea" localSheetId="4" hidden="1">PriceAlberta!$A$6:$R$39</definedName>
    <definedName name="Z_4398CED3_B092_11D2_A84E_00805F2505DF_.wvu.PrintArea" localSheetId="6" hidden="1">PriceBC!$A$6:$R$39</definedName>
    <definedName name="Z_4398CED3_B092_11D2_A84E_00805F2505DF_.wvu.PrintTitles" localSheetId="4" hidden="1">PriceAlberta!$1:$5</definedName>
    <definedName name="Z_4398CED3_B092_11D2_A84E_00805F2505DF_.wvu.PrintTitles" localSheetId="6" hidden="1">PriceBC!$1:$5</definedName>
    <definedName name="Z_4398CED4_B092_11D2_A84E_00805F2505DF_.wvu.PrintArea" localSheetId="8" hidden="1">PriceEOL!$A$6:$R$39</definedName>
    <definedName name="Z_4398CED4_B092_11D2_A84E_00805F2505DF_.wvu.PrintTitles" localSheetId="8" hidden="1">PriceEOL!$1:$5</definedName>
    <definedName name="Z_4398CED5_B092_11D2_A84E_00805F2505DF_.wvu.PrintArea" localSheetId="9" hidden="1">EOLIndex!$A$6:$R$39</definedName>
    <definedName name="Z_4398CED5_B092_11D2_A84E_00805F2505DF_.wvu.PrintTitles" localSheetId="9" hidden="1">EOLIndex!$1:$5</definedName>
    <definedName name="Z_4398CED6_B092_11D2_A84E_00805F2505DF_.wvu.PrintArea" localSheetId="11" hidden="1">OptionsIndex!$A$6:$R$39</definedName>
    <definedName name="Z_4398CED6_B092_11D2_A84E_00805F2505DF_.wvu.PrintTitles" localSheetId="11" hidden="1">OptionsIndex!$1:$5</definedName>
    <definedName name="Z_4398CED7_B092_11D2_A84E_00805F2505DF_.wvu.PrintArea" localSheetId="12" hidden="1">Straddle!$A$6:$R$39</definedName>
    <definedName name="Z_4398CED7_B092_11D2_A84E_00805F2505DF_.wvu.PrintTitles" localSheetId="12" hidden="1">Straddle!$1:$5</definedName>
    <definedName name="Z_4398CED8_B092_11D2_A84E_00805F2505DF_.wvu.PrintArea" localSheetId="18" hidden="1">'US $'!$A$6:$R$39</definedName>
    <definedName name="Z_4398CED8_B092_11D2_A84E_00805F2505DF_.wvu.PrintTitles" localSheetId="18" hidden="1">'US $'!$1:$5</definedName>
    <definedName name="Z_4398CED9_B092_11D2_A84E_00805F2505DF_.wvu.PrintArea" localSheetId="5" hidden="1">AlbertaIndex!$A$40:$AG$118</definedName>
    <definedName name="Z_4398CED9_B092_11D2_A84E_00805F2505DF_.wvu.PrintArea" localSheetId="7" hidden="1">BCIndex!$A$40:$AG$118</definedName>
    <definedName name="Z_4398CED9_B092_11D2_A84E_00805F2505DF_.wvu.PrintTitles" localSheetId="5" hidden="1">AlbertaIndex!$1:$5</definedName>
    <definedName name="Z_4398CED9_B092_11D2_A84E_00805F2505DF_.wvu.PrintTitles" localSheetId="7" hidden="1">BCIndex!$1:$5</definedName>
    <definedName name="Z_4398CEDA_B092_11D2_A84E_00805F2505DF_.wvu.PrintArea" localSheetId="10" hidden="1">Options!$A$40:$AG$118</definedName>
    <definedName name="Z_4398CEDA_B092_11D2_A84E_00805F2505DF_.wvu.PrintArea" localSheetId="13" hidden="1">OptionsProp!$A$40:$AG$118</definedName>
    <definedName name="Z_4398CEDA_B092_11D2_A84E_00805F2505DF_.wvu.PrintTitles" localSheetId="10" hidden="1">Options!$1:$5</definedName>
    <definedName name="Z_4398CEDA_B092_11D2_A84E_00805F2505DF_.wvu.PrintTitles" localSheetId="13" hidden="1">OptionsProp!$1:$5</definedName>
    <definedName name="Z_4398CEDB_B092_11D2_A84E_00805F2505DF_.wvu.PrintArea" localSheetId="20" hidden="1">'Price - East '!$A$40:$AG$118</definedName>
    <definedName name="Z_4398CEDB_B092_11D2_A84E_00805F2505DF_.wvu.PrintTitles" localSheetId="20" hidden="1">'Price - East '!$1:$5</definedName>
    <definedName name="Z_4398CEDC_B092_11D2_A84E_00805F2505DF_.wvu.PrintArea" localSheetId="4" hidden="1">PriceAlberta!$A$40:$AG$118</definedName>
    <definedName name="Z_4398CEDC_B092_11D2_A84E_00805F2505DF_.wvu.PrintArea" localSheetId="6" hidden="1">PriceBC!$A$40:$AG$118</definedName>
    <definedName name="Z_4398CEDC_B092_11D2_A84E_00805F2505DF_.wvu.PrintTitles" localSheetId="4" hidden="1">PriceAlberta!$1:$5</definedName>
    <definedName name="Z_4398CEDC_B092_11D2_A84E_00805F2505DF_.wvu.PrintTitles" localSheetId="6" hidden="1">PriceBC!$1:$5</definedName>
    <definedName name="Z_4398CEDD_B092_11D2_A84E_00805F2505DF_.wvu.PrintArea" localSheetId="8" hidden="1">PriceEOL!$A$40:$AG$118</definedName>
    <definedName name="Z_4398CEDD_B092_11D2_A84E_00805F2505DF_.wvu.PrintTitles" localSheetId="8" hidden="1">PriceEOL!$1:$5</definedName>
    <definedName name="Z_4398CEDE_B092_11D2_A84E_00805F2505DF_.wvu.PrintArea" localSheetId="9" hidden="1">EOLIndex!$A$40:$AG$118</definedName>
    <definedName name="Z_4398CEDE_B092_11D2_A84E_00805F2505DF_.wvu.PrintTitles" localSheetId="9" hidden="1">EOLIndex!$1:$5</definedName>
    <definedName name="Z_4398CEDF_B092_11D2_A84E_00805F2505DF_.wvu.PrintArea" localSheetId="11" hidden="1">OptionsIndex!$A$40:$AG$118</definedName>
    <definedName name="Z_4398CEDF_B092_11D2_A84E_00805F2505DF_.wvu.PrintTitles" localSheetId="11" hidden="1">OptionsIndex!$1:$5</definedName>
    <definedName name="Z_4398CEE0_B092_11D2_A84E_00805F2505DF_.wvu.PrintArea" localSheetId="12" hidden="1">Straddle!$A$40:$AG$118</definedName>
    <definedName name="Z_4398CEE0_B092_11D2_A84E_00805F2505DF_.wvu.PrintTitles" localSheetId="12" hidden="1">Straddle!$1:$5</definedName>
    <definedName name="Z_4398CEE1_B092_11D2_A84E_00805F2505DF_.wvu.PrintArea" localSheetId="18" hidden="1">'US $'!$A$40:$AG$118</definedName>
    <definedName name="Z_4398CEE1_B092_11D2_A84E_00805F2505DF_.wvu.PrintTitles" localSheetId="18" hidden="1">'US $'!$1:$5</definedName>
    <definedName name="Z_4398CEE2_B092_11D2_A84E_00805F2505DF_.wvu.PrintArea" localSheetId="5" hidden="1">AlbertaIndex!$A$120:$M$238</definedName>
    <definedName name="Z_4398CEE2_B092_11D2_A84E_00805F2505DF_.wvu.PrintArea" localSheetId="7" hidden="1">BCIndex!$A$120:$M$238</definedName>
    <definedName name="Z_4398CEE2_B092_11D2_A84E_00805F2505DF_.wvu.PrintTitles" localSheetId="5" hidden="1">AlbertaIndex!$1:$5</definedName>
    <definedName name="Z_4398CEE2_B092_11D2_A84E_00805F2505DF_.wvu.PrintTitles" localSheetId="7" hidden="1">BCIndex!$1:$5</definedName>
    <definedName name="Z_4398CEE3_B092_11D2_A84E_00805F2505DF_.wvu.PrintArea" localSheetId="10" hidden="1">Options!$A$120:$M$238</definedName>
    <definedName name="Z_4398CEE3_B092_11D2_A84E_00805F2505DF_.wvu.PrintArea" localSheetId="13" hidden="1">OptionsProp!$A$120:$M$238</definedName>
    <definedName name="Z_4398CEE3_B092_11D2_A84E_00805F2505DF_.wvu.PrintTitles" localSheetId="10" hidden="1">Options!$1:$5</definedName>
    <definedName name="Z_4398CEE3_B092_11D2_A84E_00805F2505DF_.wvu.PrintTitles" localSheetId="13" hidden="1">OptionsProp!$1:$5</definedName>
    <definedName name="Z_4398CEE4_B092_11D2_A84E_00805F2505DF_.wvu.PrintArea" localSheetId="20" hidden="1">'Price - East '!$A$120:$M$238</definedName>
    <definedName name="Z_4398CEE4_B092_11D2_A84E_00805F2505DF_.wvu.PrintTitles" localSheetId="20" hidden="1">'Price - East '!$1:$5</definedName>
    <definedName name="Z_4398CEE5_B092_11D2_A84E_00805F2505DF_.wvu.PrintArea" localSheetId="4" hidden="1">PriceAlberta!$A$120:$M$237</definedName>
    <definedName name="Z_4398CEE5_B092_11D2_A84E_00805F2505DF_.wvu.PrintArea" localSheetId="6" hidden="1">PriceBC!$A$120:$M$237</definedName>
    <definedName name="Z_4398CEE5_B092_11D2_A84E_00805F2505DF_.wvu.PrintTitles" localSheetId="4" hidden="1">PriceAlberta!$1:$5</definedName>
    <definedName name="Z_4398CEE5_B092_11D2_A84E_00805F2505DF_.wvu.PrintTitles" localSheetId="6" hidden="1">PriceBC!$1:$5</definedName>
    <definedName name="Z_4398CEE6_B092_11D2_A84E_00805F2505DF_.wvu.PrintArea" localSheetId="8" hidden="1">PriceEOL!$A$120:$M$238</definedName>
    <definedName name="Z_4398CEE6_B092_11D2_A84E_00805F2505DF_.wvu.PrintTitles" localSheetId="8" hidden="1">PriceEOL!$1:$5</definedName>
    <definedName name="Z_4398CEE7_B092_11D2_A84E_00805F2505DF_.wvu.PrintArea" localSheetId="9" hidden="1">EOLIndex!$A$120:$M$238</definedName>
    <definedName name="Z_4398CEE7_B092_11D2_A84E_00805F2505DF_.wvu.PrintTitles" localSheetId="9" hidden="1">EOLIndex!$1:$5</definedName>
    <definedName name="Z_4398CEE8_B092_11D2_A84E_00805F2505DF_.wvu.PrintArea" localSheetId="11" hidden="1">OptionsIndex!$A$120:$M$238</definedName>
    <definedName name="Z_4398CEE8_B092_11D2_A84E_00805F2505DF_.wvu.PrintTitles" localSheetId="11" hidden="1">OptionsIndex!$1:$5</definedName>
    <definedName name="Z_4398CEE9_B092_11D2_A84E_00805F2505DF_.wvu.PrintArea" localSheetId="12" hidden="1">Straddle!$A$120:$M$238</definedName>
    <definedName name="Z_4398CEE9_B092_11D2_A84E_00805F2505DF_.wvu.PrintTitles" localSheetId="12" hidden="1">Straddle!$1:$5</definedName>
    <definedName name="Z_4398CEEA_B092_11D2_A84E_00805F2505DF_.wvu.PrintArea" localSheetId="18" hidden="1">'US $'!$A$120:$M$238</definedName>
    <definedName name="Z_4398CEEA_B092_11D2_A84E_00805F2505DF_.wvu.PrintTitles" localSheetId="18" hidden="1">'US $'!$1:$5</definedName>
    <definedName name="Z_535643BC_B9EE_11D2_A857_00805F2505DF_.wvu.PrintArea" localSheetId="5" hidden="1">AlbertaIndex!$A$6:$R$39</definedName>
    <definedName name="Z_535643BC_B9EE_11D2_A857_00805F2505DF_.wvu.PrintArea" localSheetId="7" hidden="1">BCIndex!$A$6:$R$39</definedName>
    <definedName name="Z_535643BC_B9EE_11D2_A857_00805F2505DF_.wvu.PrintTitles" localSheetId="5" hidden="1">AlbertaIndex!$1:$5</definedName>
    <definedName name="Z_535643BC_B9EE_11D2_A857_00805F2505DF_.wvu.PrintTitles" localSheetId="7" hidden="1">BCIndex!$1:$5</definedName>
    <definedName name="Z_535643BD_B9EE_11D2_A857_00805F2505DF_.wvu.PrintArea" localSheetId="10" hidden="1">Options!$A$6:$R$39</definedName>
    <definedName name="Z_535643BD_B9EE_11D2_A857_00805F2505DF_.wvu.PrintArea" localSheetId="13" hidden="1">OptionsProp!$A$6:$R$39</definedName>
    <definedName name="Z_535643BD_B9EE_11D2_A857_00805F2505DF_.wvu.PrintTitles" localSheetId="10" hidden="1">Options!$1:$5</definedName>
    <definedName name="Z_535643BD_B9EE_11D2_A857_00805F2505DF_.wvu.PrintTitles" localSheetId="13" hidden="1">OptionsProp!$1:$5</definedName>
    <definedName name="Z_535643BE_B9EE_11D2_A857_00805F2505DF_.wvu.PrintArea" localSheetId="20" hidden="1">'Price - East '!$A$6:$R$39</definedName>
    <definedName name="Z_535643BE_B9EE_11D2_A857_00805F2505DF_.wvu.PrintTitles" localSheetId="20" hidden="1">'Price - East '!$1:$5</definedName>
    <definedName name="Z_535643BF_B9EE_11D2_A857_00805F2505DF_.wvu.PrintArea" localSheetId="4" hidden="1">PriceAlberta!$A$6:$R$39</definedName>
    <definedName name="Z_535643BF_B9EE_11D2_A857_00805F2505DF_.wvu.PrintArea" localSheetId="6" hidden="1">PriceBC!$A$6:$R$39</definedName>
    <definedName name="Z_535643BF_B9EE_11D2_A857_00805F2505DF_.wvu.PrintTitles" localSheetId="4" hidden="1">PriceAlberta!$1:$5</definedName>
    <definedName name="Z_535643BF_B9EE_11D2_A857_00805F2505DF_.wvu.PrintTitles" localSheetId="6" hidden="1">PriceBC!$1:$5</definedName>
    <definedName name="Z_535643C0_B9EE_11D2_A857_00805F2505DF_.wvu.PrintArea" localSheetId="8" hidden="1">PriceEOL!$A$6:$R$39</definedName>
    <definedName name="Z_535643C0_B9EE_11D2_A857_00805F2505DF_.wvu.PrintTitles" localSheetId="8" hidden="1">PriceEOL!$1:$5</definedName>
    <definedName name="Z_535643C1_B9EE_11D2_A857_00805F2505DF_.wvu.PrintArea" localSheetId="9" hidden="1">EOLIndex!$A$6:$R$39</definedName>
    <definedName name="Z_535643C1_B9EE_11D2_A857_00805F2505DF_.wvu.PrintTitles" localSheetId="9" hidden="1">EOLIndex!$1:$5</definedName>
    <definedName name="Z_535643C2_B9EE_11D2_A857_00805F2505DF_.wvu.PrintArea" localSheetId="11" hidden="1">OptionsIndex!$A$6:$R$39</definedName>
    <definedName name="Z_535643C2_B9EE_11D2_A857_00805F2505DF_.wvu.PrintTitles" localSheetId="11" hidden="1">OptionsIndex!$1:$5</definedName>
    <definedName name="Z_535643C3_B9EE_11D2_A857_00805F2505DF_.wvu.PrintArea" localSheetId="12" hidden="1">Straddle!$A$6:$R$39</definedName>
    <definedName name="Z_535643C3_B9EE_11D2_A857_00805F2505DF_.wvu.PrintTitles" localSheetId="12" hidden="1">Straddle!$1:$5</definedName>
    <definedName name="Z_535643C4_B9EE_11D2_A857_00805F2505DF_.wvu.PrintArea" localSheetId="18" hidden="1">'US $'!$A$6:$R$39</definedName>
    <definedName name="Z_535643C4_B9EE_11D2_A857_00805F2505DF_.wvu.PrintTitles" localSheetId="18" hidden="1">'US $'!$1:$5</definedName>
    <definedName name="Z_535643C5_B9EE_11D2_A857_00805F2505DF_.wvu.PrintArea" localSheetId="5" hidden="1">AlbertaIndex!$A$40:$AG$118</definedName>
    <definedName name="Z_535643C5_B9EE_11D2_A857_00805F2505DF_.wvu.PrintArea" localSheetId="7" hidden="1">BCIndex!$A$40:$AG$118</definedName>
    <definedName name="Z_535643C5_B9EE_11D2_A857_00805F2505DF_.wvu.PrintTitles" localSheetId="5" hidden="1">AlbertaIndex!$1:$5</definedName>
    <definedName name="Z_535643C5_B9EE_11D2_A857_00805F2505DF_.wvu.PrintTitles" localSheetId="7" hidden="1">BCIndex!$1:$5</definedName>
    <definedName name="Z_535643C6_B9EE_11D2_A857_00805F2505DF_.wvu.PrintArea" localSheetId="10" hidden="1">Options!$A$40:$AG$118</definedName>
    <definedName name="Z_535643C6_B9EE_11D2_A857_00805F2505DF_.wvu.PrintArea" localSheetId="13" hidden="1">OptionsProp!$A$40:$AG$118</definedName>
    <definedName name="Z_535643C6_B9EE_11D2_A857_00805F2505DF_.wvu.PrintTitles" localSheetId="10" hidden="1">Options!$1:$5</definedName>
    <definedName name="Z_535643C6_B9EE_11D2_A857_00805F2505DF_.wvu.PrintTitles" localSheetId="13" hidden="1">OptionsProp!$1:$5</definedName>
    <definedName name="Z_535643C7_B9EE_11D2_A857_00805F2505DF_.wvu.PrintArea" localSheetId="20" hidden="1">'Price - East '!$A$40:$AG$118</definedName>
    <definedName name="Z_535643C7_B9EE_11D2_A857_00805F2505DF_.wvu.PrintTitles" localSheetId="20" hidden="1">'Price - East '!$1:$5</definedName>
    <definedName name="Z_535643C8_B9EE_11D2_A857_00805F2505DF_.wvu.PrintArea" localSheetId="4" hidden="1">PriceAlberta!$A$40:$AG$118</definedName>
    <definedName name="Z_535643C8_B9EE_11D2_A857_00805F2505DF_.wvu.PrintArea" localSheetId="6" hidden="1">PriceBC!$A$40:$AG$118</definedName>
    <definedName name="Z_535643C8_B9EE_11D2_A857_00805F2505DF_.wvu.PrintTitles" localSheetId="4" hidden="1">PriceAlberta!$1:$5</definedName>
    <definedName name="Z_535643C8_B9EE_11D2_A857_00805F2505DF_.wvu.PrintTitles" localSheetId="6" hidden="1">PriceBC!$1:$5</definedName>
    <definedName name="Z_535643C9_B9EE_11D2_A857_00805F2505DF_.wvu.PrintArea" localSheetId="8" hidden="1">PriceEOL!$A$40:$AG$118</definedName>
    <definedName name="Z_535643C9_B9EE_11D2_A857_00805F2505DF_.wvu.PrintTitles" localSheetId="8" hidden="1">PriceEOL!$1:$5</definedName>
    <definedName name="Z_535643CA_B9EE_11D2_A857_00805F2505DF_.wvu.PrintArea" localSheetId="9" hidden="1">EOLIndex!$A$40:$AG$118</definedName>
    <definedName name="Z_535643CA_B9EE_11D2_A857_00805F2505DF_.wvu.PrintTitles" localSheetId="9" hidden="1">EOLIndex!$1:$5</definedName>
    <definedName name="Z_535643CB_B9EE_11D2_A857_00805F2505DF_.wvu.PrintArea" localSheetId="11" hidden="1">OptionsIndex!$A$40:$AG$118</definedName>
    <definedName name="Z_535643CB_B9EE_11D2_A857_00805F2505DF_.wvu.PrintTitles" localSheetId="11" hidden="1">OptionsIndex!$1:$5</definedName>
    <definedName name="Z_535643CC_B9EE_11D2_A857_00805F2505DF_.wvu.PrintArea" localSheetId="12" hidden="1">Straddle!$A$40:$AG$118</definedName>
    <definedName name="Z_535643CC_B9EE_11D2_A857_00805F2505DF_.wvu.PrintTitles" localSheetId="12" hidden="1">Straddle!$1:$5</definedName>
    <definedName name="Z_535643CD_B9EE_11D2_A857_00805F2505DF_.wvu.PrintArea" localSheetId="18" hidden="1">'US $'!$A$40:$AG$118</definedName>
    <definedName name="Z_535643CD_B9EE_11D2_A857_00805F2505DF_.wvu.PrintTitles" localSheetId="18" hidden="1">'US $'!$1:$5</definedName>
    <definedName name="Z_535643CE_B9EE_11D2_A857_00805F2505DF_.wvu.PrintArea" localSheetId="5" hidden="1">AlbertaIndex!$A$120:$M$238</definedName>
    <definedName name="Z_535643CE_B9EE_11D2_A857_00805F2505DF_.wvu.PrintArea" localSheetId="7" hidden="1">BCIndex!$A$120:$M$238</definedName>
    <definedName name="Z_535643CE_B9EE_11D2_A857_00805F2505DF_.wvu.PrintTitles" localSheetId="5" hidden="1">AlbertaIndex!$1:$5</definedName>
    <definedName name="Z_535643CE_B9EE_11D2_A857_00805F2505DF_.wvu.PrintTitles" localSheetId="7" hidden="1">BCIndex!$1:$5</definedName>
    <definedName name="Z_535643CF_B9EE_11D2_A857_00805F2505DF_.wvu.PrintArea" localSheetId="10" hidden="1">Options!$A$120:$M$238</definedName>
    <definedName name="Z_535643CF_B9EE_11D2_A857_00805F2505DF_.wvu.PrintArea" localSheetId="13" hidden="1">OptionsProp!$A$120:$M$238</definedName>
    <definedName name="Z_535643CF_B9EE_11D2_A857_00805F2505DF_.wvu.PrintTitles" localSheetId="10" hidden="1">Options!$1:$5</definedName>
    <definedName name="Z_535643CF_B9EE_11D2_A857_00805F2505DF_.wvu.PrintTitles" localSheetId="13" hidden="1">OptionsProp!$1:$5</definedName>
    <definedName name="Z_535643D0_B9EE_11D2_A857_00805F2505DF_.wvu.PrintArea" localSheetId="20" hidden="1">'Price - East '!$A$120:$M$238</definedName>
    <definedName name="Z_535643D0_B9EE_11D2_A857_00805F2505DF_.wvu.PrintTitles" localSheetId="20" hidden="1">'Price - East '!$1:$5</definedName>
    <definedName name="Z_535643D1_B9EE_11D2_A857_00805F2505DF_.wvu.PrintArea" localSheetId="4" hidden="1">PriceAlberta!$A$120:$M$237</definedName>
    <definedName name="Z_535643D1_B9EE_11D2_A857_00805F2505DF_.wvu.PrintArea" localSheetId="6" hidden="1">PriceBC!$A$120:$M$237</definedName>
    <definedName name="Z_535643D1_B9EE_11D2_A857_00805F2505DF_.wvu.PrintTitles" localSheetId="4" hidden="1">PriceAlberta!$1:$5</definedName>
    <definedName name="Z_535643D1_B9EE_11D2_A857_00805F2505DF_.wvu.PrintTitles" localSheetId="6" hidden="1">PriceBC!$1:$5</definedName>
    <definedName name="Z_535643D2_B9EE_11D2_A857_00805F2505DF_.wvu.PrintArea" localSheetId="8" hidden="1">PriceEOL!$A$120:$M$238</definedName>
    <definedName name="Z_535643D2_B9EE_11D2_A857_00805F2505DF_.wvu.PrintTitles" localSheetId="8" hidden="1">PriceEOL!$1:$5</definedName>
    <definedName name="Z_535643D3_B9EE_11D2_A857_00805F2505DF_.wvu.PrintArea" localSheetId="9" hidden="1">EOLIndex!$A$120:$M$238</definedName>
    <definedName name="Z_535643D3_B9EE_11D2_A857_00805F2505DF_.wvu.PrintTitles" localSheetId="9" hidden="1">EOLIndex!$1:$5</definedName>
    <definedName name="Z_535643D4_B9EE_11D2_A857_00805F2505DF_.wvu.PrintArea" localSheetId="11" hidden="1">OptionsIndex!$A$120:$M$238</definedName>
    <definedName name="Z_535643D4_B9EE_11D2_A857_00805F2505DF_.wvu.PrintTitles" localSheetId="11" hidden="1">OptionsIndex!$1:$5</definedName>
    <definedName name="Z_535643D5_B9EE_11D2_A857_00805F2505DF_.wvu.PrintArea" localSheetId="12" hidden="1">Straddle!$A$120:$M$238</definedName>
    <definedName name="Z_535643D5_B9EE_11D2_A857_00805F2505DF_.wvu.PrintTitles" localSheetId="12" hidden="1">Straddle!$1:$5</definedName>
    <definedName name="Z_535643D6_B9EE_11D2_A857_00805F2505DF_.wvu.PrintArea" localSheetId="18" hidden="1">'US $'!$A$120:$M$238</definedName>
    <definedName name="Z_535643D6_B9EE_11D2_A857_00805F2505DF_.wvu.PrintTitles" localSheetId="18" hidden="1">'US $'!$1:$5</definedName>
    <definedName name="Z_70785CB6_A4C6_11D2_A845_00805F2505DF_.wvu.PrintArea" localSheetId="5" hidden="1">AlbertaIndex!$A$6:$R$39</definedName>
    <definedName name="Z_70785CB6_A4C6_11D2_A845_00805F2505DF_.wvu.PrintArea" localSheetId="7" hidden="1">BCIndex!$A$6:$R$39</definedName>
    <definedName name="Z_70785CB6_A4C6_11D2_A845_00805F2505DF_.wvu.PrintTitles" localSheetId="5" hidden="1">AlbertaIndex!$1:$5</definedName>
    <definedName name="Z_70785CB6_A4C6_11D2_A845_00805F2505DF_.wvu.PrintTitles" localSheetId="7" hidden="1">BCIndex!$1:$5</definedName>
    <definedName name="Z_70785CB7_A4C6_11D2_A845_00805F2505DF_.wvu.PrintArea" localSheetId="10" hidden="1">Options!$A$6:$R$39</definedName>
    <definedName name="Z_70785CB7_A4C6_11D2_A845_00805F2505DF_.wvu.PrintArea" localSheetId="13" hidden="1">OptionsProp!$A$6:$R$39</definedName>
    <definedName name="Z_70785CB7_A4C6_11D2_A845_00805F2505DF_.wvu.PrintTitles" localSheetId="10" hidden="1">Options!$1:$5</definedName>
    <definedName name="Z_70785CB7_A4C6_11D2_A845_00805F2505DF_.wvu.PrintTitles" localSheetId="13" hidden="1">OptionsProp!$1:$5</definedName>
    <definedName name="Z_70785CB8_A4C6_11D2_A845_00805F2505DF_.wvu.PrintArea" localSheetId="20" hidden="1">'Price - East '!$A$6:$R$39</definedName>
    <definedName name="Z_70785CB8_A4C6_11D2_A845_00805F2505DF_.wvu.PrintTitles" localSheetId="20" hidden="1">'Price - East '!$1:$5</definedName>
    <definedName name="Z_70785CB9_A4C6_11D2_A845_00805F2505DF_.wvu.PrintArea" localSheetId="4" hidden="1">PriceAlberta!$A$6:$R$39</definedName>
    <definedName name="Z_70785CB9_A4C6_11D2_A845_00805F2505DF_.wvu.PrintArea" localSheetId="6" hidden="1">PriceBC!$A$6:$R$39</definedName>
    <definedName name="Z_70785CB9_A4C6_11D2_A845_00805F2505DF_.wvu.PrintTitles" localSheetId="4" hidden="1">PriceAlberta!$1:$5</definedName>
    <definedName name="Z_70785CB9_A4C6_11D2_A845_00805F2505DF_.wvu.PrintTitles" localSheetId="6" hidden="1">PriceBC!$1:$5</definedName>
    <definedName name="Z_70785CBA_A4C6_11D2_A845_00805F2505DF_.wvu.PrintArea" localSheetId="8" hidden="1">PriceEOL!$A$6:$R$39</definedName>
    <definedName name="Z_70785CBA_A4C6_11D2_A845_00805F2505DF_.wvu.PrintTitles" localSheetId="8" hidden="1">PriceEOL!$1:$5</definedName>
    <definedName name="Z_70785CBB_A4C6_11D2_A845_00805F2505DF_.wvu.PrintArea" localSheetId="9" hidden="1">EOLIndex!$A$6:$R$39</definedName>
    <definedName name="Z_70785CBB_A4C6_11D2_A845_00805F2505DF_.wvu.PrintTitles" localSheetId="9" hidden="1">EOLIndex!$1:$5</definedName>
    <definedName name="Z_70785CBC_A4C6_11D2_A845_00805F2505DF_.wvu.PrintArea" localSheetId="11" hidden="1">OptionsIndex!$A$6:$R$39</definedName>
    <definedName name="Z_70785CBC_A4C6_11D2_A845_00805F2505DF_.wvu.PrintTitles" localSheetId="11" hidden="1">OptionsIndex!$1:$5</definedName>
    <definedName name="Z_70785CBD_A4C6_11D2_A845_00805F2505DF_.wvu.PrintArea" localSheetId="12" hidden="1">Straddle!$A$6:$R$39</definedName>
    <definedName name="Z_70785CBD_A4C6_11D2_A845_00805F2505DF_.wvu.PrintTitles" localSheetId="12" hidden="1">Straddle!$1:$5</definedName>
    <definedName name="Z_70785CBE_A4C6_11D2_A845_00805F2505DF_.wvu.PrintArea" localSheetId="18" hidden="1">'US $'!$A$6:$R$39</definedName>
    <definedName name="Z_70785CBE_A4C6_11D2_A845_00805F2505DF_.wvu.PrintTitles" localSheetId="18" hidden="1">'US $'!$1:$5</definedName>
    <definedName name="Z_70785CBF_A4C6_11D2_A845_00805F2505DF_.wvu.PrintArea" localSheetId="5" hidden="1">AlbertaIndex!$A$40:$AG$118</definedName>
    <definedName name="Z_70785CBF_A4C6_11D2_A845_00805F2505DF_.wvu.PrintArea" localSheetId="7" hidden="1">BCIndex!$A$40:$AG$118</definedName>
    <definedName name="Z_70785CBF_A4C6_11D2_A845_00805F2505DF_.wvu.PrintTitles" localSheetId="5" hidden="1">AlbertaIndex!$1:$5</definedName>
    <definedName name="Z_70785CBF_A4C6_11D2_A845_00805F2505DF_.wvu.PrintTitles" localSheetId="7" hidden="1">BCIndex!$1:$5</definedName>
    <definedName name="Z_70785CC0_A4C6_11D2_A845_00805F2505DF_.wvu.PrintArea" localSheetId="10" hidden="1">Options!$A$40:$AG$118</definedName>
    <definedName name="Z_70785CC0_A4C6_11D2_A845_00805F2505DF_.wvu.PrintArea" localSheetId="13" hidden="1">OptionsProp!$A$40:$AG$118</definedName>
    <definedName name="Z_70785CC0_A4C6_11D2_A845_00805F2505DF_.wvu.PrintTitles" localSheetId="10" hidden="1">Options!$1:$5</definedName>
    <definedName name="Z_70785CC0_A4C6_11D2_A845_00805F2505DF_.wvu.PrintTitles" localSheetId="13" hidden="1">OptionsProp!$1:$5</definedName>
    <definedName name="Z_70785CC1_A4C6_11D2_A845_00805F2505DF_.wvu.PrintArea" localSheetId="20" hidden="1">'Price - East '!$A$40:$AG$118</definedName>
    <definedName name="Z_70785CC1_A4C6_11D2_A845_00805F2505DF_.wvu.PrintTitles" localSheetId="20" hidden="1">'Price - East '!$1:$5</definedName>
    <definedName name="Z_70785CC2_A4C6_11D2_A845_00805F2505DF_.wvu.PrintArea" localSheetId="4" hidden="1">PriceAlberta!$A$40:$AG$118</definedName>
    <definedName name="Z_70785CC2_A4C6_11D2_A845_00805F2505DF_.wvu.PrintArea" localSheetId="6" hidden="1">PriceBC!$A$40:$AG$118</definedName>
    <definedName name="Z_70785CC2_A4C6_11D2_A845_00805F2505DF_.wvu.PrintTitles" localSheetId="4" hidden="1">PriceAlberta!$1:$5</definedName>
    <definedName name="Z_70785CC2_A4C6_11D2_A845_00805F2505DF_.wvu.PrintTitles" localSheetId="6" hidden="1">PriceBC!$1:$5</definedName>
    <definedName name="Z_70785CC3_A4C6_11D2_A845_00805F2505DF_.wvu.PrintArea" localSheetId="8" hidden="1">PriceEOL!$A$40:$AG$118</definedName>
    <definedName name="Z_70785CC3_A4C6_11D2_A845_00805F2505DF_.wvu.PrintTitles" localSheetId="8" hidden="1">PriceEOL!$1:$5</definedName>
    <definedName name="Z_70785CC4_A4C6_11D2_A845_00805F2505DF_.wvu.PrintArea" localSheetId="9" hidden="1">EOLIndex!$A$40:$AG$118</definedName>
    <definedName name="Z_70785CC4_A4C6_11D2_A845_00805F2505DF_.wvu.PrintTitles" localSheetId="9" hidden="1">EOLIndex!$1:$5</definedName>
    <definedName name="Z_70785CC5_A4C6_11D2_A845_00805F2505DF_.wvu.PrintArea" localSheetId="11" hidden="1">OptionsIndex!$A$40:$AG$118</definedName>
    <definedName name="Z_70785CC5_A4C6_11D2_A845_00805F2505DF_.wvu.PrintTitles" localSheetId="11" hidden="1">OptionsIndex!$1:$5</definedName>
    <definedName name="Z_70785CC6_A4C6_11D2_A845_00805F2505DF_.wvu.PrintArea" localSheetId="12" hidden="1">Straddle!$A$40:$AG$118</definedName>
    <definedName name="Z_70785CC6_A4C6_11D2_A845_00805F2505DF_.wvu.PrintTitles" localSheetId="12" hidden="1">Straddle!$1:$5</definedName>
    <definedName name="Z_70785CC7_A4C6_11D2_A845_00805F2505DF_.wvu.PrintArea" localSheetId="18" hidden="1">'US $'!$A$40:$AG$118</definedName>
    <definedName name="Z_70785CC7_A4C6_11D2_A845_00805F2505DF_.wvu.PrintTitles" localSheetId="18" hidden="1">'US $'!$1:$5</definedName>
    <definedName name="Z_70785CC8_A4C6_11D2_A845_00805F2505DF_.wvu.PrintArea" localSheetId="5" hidden="1">AlbertaIndex!$A$120:$M$238</definedName>
    <definedName name="Z_70785CC8_A4C6_11D2_A845_00805F2505DF_.wvu.PrintArea" localSheetId="7" hidden="1">BCIndex!$A$120:$M$238</definedName>
    <definedName name="Z_70785CC8_A4C6_11D2_A845_00805F2505DF_.wvu.PrintTitles" localSheetId="5" hidden="1">AlbertaIndex!$1:$5</definedName>
    <definedName name="Z_70785CC8_A4C6_11D2_A845_00805F2505DF_.wvu.PrintTitles" localSheetId="7" hidden="1">BCIndex!$1:$5</definedName>
    <definedName name="Z_70785CC9_A4C6_11D2_A845_00805F2505DF_.wvu.PrintArea" localSheetId="10" hidden="1">Options!$A$120:$M$238</definedName>
    <definedName name="Z_70785CC9_A4C6_11D2_A845_00805F2505DF_.wvu.PrintArea" localSheetId="13" hidden="1">OptionsProp!$A$120:$M$238</definedName>
    <definedName name="Z_70785CC9_A4C6_11D2_A845_00805F2505DF_.wvu.PrintTitles" localSheetId="10" hidden="1">Options!$1:$5</definedName>
    <definedName name="Z_70785CC9_A4C6_11D2_A845_00805F2505DF_.wvu.PrintTitles" localSheetId="13" hidden="1">OptionsProp!$1:$5</definedName>
    <definedName name="Z_70785CCA_A4C6_11D2_A845_00805F2505DF_.wvu.PrintArea" localSheetId="20" hidden="1">'Price - East '!$A$120:$M$238</definedName>
    <definedName name="Z_70785CCA_A4C6_11D2_A845_00805F2505DF_.wvu.PrintTitles" localSheetId="20" hidden="1">'Price - East '!$1:$5</definedName>
    <definedName name="Z_70785CCB_A4C6_11D2_A845_00805F2505DF_.wvu.PrintArea" localSheetId="4" hidden="1">PriceAlberta!$A$120:$M$237</definedName>
    <definedName name="Z_70785CCB_A4C6_11D2_A845_00805F2505DF_.wvu.PrintArea" localSheetId="6" hidden="1">PriceBC!$A$120:$M$237</definedName>
    <definedName name="Z_70785CCB_A4C6_11D2_A845_00805F2505DF_.wvu.PrintTitles" localSheetId="4" hidden="1">PriceAlberta!$1:$5</definedName>
    <definedName name="Z_70785CCB_A4C6_11D2_A845_00805F2505DF_.wvu.PrintTitles" localSheetId="6" hidden="1">PriceBC!$1:$5</definedName>
    <definedName name="Z_70785CCC_A4C6_11D2_A845_00805F2505DF_.wvu.PrintArea" localSheetId="8" hidden="1">PriceEOL!$A$120:$M$238</definedName>
    <definedName name="Z_70785CCC_A4C6_11D2_A845_00805F2505DF_.wvu.PrintTitles" localSheetId="8" hidden="1">PriceEOL!$1:$5</definedName>
    <definedName name="Z_70785CCD_A4C6_11D2_A845_00805F2505DF_.wvu.PrintArea" localSheetId="9" hidden="1">EOLIndex!$A$120:$M$238</definedName>
    <definedName name="Z_70785CCD_A4C6_11D2_A845_00805F2505DF_.wvu.PrintTitles" localSheetId="9" hidden="1">EOLIndex!$1:$5</definedName>
    <definedName name="Z_70785CCE_A4C6_11D2_A845_00805F2505DF_.wvu.PrintArea" localSheetId="11" hidden="1">OptionsIndex!$A$120:$M$238</definedName>
    <definedName name="Z_70785CCE_A4C6_11D2_A845_00805F2505DF_.wvu.PrintTitles" localSheetId="11" hidden="1">OptionsIndex!$1:$5</definedName>
    <definedName name="Z_70785CCF_A4C6_11D2_A845_00805F2505DF_.wvu.PrintArea" localSheetId="12" hidden="1">Straddle!$A$120:$M$238</definedName>
    <definedName name="Z_70785CCF_A4C6_11D2_A845_00805F2505DF_.wvu.PrintTitles" localSheetId="12" hidden="1">Straddle!$1:$5</definedName>
    <definedName name="Z_70785CD0_A4C6_11D2_A845_00805F2505DF_.wvu.PrintArea" localSheetId="18" hidden="1">'US $'!$A$120:$M$238</definedName>
    <definedName name="Z_70785CD0_A4C6_11D2_A845_00805F2505DF_.wvu.PrintTitles" localSheetId="18" hidden="1">'US $'!$1:$5</definedName>
    <definedName name="Z_76D54FA7_89F3_11D2_B05A_00104B2CC235_.wvu.PrintArea" localSheetId="5" hidden="1">AlbertaIndex!$A$6:$R$39</definedName>
    <definedName name="Z_76D54FA7_89F3_11D2_B05A_00104B2CC235_.wvu.PrintArea" localSheetId="7" hidden="1">BCIndex!$A$6:$R$39</definedName>
    <definedName name="Z_76D54FA7_89F3_11D2_B05A_00104B2CC235_.wvu.PrintTitles" localSheetId="5" hidden="1">AlbertaIndex!$1:$5</definedName>
    <definedName name="Z_76D54FA7_89F3_11D2_B05A_00104B2CC235_.wvu.PrintTitles" localSheetId="7" hidden="1">BCIndex!$1:$5</definedName>
    <definedName name="Z_76D54FA8_89F3_11D2_B05A_00104B2CC235_.wvu.PrintArea" localSheetId="10" hidden="1">Options!$A$6:$R$39</definedName>
    <definedName name="Z_76D54FA8_89F3_11D2_B05A_00104B2CC235_.wvu.PrintArea" localSheetId="13" hidden="1">OptionsProp!$A$6:$R$39</definedName>
    <definedName name="Z_76D54FA8_89F3_11D2_B05A_00104B2CC235_.wvu.PrintTitles" localSheetId="10" hidden="1">Options!$1:$5</definedName>
    <definedName name="Z_76D54FA8_89F3_11D2_B05A_00104B2CC235_.wvu.PrintTitles" localSheetId="13" hidden="1">OptionsProp!$1:$5</definedName>
    <definedName name="Z_76D54FA9_89F3_11D2_B05A_00104B2CC235_.wvu.PrintArea" localSheetId="20" hidden="1">'Price - East '!$A$6:$R$39</definedName>
    <definedName name="Z_76D54FA9_89F3_11D2_B05A_00104B2CC235_.wvu.PrintTitles" localSheetId="20" hidden="1">'Price - East '!$1:$5</definedName>
    <definedName name="Z_76D54FAA_89F3_11D2_B05A_00104B2CC235_.wvu.PrintArea" localSheetId="4" hidden="1">PriceAlberta!$A$6:$R$39</definedName>
    <definedName name="Z_76D54FAA_89F3_11D2_B05A_00104B2CC235_.wvu.PrintArea" localSheetId="6" hidden="1">PriceBC!$A$6:$R$39</definedName>
    <definedName name="Z_76D54FAA_89F3_11D2_B05A_00104B2CC235_.wvu.PrintTitles" localSheetId="4" hidden="1">PriceAlberta!$1:$5</definedName>
    <definedName name="Z_76D54FAA_89F3_11D2_B05A_00104B2CC235_.wvu.PrintTitles" localSheetId="6" hidden="1">PriceBC!$1:$5</definedName>
    <definedName name="Z_76D54FAB_89F3_11D2_B05A_00104B2CC235_.wvu.PrintArea" localSheetId="8" hidden="1">PriceEOL!$A$6:$R$39</definedName>
    <definedName name="Z_76D54FAB_89F3_11D2_B05A_00104B2CC235_.wvu.PrintTitles" localSheetId="8" hidden="1">PriceEOL!$1:$5</definedName>
    <definedName name="Z_76D54FAC_89F3_11D2_B05A_00104B2CC235_.wvu.PrintArea" localSheetId="9" hidden="1">EOLIndex!$A$6:$R$39</definedName>
    <definedName name="Z_76D54FAC_89F3_11D2_B05A_00104B2CC235_.wvu.PrintTitles" localSheetId="9" hidden="1">EOLIndex!$1:$5</definedName>
    <definedName name="Z_76D54FAD_89F3_11D2_B05A_00104B2CC235_.wvu.PrintArea" localSheetId="11" hidden="1">OptionsIndex!$A$6:$R$39</definedName>
    <definedName name="Z_76D54FAD_89F3_11D2_B05A_00104B2CC235_.wvu.PrintTitles" localSheetId="11" hidden="1">OptionsIndex!$1:$5</definedName>
    <definedName name="Z_76D54FAE_89F3_11D2_B05A_00104B2CC235_.wvu.PrintArea" localSheetId="12" hidden="1">Straddle!$A$6:$R$39</definedName>
    <definedName name="Z_76D54FAE_89F3_11D2_B05A_00104B2CC235_.wvu.PrintTitles" localSheetId="12" hidden="1">Straddle!$1:$5</definedName>
    <definedName name="Z_76D54FAF_89F3_11D2_B05A_00104B2CC235_.wvu.PrintArea" localSheetId="18" hidden="1">'US $'!$A$6:$R$39</definedName>
    <definedName name="Z_76D54FAF_89F3_11D2_B05A_00104B2CC235_.wvu.PrintTitles" localSheetId="18" hidden="1">'US $'!$1:$5</definedName>
    <definedName name="Z_76D54FB0_89F3_11D2_B05A_00104B2CC235_.wvu.PrintArea" localSheetId="5" hidden="1">AlbertaIndex!$A$40:$AG$118</definedName>
    <definedName name="Z_76D54FB0_89F3_11D2_B05A_00104B2CC235_.wvu.PrintArea" localSheetId="7" hidden="1">BCIndex!$A$40:$AG$118</definedName>
    <definedName name="Z_76D54FB0_89F3_11D2_B05A_00104B2CC235_.wvu.PrintTitles" localSheetId="5" hidden="1">AlbertaIndex!$1:$5</definedName>
    <definedName name="Z_76D54FB0_89F3_11D2_B05A_00104B2CC235_.wvu.PrintTitles" localSheetId="7" hidden="1">BCIndex!$1:$5</definedName>
    <definedName name="Z_76D54FB1_89F3_11D2_B05A_00104B2CC235_.wvu.PrintArea" localSheetId="10" hidden="1">Options!$A$40:$AG$118</definedName>
    <definedName name="Z_76D54FB1_89F3_11D2_B05A_00104B2CC235_.wvu.PrintArea" localSheetId="13" hidden="1">OptionsProp!$A$40:$AG$118</definedName>
    <definedName name="Z_76D54FB1_89F3_11D2_B05A_00104B2CC235_.wvu.PrintTitles" localSheetId="10" hidden="1">Options!$1:$5</definedName>
    <definedName name="Z_76D54FB1_89F3_11D2_B05A_00104B2CC235_.wvu.PrintTitles" localSheetId="13" hidden="1">OptionsProp!$1:$5</definedName>
    <definedName name="Z_76D54FB2_89F3_11D2_B05A_00104B2CC235_.wvu.PrintArea" localSheetId="20" hidden="1">'Price - East '!$A$40:$AG$118</definedName>
    <definedName name="Z_76D54FB2_89F3_11D2_B05A_00104B2CC235_.wvu.PrintTitles" localSheetId="20" hidden="1">'Price - East '!$1:$5</definedName>
    <definedName name="Z_76D54FB3_89F3_11D2_B05A_00104B2CC235_.wvu.PrintArea" localSheetId="4" hidden="1">PriceAlberta!$A$40:$AG$118</definedName>
    <definedName name="Z_76D54FB3_89F3_11D2_B05A_00104B2CC235_.wvu.PrintArea" localSheetId="6" hidden="1">PriceBC!$A$40:$AG$118</definedName>
    <definedName name="Z_76D54FB3_89F3_11D2_B05A_00104B2CC235_.wvu.PrintTitles" localSheetId="4" hidden="1">PriceAlberta!$1:$5</definedName>
    <definedName name="Z_76D54FB3_89F3_11D2_B05A_00104B2CC235_.wvu.PrintTitles" localSheetId="6" hidden="1">PriceBC!$1:$5</definedName>
    <definedName name="Z_76D54FB4_89F3_11D2_B05A_00104B2CC235_.wvu.PrintArea" localSheetId="8" hidden="1">PriceEOL!$A$40:$AG$118</definedName>
    <definedName name="Z_76D54FB4_89F3_11D2_B05A_00104B2CC235_.wvu.PrintTitles" localSheetId="8" hidden="1">PriceEOL!$1:$5</definedName>
    <definedName name="Z_76D54FB5_89F3_11D2_B05A_00104B2CC235_.wvu.PrintArea" localSheetId="9" hidden="1">EOLIndex!$A$40:$AG$118</definedName>
    <definedName name="Z_76D54FB5_89F3_11D2_B05A_00104B2CC235_.wvu.PrintTitles" localSheetId="9" hidden="1">EOLIndex!$1:$5</definedName>
    <definedName name="Z_76D54FB6_89F3_11D2_B05A_00104B2CC235_.wvu.PrintArea" localSheetId="11" hidden="1">OptionsIndex!$A$40:$AG$118</definedName>
    <definedName name="Z_76D54FB6_89F3_11D2_B05A_00104B2CC235_.wvu.PrintTitles" localSheetId="11" hidden="1">OptionsIndex!$1:$5</definedName>
    <definedName name="Z_76D54FB7_89F3_11D2_B05A_00104B2CC235_.wvu.PrintArea" localSheetId="12" hidden="1">Straddle!$A$40:$AG$118</definedName>
    <definedName name="Z_76D54FB7_89F3_11D2_B05A_00104B2CC235_.wvu.PrintTitles" localSheetId="12" hidden="1">Straddle!$1:$5</definedName>
    <definedName name="Z_76D54FB8_89F3_11D2_B05A_00104B2CC235_.wvu.PrintArea" localSheetId="18" hidden="1">'US $'!$A$40:$AG$118</definedName>
    <definedName name="Z_76D54FB8_89F3_11D2_B05A_00104B2CC235_.wvu.PrintTitles" localSheetId="18" hidden="1">'US $'!$1:$5</definedName>
    <definedName name="Z_76D54FB9_89F3_11D2_B05A_00104B2CC235_.wvu.PrintArea" localSheetId="5" hidden="1">AlbertaIndex!$A$120:$M$238</definedName>
    <definedName name="Z_76D54FB9_89F3_11D2_B05A_00104B2CC235_.wvu.PrintArea" localSheetId="7" hidden="1">BCIndex!$A$120:$M$238</definedName>
    <definedName name="Z_76D54FB9_89F3_11D2_B05A_00104B2CC235_.wvu.PrintTitles" localSheetId="5" hidden="1">AlbertaIndex!$1:$5</definedName>
    <definedName name="Z_76D54FB9_89F3_11D2_B05A_00104B2CC235_.wvu.PrintTitles" localSheetId="7" hidden="1">BCIndex!$1:$5</definedName>
    <definedName name="Z_76D54FBA_89F3_11D2_B05A_00104B2CC235_.wvu.PrintArea" localSheetId="10" hidden="1">Options!$A$120:$M$238</definedName>
    <definedName name="Z_76D54FBA_89F3_11D2_B05A_00104B2CC235_.wvu.PrintArea" localSheetId="13" hidden="1">OptionsProp!$A$120:$M$238</definedName>
    <definedName name="Z_76D54FBA_89F3_11D2_B05A_00104B2CC235_.wvu.PrintTitles" localSheetId="10" hidden="1">Options!$1:$5</definedName>
    <definedName name="Z_76D54FBA_89F3_11D2_B05A_00104B2CC235_.wvu.PrintTitles" localSheetId="13" hidden="1">OptionsProp!$1:$5</definedName>
    <definedName name="Z_76D54FBB_89F3_11D2_B05A_00104B2CC235_.wvu.PrintArea" localSheetId="20" hidden="1">'Price - East '!$A$120:$M$238</definedName>
    <definedName name="Z_76D54FBB_89F3_11D2_B05A_00104B2CC235_.wvu.PrintTitles" localSheetId="20" hidden="1">'Price - East '!$1:$5</definedName>
    <definedName name="Z_76D54FBC_89F3_11D2_B05A_00104B2CC235_.wvu.PrintArea" localSheetId="4" hidden="1">PriceAlberta!$A$120:$M$237</definedName>
    <definedName name="Z_76D54FBC_89F3_11D2_B05A_00104B2CC235_.wvu.PrintArea" localSheetId="6" hidden="1">PriceBC!$A$120:$M$237</definedName>
    <definedName name="Z_76D54FBC_89F3_11D2_B05A_00104B2CC235_.wvu.PrintTitles" localSheetId="4" hidden="1">PriceAlberta!$1:$5</definedName>
    <definedName name="Z_76D54FBC_89F3_11D2_B05A_00104B2CC235_.wvu.PrintTitles" localSheetId="6" hidden="1">PriceBC!$1:$5</definedName>
    <definedName name="Z_76D54FBD_89F3_11D2_B05A_00104B2CC235_.wvu.PrintArea" localSheetId="8" hidden="1">PriceEOL!$A$120:$M$238</definedName>
    <definedName name="Z_76D54FBD_89F3_11D2_B05A_00104B2CC235_.wvu.PrintTitles" localSheetId="8" hidden="1">PriceEOL!$1:$5</definedName>
    <definedName name="Z_76D54FBE_89F3_11D2_B05A_00104B2CC235_.wvu.PrintArea" localSheetId="9" hidden="1">EOLIndex!$A$120:$M$238</definedName>
    <definedName name="Z_76D54FBE_89F3_11D2_B05A_00104B2CC235_.wvu.PrintTitles" localSheetId="9" hidden="1">EOLIndex!$1:$5</definedName>
    <definedName name="Z_76D54FBF_89F3_11D2_B05A_00104B2CC235_.wvu.PrintArea" localSheetId="11" hidden="1">OptionsIndex!$A$120:$M$238</definedName>
    <definedName name="Z_76D54FBF_89F3_11D2_B05A_00104B2CC235_.wvu.PrintTitles" localSheetId="11" hidden="1">OptionsIndex!$1:$5</definedName>
    <definedName name="Z_76D54FC0_89F3_11D2_B05A_00104B2CC235_.wvu.PrintArea" localSheetId="12" hidden="1">Straddle!$A$120:$M$238</definedName>
    <definedName name="Z_76D54FC0_89F3_11D2_B05A_00104B2CC235_.wvu.PrintTitles" localSheetId="12" hidden="1">Straddle!$1:$5</definedName>
    <definedName name="Z_76D54FC1_89F3_11D2_B05A_00104B2CC235_.wvu.PrintArea" localSheetId="18" hidden="1">'US $'!$A$120:$M$238</definedName>
    <definedName name="Z_76D54FC1_89F3_11D2_B05A_00104B2CC235_.wvu.PrintTitles" localSheetId="18" hidden="1">'US $'!$1:$5</definedName>
    <definedName name="Z_7B7539EC_B7B8_11D2_A856_00805F2505DF_.wvu.PrintArea" localSheetId="5" hidden="1">AlbertaIndex!$A$6:$R$39</definedName>
    <definedName name="Z_7B7539EC_B7B8_11D2_A856_00805F2505DF_.wvu.PrintArea" localSheetId="7" hidden="1">BCIndex!$A$6:$R$39</definedName>
    <definedName name="Z_7B7539EC_B7B8_11D2_A856_00805F2505DF_.wvu.PrintTitles" localSheetId="5" hidden="1">AlbertaIndex!$1:$5</definedName>
    <definedName name="Z_7B7539EC_B7B8_11D2_A856_00805F2505DF_.wvu.PrintTitles" localSheetId="7" hidden="1">BCIndex!$1:$5</definedName>
    <definedName name="Z_7B7539ED_B7B8_11D2_A856_00805F2505DF_.wvu.PrintArea" localSheetId="10" hidden="1">Options!$A$6:$R$39</definedName>
    <definedName name="Z_7B7539ED_B7B8_11D2_A856_00805F2505DF_.wvu.PrintArea" localSheetId="13" hidden="1">OptionsProp!$A$6:$R$39</definedName>
    <definedName name="Z_7B7539ED_B7B8_11D2_A856_00805F2505DF_.wvu.PrintTitles" localSheetId="10" hidden="1">Options!$1:$5</definedName>
    <definedName name="Z_7B7539ED_B7B8_11D2_A856_00805F2505DF_.wvu.PrintTitles" localSheetId="13" hidden="1">OptionsProp!$1:$5</definedName>
    <definedName name="Z_7B7539EE_B7B8_11D2_A856_00805F2505DF_.wvu.PrintArea" localSheetId="20" hidden="1">'Price - East '!$A$6:$R$39</definedName>
    <definedName name="Z_7B7539EE_B7B8_11D2_A856_00805F2505DF_.wvu.PrintTitles" localSheetId="20" hidden="1">'Price - East '!$1:$5</definedName>
    <definedName name="Z_7B7539EF_B7B8_11D2_A856_00805F2505DF_.wvu.PrintArea" localSheetId="4" hidden="1">PriceAlberta!$A$6:$R$39</definedName>
    <definedName name="Z_7B7539EF_B7B8_11D2_A856_00805F2505DF_.wvu.PrintArea" localSheetId="6" hidden="1">PriceBC!$A$6:$R$39</definedName>
    <definedName name="Z_7B7539EF_B7B8_11D2_A856_00805F2505DF_.wvu.PrintTitles" localSheetId="4" hidden="1">PriceAlberta!$1:$5</definedName>
    <definedName name="Z_7B7539EF_B7B8_11D2_A856_00805F2505DF_.wvu.PrintTitles" localSheetId="6" hidden="1">PriceBC!$1:$5</definedName>
    <definedName name="Z_7B7539F0_B7B8_11D2_A856_00805F2505DF_.wvu.PrintArea" localSheetId="8" hidden="1">PriceEOL!$A$6:$R$39</definedName>
    <definedName name="Z_7B7539F0_B7B8_11D2_A856_00805F2505DF_.wvu.PrintTitles" localSheetId="8" hidden="1">PriceEOL!$1:$5</definedName>
    <definedName name="Z_7B7539F1_B7B8_11D2_A856_00805F2505DF_.wvu.PrintArea" localSheetId="9" hidden="1">EOLIndex!$A$6:$R$39</definedName>
    <definedName name="Z_7B7539F1_B7B8_11D2_A856_00805F2505DF_.wvu.PrintTitles" localSheetId="9" hidden="1">EOLIndex!$1:$5</definedName>
    <definedName name="Z_7B7539F2_B7B8_11D2_A856_00805F2505DF_.wvu.PrintArea" localSheetId="11" hidden="1">OptionsIndex!$A$6:$R$39</definedName>
    <definedName name="Z_7B7539F2_B7B8_11D2_A856_00805F2505DF_.wvu.PrintTitles" localSheetId="11" hidden="1">OptionsIndex!$1:$5</definedName>
    <definedName name="Z_7B7539F3_B7B8_11D2_A856_00805F2505DF_.wvu.PrintArea" localSheetId="12" hidden="1">Straddle!$A$6:$R$39</definedName>
    <definedName name="Z_7B7539F3_B7B8_11D2_A856_00805F2505DF_.wvu.PrintTitles" localSheetId="12" hidden="1">Straddle!$1:$5</definedName>
    <definedName name="Z_7B7539F4_B7B8_11D2_A856_00805F2505DF_.wvu.PrintArea" localSheetId="18" hidden="1">'US $'!$A$6:$R$39</definedName>
    <definedName name="Z_7B7539F4_B7B8_11D2_A856_00805F2505DF_.wvu.PrintTitles" localSheetId="18" hidden="1">'US $'!$1:$5</definedName>
    <definedName name="Z_7B7539F5_B7B8_11D2_A856_00805F2505DF_.wvu.PrintArea" localSheetId="5" hidden="1">AlbertaIndex!$A$40:$AG$118</definedName>
    <definedName name="Z_7B7539F5_B7B8_11D2_A856_00805F2505DF_.wvu.PrintArea" localSheetId="7" hidden="1">BCIndex!$A$40:$AG$118</definedName>
    <definedName name="Z_7B7539F5_B7B8_11D2_A856_00805F2505DF_.wvu.PrintTitles" localSheetId="5" hidden="1">AlbertaIndex!$1:$5</definedName>
    <definedName name="Z_7B7539F5_B7B8_11D2_A856_00805F2505DF_.wvu.PrintTitles" localSheetId="7" hidden="1">BCIndex!$1:$5</definedName>
    <definedName name="Z_7B7539F6_B7B8_11D2_A856_00805F2505DF_.wvu.PrintArea" localSheetId="10" hidden="1">Options!$A$40:$AG$118</definedName>
    <definedName name="Z_7B7539F6_B7B8_11D2_A856_00805F2505DF_.wvu.PrintArea" localSheetId="13" hidden="1">OptionsProp!$A$40:$AG$118</definedName>
    <definedName name="Z_7B7539F6_B7B8_11D2_A856_00805F2505DF_.wvu.PrintTitles" localSheetId="10" hidden="1">Options!$1:$5</definedName>
    <definedName name="Z_7B7539F6_B7B8_11D2_A856_00805F2505DF_.wvu.PrintTitles" localSheetId="13" hidden="1">OptionsProp!$1:$5</definedName>
    <definedName name="Z_7B7539F7_B7B8_11D2_A856_00805F2505DF_.wvu.PrintArea" localSheetId="20" hidden="1">'Price - East '!$A$40:$AG$118</definedName>
    <definedName name="Z_7B7539F7_B7B8_11D2_A856_00805F2505DF_.wvu.PrintTitles" localSheetId="20" hidden="1">'Price - East '!$1:$5</definedName>
    <definedName name="Z_7B7539F8_B7B8_11D2_A856_00805F2505DF_.wvu.PrintArea" localSheetId="4" hidden="1">PriceAlberta!$A$40:$AG$118</definedName>
    <definedName name="Z_7B7539F8_B7B8_11D2_A856_00805F2505DF_.wvu.PrintArea" localSheetId="6" hidden="1">PriceBC!$A$40:$AG$118</definedName>
    <definedName name="Z_7B7539F8_B7B8_11D2_A856_00805F2505DF_.wvu.PrintTitles" localSheetId="4" hidden="1">PriceAlberta!$1:$5</definedName>
    <definedName name="Z_7B7539F8_B7B8_11D2_A856_00805F2505DF_.wvu.PrintTitles" localSheetId="6" hidden="1">PriceBC!$1:$5</definedName>
    <definedName name="Z_7B7539F9_B7B8_11D2_A856_00805F2505DF_.wvu.PrintArea" localSheetId="8" hidden="1">PriceEOL!$A$40:$AG$118</definedName>
    <definedName name="Z_7B7539F9_B7B8_11D2_A856_00805F2505DF_.wvu.PrintTitles" localSheetId="8" hidden="1">PriceEOL!$1:$5</definedName>
    <definedName name="Z_7B7539FA_B7B8_11D2_A856_00805F2505DF_.wvu.PrintArea" localSheetId="9" hidden="1">EOLIndex!$A$40:$AG$118</definedName>
    <definedName name="Z_7B7539FA_B7B8_11D2_A856_00805F2505DF_.wvu.PrintTitles" localSheetId="9" hidden="1">EOLIndex!$1:$5</definedName>
    <definedName name="Z_7B7539FB_B7B8_11D2_A856_00805F2505DF_.wvu.PrintArea" localSheetId="11" hidden="1">OptionsIndex!$A$40:$AG$118</definedName>
    <definedName name="Z_7B7539FB_B7B8_11D2_A856_00805F2505DF_.wvu.PrintTitles" localSheetId="11" hidden="1">OptionsIndex!$1:$5</definedName>
    <definedName name="Z_7B7539FC_B7B8_11D2_A856_00805F2505DF_.wvu.PrintArea" localSheetId="12" hidden="1">Straddle!$A$40:$AG$118</definedName>
    <definedName name="Z_7B7539FC_B7B8_11D2_A856_00805F2505DF_.wvu.PrintTitles" localSheetId="12" hidden="1">Straddle!$1:$5</definedName>
    <definedName name="Z_7B7539FD_B7B8_11D2_A856_00805F2505DF_.wvu.PrintArea" localSheetId="18" hidden="1">'US $'!$A$40:$AG$118</definedName>
    <definedName name="Z_7B7539FD_B7B8_11D2_A856_00805F2505DF_.wvu.PrintTitles" localSheetId="18" hidden="1">'US $'!$1:$5</definedName>
    <definedName name="Z_7B7539FE_B7B8_11D2_A856_00805F2505DF_.wvu.PrintArea" localSheetId="5" hidden="1">AlbertaIndex!$A$120:$M$238</definedName>
    <definedName name="Z_7B7539FE_B7B8_11D2_A856_00805F2505DF_.wvu.PrintArea" localSheetId="7" hidden="1">BCIndex!$A$120:$M$238</definedName>
    <definedName name="Z_7B7539FE_B7B8_11D2_A856_00805F2505DF_.wvu.PrintTitles" localSheetId="5" hidden="1">AlbertaIndex!$1:$5</definedName>
    <definedName name="Z_7B7539FE_B7B8_11D2_A856_00805F2505DF_.wvu.PrintTitles" localSheetId="7" hidden="1">BCIndex!$1:$5</definedName>
    <definedName name="Z_7B7539FF_B7B8_11D2_A856_00805F2505DF_.wvu.PrintArea" localSheetId="10" hidden="1">Options!$A$120:$M$238</definedName>
    <definedName name="Z_7B7539FF_B7B8_11D2_A856_00805F2505DF_.wvu.PrintArea" localSheetId="13" hidden="1">OptionsProp!$A$120:$M$238</definedName>
    <definedName name="Z_7B7539FF_B7B8_11D2_A856_00805F2505DF_.wvu.PrintTitles" localSheetId="10" hidden="1">Options!$1:$5</definedName>
    <definedName name="Z_7B7539FF_B7B8_11D2_A856_00805F2505DF_.wvu.PrintTitles" localSheetId="13" hidden="1">OptionsProp!$1:$5</definedName>
    <definedName name="Z_7B753A00_B7B8_11D2_A856_00805F2505DF_.wvu.PrintArea" localSheetId="20" hidden="1">'Price - East '!$A$120:$M$238</definedName>
    <definedName name="Z_7B753A00_B7B8_11D2_A856_00805F2505DF_.wvu.PrintTitles" localSheetId="20" hidden="1">'Price - East '!$1:$5</definedName>
    <definedName name="Z_7B753A01_B7B8_11D2_A856_00805F2505DF_.wvu.PrintArea" localSheetId="4" hidden="1">PriceAlberta!$A$120:$M$237</definedName>
    <definedName name="Z_7B753A01_B7B8_11D2_A856_00805F2505DF_.wvu.PrintArea" localSheetId="6" hidden="1">PriceBC!$A$120:$M$237</definedName>
    <definedName name="Z_7B753A01_B7B8_11D2_A856_00805F2505DF_.wvu.PrintTitles" localSheetId="4" hidden="1">PriceAlberta!$1:$5</definedName>
    <definedName name="Z_7B753A01_B7B8_11D2_A856_00805F2505DF_.wvu.PrintTitles" localSheetId="6" hidden="1">PriceBC!$1:$5</definedName>
    <definedName name="Z_7B753A02_B7B8_11D2_A856_00805F2505DF_.wvu.PrintArea" localSheetId="8" hidden="1">PriceEOL!$A$120:$M$238</definedName>
    <definedName name="Z_7B753A02_B7B8_11D2_A856_00805F2505DF_.wvu.PrintTitles" localSheetId="8" hidden="1">PriceEOL!$1:$5</definedName>
    <definedName name="Z_7B753A03_B7B8_11D2_A856_00805F2505DF_.wvu.PrintArea" localSheetId="9" hidden="1">EOLIndex!$A$120:$M$238</definedName>
    <definedName name="Z_7B753A03_B7B8_11D2_A856_00805F2505DF_.wvu.PrintTitles" localSheetId="9" hidden="1">EOLIndex!$1:$5</definedName>
    <definedName name="Z_7B753A04_B7B8_11D2_A856_00805F2505DF_.wvu.PrintArea" localSheetId="11" hidden="1">OptionsIndex!$A$120:$M$238</definedName>
    <definedName name="Z_7B753A04_B7B8_11D2_A856_00805F2505DF_.wvu.PrintTitles" localSheetId="11" hidden="1">OptionsIndex!$1:$5</definedName>
    <definedName name="Z_7B753A05_B7B8_11D2_A856_00805F2505DF_.wvu.PrintArea" localSheetId="12" hidden="1">Straddle!$A$120:$M$238</definedName>
    <definedName name="Z_7B753A05_B7B8_11D2_A856_00805F2505DF_.wvu.PrintTitles" localSheetId="12" hidden="1">Straddle!$1:$5</definedName>
    <definedName name="Z_7B753A06_B7B8_11D2_A856_00805F2505DF_.wvu.PrintArea" localSheetId="18" hidden="1">'US $'!$A$120:$M$238</definedName>
    <definedName name="Z_7B753A06_B7B8_11D2_A856_00805F2505DF_.wvu.PrintTitles" localSheetId="18" hidden="1">'US $'!$1:$5</definedName>
    <definedName name="Z_7C160640_B226_11D2_A850_00805F2505DF_.wvu.PrintArea" localSheetId="5" hidden="1">AlbertaIndex!$A$6:$R$39</definedName>
    <definedName name="Z_7C160640_B226_11D2_A850_00805F2505DF_.wvu.PrintArea" localSheetId="7" hidden="1">BCIndex!$A$6:$R$39</definedName>
    <definedName name="Z_7C160640_B226_11D2_A850_00805F2505DF_.wvu.PrintTitles" localSheetId="5" hidden="1">AlbertaIndex!$1:$5</definedName>
    <definedName name="Z_7C160640_B226_11D2_A850_00805F2505DF_.wvu.PrintTitles" localSheetId="7" hidden="1">BCIndex!$1:$5</definedName>
    <definedName name="Z_7C160641_B226_11D2_A850_00805F2505DF_.wvu.PrintArea" localSheetId="10" hidden="1">Options!$A$6:$R$39</definedName>
    <definedName name="Z_7C160641_B226_11D2_A850_00805F2505DF_.wvu.PrintArea" localSheetId="13" hidden="1">OptionsProp!$A$6:$R$39</definedName>
    <definedName name="Z_7C160641_B226_11D2_A850_00805F2505DF_.wvu.PrintTitles" localSheetId="10" hidden="1">Options!$1:$5</definedName>
    <definedName name="Z_7C160641_B226_11D2_A850_00805F2505DF_.wvu.PrintTitles" localSheetId="13" hidden="1">OptionsProp!$1:$5</definedName>
    <definedName name="Z_7C160642_B226_11D2_A850_00805F2505DF_.wvu.PrintArea" localSheetId="20" hidden="1">'Price - East '!$A$6:$R$39</definedName>
    <definedName name="Z_7C160642_B226_11D2_A850_00805F2505DF_.wvu.PrintTitles" localSheetId="20" hidden="1">'Price - East '!$1:$5</definedName>
    <definedName name="Z_7C160643_B226_11D2_A850_00805F2505DF_.wvu.PrintArea" localSheetId="4" hidden="1">PriceAlberta!$A$6:$R$39</definedName>
    <definedName name="Z_7C160643_B226_11D2_A850_00805F2505DF_.wvu.PrintArea" localSheetId="6" hidden="1">PriceBC!$A$6:$R$39</definedName>
    <definedName name="Z_7C160643_B226_11D2_A850_00805F2505DF_.wvu.PrintTitles" localSheetId="4" hidden="1">PriceAlberta!$1:$5</definedName>
    <definedName name="Z_7C160643_B226_11D2_A850_00805F2505DF_.wvu.PrintTitles" localSheetId="6" hidden="1">PriceBC!$1:$5</definedName>
    <definedName name="Z_7C160644_B226_11D2_A850_00805F2505DF_.wvu.PrintArea" localSheetId="8" hidden="1">PriceEOL!$A$6:$R$39</definedName>
    <definedName name="Z_7C160644_B226_11D2_A850_00805F2505DF_.wvu.PrintTitles" localSheetId="8" hidden="1">PriceEOL!$1:$5</definedName>
    <definedName name="Z_7C160645_B226_11D2_A850_00805F2505DF_.wvu.PrintArea" localSheetId="9" hidden="1">EOLIndex!$A$6:$R$39</definedName>
    <definedName name="Z_7C160645_B226_11D2_A850_00805F2505DF_.wvu.PrintTitles" localSheetId="9" hidden="1">EOLIndex!$1:$5</definedName>
    <definedName name="Z_7C160646_B226_11D2_A850_00805F2505DF_.wvu.PrintArea" localSheetId="11" hidden="1">OptionsIndex!$A$6:$R$39</definedName>
    <definedName name="Z_7C160646_B226_11D2_A850_00805F2505DF_.wvu.PrintTitles" localSheetId="11" hidden="1">OptionsIndex!$1:$5</definedName>
    <definedName name="Z_7C160647_B226_11D2_A850_00805F2505DF_.wvu.PrintArea" localSheetId="12" hidden="1">Straddle!$A$6:$R$39</definedName>
    <definedName name="Z_7C160647_B226_11D2_A850_00805F2505DF_.wvu.PrintTitles" localSheetId="12" hidden="1">Straddle!$1:$5</definedName>
    <definedName name="Z_7C160648_B226_11D2_A850_00805F2505DF_.wvu.PrintArea" localSheetId="18" hidden="1">'US $'!$A$6:$R$39</definedName>
    <definedName name="Z_7C160648_B226_11D2_A850_00805F2505DF_.wvu.PrintTitles" localSheetId="18" hidden="1">'US $'!$1:$5</definedName>
    <definedName name="Z_7C160649_B226_11D2_A850_00805F2505DF_.wvu.PrintArea" localSheetId="5" hidden="1">AlbertaIndex!$A$40:$AG$118</definedName>
    <definedName name="Z_7C160649_B226_11D2_A850_00805F2505DF_.wvu.PrintArea" localSheetId="7" hidden="1">BCIndex!$A$40:$AG$118</definedName>
    <definedName name="Z_7C160649_B226_11D2_A850_00805F2505DF_.wvu.PrintTitles" localSheetId="5" hidden="1">AlbertaIndex!$1:$5</definedName>
    <definedName name="Z_7C160649_B226_11D2_A850_00805F2505DF_.wvu.PrintTitles" localSheetId="7" hidden="1">BCIndex!$1:$5</definedName>
    <definedName name="Z_7C16064A_B226_11D2_A850_00805F2505DF_.wvu.PrintArea" localSheetId="10" hidden="1">Options!$A$40:$AG$118</definedName>
    <definedName name="Z_7C16064A_B226_11D2_A850_00805F2505DF_.wvu.PrintArea" localSheetId="13" hidden="1">OptionsProp!$A$40:$AG$118</definedName>
    <definedName name="Z_7C16064A_B226_11D2_A850_00805F2505DF_.wvu.PrintTitles" localSheetId="10" hidden="1">Options!$1:$5</definedName>
    <definedName name="Z_7C16064A_B226_11D2_A850_00805F2505DF_.wvu.PrintTitles" localSheetId="13" hidden="1">OptionsProp!$1:$5</definedName>
    <definedName name="Z_7C16064B_B226_11D2_A850_00805F2505DF_.wvu.PrintArea" localSheetId="20" hidden="1">'Price - East '!$A$40:$AG$118</definedName>
    <definedName name="Z_7C16064B_B226_11D2_A850_00805F2505DF_.wvu.PrintTitles" localSheetId="20" hidden="1">'Price - East '!$1:$5</definedName>
    <definedName name="Z_7C16064C_B226_11D2_A850_00805F2505DF_.wvu.PrintArea" localSheetId="4" hidden="1">PriceAlberta!$A$40:$AG$118</definedName>
    <definedName name="Z_7C16064C_B226_11D2_A850_00805F2505DF_.wvu.PrintArea" localSheetId="6" hidden="1">PriceBC!$A$40:$AG$118</definedName>
    <definedName name="Z_7C16064C_B226_11D2_A850_00805F2505DF_.wvu.PrintTitles" localSheetId="4" hidden="1">PriceAlberta!$1:$5</definedName>
    <definedName name="Z_7C16064C_B226_11D2_A850_00805F2505DF_.wvu.PrintTitles" localSheetId="6" hidden="1">PriceBC!$1:$5</definedName>
    <definedName name="Z_7C16064D_B226_11D2_A850_00805F2505DF_.wvu.PrintArea" localSheetId="8" hidden="1">PriceEOL!$A$40:$AG$118</definedName>
    <definedName name="Z_7C16064D_B226_11D2_A850_00805F2505DF_.wvu.PrintTitles" localSheetId="8" hidden="1">PriceEOL!$1:$5</definedName>
    <definedName name="Z_7C16064E_B226_11D2_A850_00805F2505DF_.wvu.PrintArea" localSheetId="9" hidden="1">EOLIndex!$A$40:$AG$118</definedName>
    <definedName name="Z_7C16064E_B226_11D2_A850_00805F2505DF_.wvu.PrintTitles" localSheetId="9" hidden="1">EOLIndex!$1:$5</definedName>
    <definedName name="Z_7C16064F_B226_11D2_A850_00805F2505DF_.wvu.PrintArea" localSheetId="11" hidden="1">OptionsIndex!$A$40:$AG$118</definedName>
    <definedName name="Z_7C16064F_B226_11D2_A850_00805F2505DF_.wvu.PrintTitles" localSheetId="11" hidden="1">OptionsIndex!$1:$5</definedName>
    <definedName name="Z_7C160650_B226_11D2_A850_00805F2505DF_.wvu.PrintArea" localSheetId="12" hidden="1">Straddle!$A$40:$AG$118</definedName>
    <definedName name="Z_7C160650_B226_11D2_A850_00805F2505DF_.wvu.PrintTitles" localSheetId="12" hidden="1">Straddle!$1:$5</definedName>
    <definedName name="Z_7C160651_B226_11D2_A850_00805F2505DF_.wvu.PrintArea" localSheetId="18" hidden="1">'US $'!$A$40:$AG$118</definedName>
    <definedName name="Z_7C160651_B226_11D2_A850_00805F2505DF_.wvu.PrintTitles" localSheetId="18" hidden="1">'US $'!$1:$5</definedName>
    <definedName name="Z_7C160652_B226_11D2_A850_00805F2505DF_.wvu.PrintArea" localSheetId="5" hidden="1">AlbertaIndex!$A$120:$M$238</definedName>
    <definedName name="Z_7C160652_B226_11D2_A850_00805F2505DF_.wvu.PrintArea" localSheetId="7" hidden="1">BCIndex!$A$120:$M$238</definedName>
    <definedName name="Z_7C160652_B226_11D2_A850_00805F2505DF_.wvu.PrintTitles" localSheetId="5" hidden="1">AlbertaIndex!$1:$5</definedName>
    <definedName name="Z_7C160652_B226_11D2_A850_00805F2505DF_.wvu.PrintTitles" localSheetId="7" hidden="1">BCIndex!$1:$5</definedName>
    <definedName name="Z_7C160653_B226_11D2_A850_00805F2505DF_.wvu.PrintArea" localSheetId="10" hidden="1">Options!$A$120:$M$238</definedName>
    <definedName name="Z_7C160653_B226_11D2_A850_00805F2505DF_.wvu.PrintArea" localSheetId="13" hidden="1">OptionsProp!$A$120:$M$238</definedName>
    <definedName name="Z_7C160653_B226_11D2_A850_00805F2505DF_.wvu.PrintTitles" localSheetId="10" hidden="1">Options!$1:$5</definedName>
    <definedName name="Z_7C160653_B226_11D2_A850_00805F2505DF_.wvu.PrintTitles" localSheetId="13" hidden="1">OptionsProp!$1:$5</definedName>
    <definedName name="Z_7C160654_B226_11D2_A850_00805F2505DF_.wvu.PrintArea" localSheetId="20" hidden="1">'Price - East '!$A$120:$M$238</definedName>
    <definedName name="Z_7C160654_B226_11D2_A850_00805F2505DF_.wvu.PrintTitles" localSheetId="20" hidden="1">'Price - East '!$1:$5</definedName>
    <definedName name="Z_7C160655_B226_11D2_A850_00805F2505DF_.wvu.PrintArea" localSheetId="4" hidden="1">PriceAlberta!$A$120:$M$237</definedName>
    <definedName name="Z_7C160655_B226_11D2_A850_00805F2505DF_.wvu.PrintArea" localSheetId="6" hidden="1">PriceBC!$A$120:$M$237</definedName>
    <definedName name="Z_7C160655_B226_11D2_A850_00805F2505DF_.wvu.PrintTitles" localSheetId="4" hidden="1">PriceAlberta!$1:$5</definedName>
    <definedName name="Z_7C160655_B226_11D2_A850_00805F2505DF_.wvu.PrintTitles" localSheetId="6" hidden="1">PriceBC!$1:$5</definedName>
    <definedName name="Z_7C160656_B226_11D2_A850_00805F2505DF_.wvu.PrintArea" localSheetId="8" hidden="1">PriceEOL!$A$120:$M$238</definedName>
    <definedName name="Z_7C160656_B226_11D2_A850_00805F2505DF_.wvu.PrintTitles" localSheetId="8" hidden="1">PriceEOL!$1:$5</definedName>
    <definedName name="Z_7C160657_B226_11D2_A850_00805F2505DF_.wvu.PrintArea" localSheetId="9" hidden="1">EOLIndex!$A$120:$M$238</definedName>
    <definedName name="Z_7C160657_B226_11D2_A850_00805F2505DF_.wvu.PrintTitles" localSheetId="9" hidden="1">EOLIndex!$1:$5</definedName>
    <definedName name="Z_7C160658_B226_11D2_A850_00805F2505DF_.wvu.PrintArea" localSheetId="11" hidden="1">OptionsIndex!$A$120:$M$238</definedName>
    <definedName name="Z_7C160658_B226_11D2_A850_00805F2505DF_.wvu.PrintTitles" localSheetId="11" hidden="1">OptionsIndex!$1:$5</definedName>
    <definedName name="Z_7C160659_B226_11D2_A850_00805F2505DF_.wvu.PrintArea" localSheetId="12" hidden="1">Straddle!$A$120:$M$238</definedName>
    <definedName name="Z_7C160659_B226_11D2_A850_00805F2505DF_.wvu.PrintTitles" localSheetId="12" hidden="1">Straddle!$1:$5</definedName>
    <definedName name="Z_7C16065A_B226_11D2_A850_00805F2505DF_.wvu.PrintArea" localSheetId="18" hidden="1">'US $'!$A$120:$M$238</definedName>
    <definedName name="Z_7C16065A_B226_11D2_A850_00805F2505DF_.wvu.PrintTitles" localSheetId="18" hidden="1">'US $'!$1:$5</definedName>
    <definedName name="Z_8106BDAD_AA5F_11D2_A84B_00805F2505DF_.wvu.PrintArea" localSheetId="5" hidden="1">AlbertaIndex!$A$6:$R$39</definedName>
    <definedName name="Z_8106BDAD_AA5F_11D2_A84B_00805F2505DF_.wvu.PrintArea" localSheetId="7" hidden="1">BCIndex!$A$6:$R$39</definedName>
    <definedName name="Z_8106BDAD_AA5F_11D2_A84B_00805F2505DF_.wvu.PrintTitles" localSheetId="5" hidden="1">AlbertaIndex!$1:$5</definedName>
    <definedName name="Z_8106BDAD_AA5F_11D2_A84B_00805F2505DF_.wvu.PrintTitles" localSheetId="7" hidden="1">BCIndex!$1:$5</definedName>
    <definedName name="Z_8106BDAE_AA5F_11D2_A84B_00805F2505DF_.wvu.PrintArea" localSheetId="10" hidden="1">Options!$A$6:$R$39</definedName>
    <definedName name="Z_8106BDAE_AA5F_11D2_A84B_00805F2505DF_.wvu.PrintArea" localSheetId="13" hidden="1">OptionsProp!$A$6:$R$39</definedName>
    <definedName name="Z_8106BDAE_AA5F_11D2_A84B_00805F2505DF_.wvu.PrintTitles" localSheetId="10" hidden="1">Options!$1:$5</definedName>
    <definedName name="Z_8106BDAE_AA5F_11D2_A84B_00805F2505DF_.wvu.PrintTitles" localSheetId="13" hidden="1">OptionsProp!$1:$5</definedName>
    <definedName name="Z_8106BDAF_AA5F_11D2_A84B_00805F2505DF_.wvu.PrintArea" localSheetId="20" hidden="1">'Price - East '!$A$6:$R$39</definedName>
    <definedName name="Z_8106BDAF_AA5F_11D2_A84B_00805F2505DF_.wvu.PrintTitles" localSheetId="20" hidden="1">'Price - East '!$1:$5</definedName>
    <definedName name="Z_8106BDB0_AA5F_11D2_A84B_00805F2505DF_.wvu.PrintArea" localSheetId="4" hidden="1">PriceAlberta!$A$6:$R$39</definedName>
    <definedName name="Z_8106BDB0_AA5F_11D2_A84B_00805F2505DF_.wvu.PrintArea" localSheetId="6" hidden="1">PriceBC!$A$6:$R$39</definedName>
    <definedName name="Z_8106BDB0_AA5F_11D2_A84B_00805F2505DF_.wvu.PrintTitles" localSheetId="4" hidden="1">PriceAlberta!$1:$5</definedName>
    <definedName name="Z_8106BDB0_AA5F_11D2_A84B_00805F2505DF_.wvu.PrintTitles" localSheetId="6" hidden="1">PriceBC!$1:$5</definedName>
    <definedName name="Z_8106BDB1_AA5F_11D2_A84B_00805F2505DF_.wvu.PrintArea" localSheetId="8" hidden="1">PriceEOL!$A$6:$R$39</definedName>
    <definedName name="Z_8106BDB1_AA5F_11D2_A84B_00805F2505DF_.wvu.PrintTitles" localSheetId="8" hidden="1">PriceEOL!$1:$5</definedName>
    <definedName name="Z_8106BDB2_AA5F_11D2_A84B_00805F2505DF_.wvu.PrintArea" localSheetId="9" hidden="1">EOLIndex!$A$6:$R$39</definedName>
    <definedName name="Z_8106BDB2_AA5F_11D2_A84B_00805F2505DF_.wvu.PrintTitles" localSheetId="9" hidden="1">EOLIndex!$1:$5</definedName>
    <definedName name="Z_8106BDB3_AA5F_11D2_A84B_00805F2505DF_.wvu.PrintArea" localSheetId="11" hidden="1">OptionsIndex!$A$6:$R$39</definedName>
    <definedName name="Z_8106BDB3_AA5F_11D2_A84B_00805F2505DF_.wvu.PrintTitles" localSheetId="11" hidden="1">OptionsIndex!$1:$5</definedName>
    <definedName name="Z_8106BDB4_AA5F_11D2_A84B_00805F2505DF_.wvu.PrintArea" localSheetId="12" hidden="1">Straddle!$A$6:$R$39</definedName>
    <definedName name="Z_8106BDB4_AA5F_11D2_A84B_00805F2505DF_.wvu.PrintTitles" localSheetId="12" hidden="1">Straddle!$1:$5</definedName>
    <definedName name="Z_8106BDB5_AA5F_11D2_A84B_00805F2505DF_.wvu.PrintArea" localSheetId="18" hidden="1">'US $'!$A$6:$R$39</definedName>
    <definedName name="Z_8106BDB5_AA5F_11D2_A84B_00805F2505DF_.wvu.PrintTitles" localSheetId="18" hidden="1">'US $'!$1:$5</definedName>
    <definedName name="Z_8106BDB6_AA5F_11D2_A84B_00805F2505DF_.wvu.PrintArea" localSheetId="5" hidden="1">AlbertaIndex!$A$40:$AG$118</definedName>
    <definedName name="Z_8106BDB6_AA5F_11D2_A84B_00805F2505DF_.wvu.PrintArea" localSheetId="7" hidden="1">BCIndex!$A$40:$AG$118</definedName>
    <definedName name="Z_8106BDB6_AA5F_11D2_A84B_00805F2505DF_.wvu.PrintTitles" localSheetId="5" hidden="1">AlbertaIndex!$1:$5</definedName>
    <definedName name="Z_8106BDB6_AA5F_11D2_A84B_00805F2505DF_.wvu.PrintTitles" localSheetId="7" hidden="1">BCIndex!$1:$5</definedName>
    <definedName name="Z_8106BDB7_AA5F_11D2_A84B_00805F2505DF_.wvu.PrintArea" localSheetId="10" hidden="1">Options!$A$40:$AG$118</definedName>
    <definedName name="Z_8106BDB7_AA5F_11D2_A84B_00805F2505DF_.wvu.PrintArea" localSheetId="13" hidden="1">OptionsProp!$A$40:$AG$118</definedName>
    <definedName name="Z_8106BDB7_AA5F_11D2_A84B_00805F2505DF_.wvu.PrintTitles" localSheetId="10" hidden="1">Options!$1:$5</definedName>
    <definedName name="Z_8106BDB7_AA5F_11D2_A84B_00805F2505DF_.wvu.PrintTitles" localSheetId="13" hidden="1">OptionsProp!$1:$5</definedName>
    <definedName name="Z_8106BDB8_AA5F_11D2_A84B_00805F2505DF_.wvu.PrintArea" localSheetId="20" hidden="1">'Price - East '!$A$40:$AG$118</definedName>
    <definedName name="Z_8106BDB8_AA5F_11D2_A84B_00805F2505DF_.wvu.PrintTitles" localSheetId="20" hidden="1">'Price - East '!$1:$5</definedName>
    <definedName name="Z_8106BDB9_AA5F_11D2_A84B_00805F2505DF_.wvu.PrintArea" localSheetId="4" hidden="1">PriceAlberta!$A$40:$AG$118</definedName>
    <definedName name="Z_8106BDB9_AA5F_11D2_A84B_00805F2505DF_.wvu.PrintArea" localSheetId="6" hidden="1">PriceBC!$A$40:$AG$118</definedName>
    <definedName name="Z_8106BDB9_AA5F_11D2_A84B_00805F2505DF_.wvu.PrintTitles" localSheetId="4" hidden="1">PriceAlberta!$1:$5</definedName>
    <definedName name="Z_8106BDB9_AA5F_11D2_A84B_00805F2505DF_.wvu.PrintTitles" localSheetId="6" hidden="1">PriceBC!$1:$5</definedName>
    <definedName name="Z_8106BDBA_AA5F_11D2_A84B_00805F2505DF_.wvu.PrintArea" localSheetId="8" hidden="1">PriceEOL!$A$40:$AG$118</definedName>
    <definedName name="Z_8106BDBA_AA5F_11D2_A84B_00805F2505DF_.wvu.PrintTitles" localSheetId="8" hidden="1">PriceEOL!$1:$5</definedName>
    <definedName name="Z_8106BDBB_AA5F_11D2_A84B_00805F2505DF_.wvu.PrintArea" localSheetId="9" hidden="1">EOLIndex!$A$40:$AG$118</definedName>
    <definedName name="Z_8106BDBB_AA5F_11D2_A84B_00805F2505DF_.wvu.PrintTitles" localSheetId="9" hidden="1">EOLIndex!$1:$5</definedName>
    <definedName name="Z_8106BDBC_AA5F_11D2_A84B_00805F2505DF_.wvu.PrintArea" localSheetId="11" hidden="1">OptionsIndex!$A$40:$AG$118</definedName>
    <definedName name="Z_8106BDBC_AA5F_11D2_A84B_00805F2505DF_.wvu.PrintTitles" localSheetId="11" hidden="1">OptionsIndex!$1:$5</definedName>
    <definedName name="Z_8106BDBD_AA5F_11D2_A84B_00805F2505DF_.wvu.PrintArea" localSheetId="12" hidden="1">Straddle!$A$40:$AG$118</definedName>
    <definedName name="Z_8106BDBD_AA5F_11D2_A84B_00805F2505DF_.wvu.PrintTitles" localSheetId="12" hidden="1">Straddle!$1:$5</definedName>
    <definedName name="Z_8106BDBE_AA5F_11D2_A84B_00805F2505DF_.wvu.PrintArea" localSheetId="18" hidden="1">'US $'!$A$40:$AG$118</definedName>
    <definedName name="Z_8106BDBE_AA5F_11D2_A84B_00805F2505DF_.wvu.PrintTitles" localSheetId="18" hidden="1">'US $'!$1:$5</definedName>
    <definedName name="Z_8106BDBF_AA5F_11D2_A84B_00805F2505DF_.wvu.PrintArea" localSheetId="5" hidden="1">AlbertaIndex!$A$120:$M$238</definedName>
    <definedName name="Z_8106BDBF_AA5F_11D2_A84B_00805F2505DF_.wvu.PrintArea" localSheetId="7" hidden="1">BCIndex!$A$120:$M$238</definedName>
    <definedName name="Z_8106BDBF_AA5F_11D2_A84B_00805F2505DF_.wvu.PrintTitles" localSheetId="5" hidden="1">AlbertaIndex!$1:$5</definedName>
    <definedName name="Z_8106BDBF_AA5F_11D2_A84B_00805F2505DF_.wvu.PrintTitles" localSheetId="7" hidden="1">BCIndex!$1:$5</definedName>
    <definedName name="Z_8106BDC0_AA5F_11D2_A84B_00805F2505DF_.wvu.PrintArea" localSheetId="10" hidden="1">Options!$A$120:$M$238</definedName>
    <definedName name="Z_8106BDC0_AA5F_11D2_A84B_00805F2505DF_.wvu.PrintArea" localSheetId="13" hidden="1">OptionsProp!$A$120:$M$238</definedName>
    <definedName name="Z_8106BDC0_AA5F_11D2_A84B_00805F2505DF_.wvu.PrintTitles" localSheetId="10" hidden="1">Options!$1:$5</definedName>
    <definedName name="Z_8106BDC0_AA5F_11D2_A84B_00805F2505DF_.wvu.PrintTitles" localSheetId="13" hidden="1">OptionsProp!$1:$5</definedName>
    <definedName name="Z_8106BDC1_AA5F_11D2_A84B_00805F2505DF_.wvu.PrintArea" localSheetId="20" hidden="1">'Price - East '!$A$120:$M$238</definedName>
    <definedName name="Z_8106BDC1_AA5F_11D2_A84B_00805F2505DF_.wvu.PrintTitles" localSheetId="20" hidden="1">'Price - East '!$1:$5</definedName>
    <definedName name="Z_8106BDC2_AA5F_11D2_A84B_00805F2505DF_.wvu.PrintArea" localSheetId="4" hidden="1">PriceAlberta!$A$120:$M$237</definedName>
    <definedName name="Z_8106BDC2_AA5F_11D2_A84B_00805F2505DF_.wvu.PrintArea" localSheetId="6" hidden="1">PriceBC!$A$120:$M$237</definedName>
    <definedName name="Z_8106BDC2_AA5F_11D2_A84B_00805F2505DF_.wvu.PrintTitles" localSheetId="4" hidden="1">PriceAlberta!$1:$5</definedName>
    <definedName name="Z_8106BDC2_AA5F_11D2_A84B_00805F2505DF_.wvu.PrintTitles" localSheetId="6" hidden="1">PriceBC!$1:$5</definedName>
    <definedName name="Z_8106BDC3_AA5F_11D2_A84B_00805F2505DF_.wvu.PrintArea" localSheetId="8" hidden="1">PriceEOL!$A$120:$M$238</definedName>
    <definedName name="Z_8106BDC3_AA5F_11D2_A84B_00805F2505DF_.wvu.PrintTitles" localSheetId="8" hidden="1">PriceEOL!$1:$5</definedName>
    <definedName name="Z_8106BDC4_AA5F_11D2_A84B_00805F2505DF_.wvu.PrintArea" localSheetId="9" hidden="1">EOLIndex!$A$120:$M$238</definedName>
    <definedName name="Z_8106BDC4_AA5F_11D2_A84B_00805F2505DF_.wvu.PrintTitles" localSheetId="9" hidden="1">EOLIndex!$1:$5</definedName>
    <definedName name="Z_8106BDC5_AA5F_11D2_A84B_00805F2505DF_.wvu.PrintArea" localSheetId="11" hidden="1">OptionsIndex!$A$120:$M$238</definedName>
    <definedName name="Z_8106BDC5_AA5F_11D2_A84B_00805F2505DF_.wvu.PrintTitles" localSheetId="11" hidden="1">OptionsIndex!$1:$5</definedName>
    <definedName name="Z_8106BDC6_AA5F_11D2_A84B_00805F2505DF_.wvu.PrintArea" localSheetId="12" hidden="1">Straddle!$A$120:$M$238</definedName>
    <definedName name="Z_8106BDC6_AA5F_11D2_A84B_00805F2505DF_.wvu.PrintTitles" localSheetId="12" hidden="1">Straddle!$1:$5</definedName>
    <definedName name="Z_8106BDC7_AA5F_11D2_A84B_00805F2505DF_.wvu.PrintArea" localSheetId="18" hidden="1">'US $'!$A$120:$M$238</definedName>
    <definedName name="Z_8106BDC7_AA5F_11D2_A84B_00805F2505DF_.wvu.PrintTitles" localSheetId="18" hidden="1">'US $'!$1:$5</definedName>
    <definedName name="Z_90E3CCDF_A590_11D2_A845_00805F2505DF_.wvu.PrintArea" localSheetId="5" hidden="1">AlbertaIndex!$A$6:$R$39</definedName>
    <definedName name="Z_90E3CCDF_A590_11D2_A845_00805F2505DF_.wvu.PrintArea" localSheetId="7" hidden="1">BCIndex!$A$6:$R$39</definedName>
    <definedName name="Z_90E3CCDF_A590_11D2_A845_00805F2505DF_.wvu.PrintTitles" localSheetId="5" hidden="1">AlbertaIndex!$1:$5</definedName>
    <definedName name="Z_90E3CCDF_A590_11D2_A845_00805F2505DF_.wvu.PrintTitles" localSheetId="7" hidden="1">BCIndex!$1:$5</definedName>
    <definedName name="Z_90E3CCE0_A590_11D2_A845_00805F2505DF_.wvu.PrintArea" localSheetId="10" hidden="1">Options!$A$6:$R$39</definedName>
    <definedName name="Z_90E3CCE0_A590_11D2_A845_00805F2505DF_.wvu.PrintArea" localSheetId="13" hidden="1">OptionsProp!$A$6:$R$39</definedName>
    <definedName name="Z_90E3CCE0_A590_11D2_A845_00805F2505DF_.wvu.PrintTitles" localSheetId="10" hidden="1">Options!$1:$5</definedName>
    <definedName name="Z_90E3CCE0_A590_11D2_A845_00805F2505DF_.wvu.PrintTitles" localSheetId="13" hidden="1">OptionsProp!$1:$5</definedName>
    <definedName name="Z_90E3CCE1_A590_11D2_A845_00805F2505DF_.wvu.PrintArea" localSheetId="20" hidden="1">'Price - East '!$A$6:$R$39</definedName>
    <definedName name="Z_90E3CCE1_A590_11D2_A845_00805F2505DF_.wvu.PrintTitles" localSheetId="20" hidden="1">'Price - East '!$1:$5</definedName>
    <definedName name="Z_90E3CCE2_A590_11D2_A845_00805F2505DF_.wvu.PrintArea" localSheetId="4" hidden="1">PriceAlberta!$A$6:$R$39</definedName>
    <definedName name="Z_90E3CCE2_A590_11D2_A845_00805F2505DF_.wvu.PrintArea" localSheetId="6" hidden="1">PriceBC!$A$6:$R$39</definedName>
    <definedName name="Z_90E3CCE2_A590_11D2_A845_00805F2505DF_.wvu.PrintTitles" localSheetId="4" hidden="1">PriceAlberta!$1:$5</definedName>
    <definedName name="Z_90E3CCE2_A590_11D2_A845_00805F2505DF_.wvu.PrintTitles" localSheetId="6" hidden="1">PriceBC!$1:$5</definedName>
    <definedName name="Z_90E3CCE3_A590_11D2_A845_00805F2505DF_.wvu.PrintArea" localSheetId="8" hidden="1">PriceEOL!$A$6:$R$39</definedName>
    <definedName name="Z_90E3CCE3_A590_11D2_A845_00805F2505DF_.wvu.PrintTitles" localSheetId="8" hidden="1">PriceEOL!$1:$5</definedName>
    <definedName name="Z_90E3CCE4_A590_11D2_A845_00805F2505DF_.wvu.PrintArea" localSheetId="9" hidden="1">EOLIndex!$A$6:$R$39</definedName>
    <definedName name="Z_90E3CCE4_A590_11D2_A845_00805F2505DF_.wvu.PrintTitles" localSheetId="9" hidden="1">EOLIndex!$1:$5</definedName>
    <definedName name="Z_90E3CCE5_A590_11D2_A845_00805F2505DF_.wvu.PrintArea" localSheetId="11" hidden="1">OptionsIndex!$A$6:$R$39</definedName>
    <definedName name="Z_90E3CCE5_A590_11D2_A845_00805F2505DF_.wvu.PrintTitles" localSheetId="11" hidden="1">OptionsIndex!$1:$5</definedName>
    <definedName name="Z_90E3CCE6_A590_11D2_A845_00805F2505DF_.wvu.PrintArea" localSheetId="12" hidden="1">Straddle!$A$6:$R$39</definedName>
    <definedName name="Z_90E3CCE6_A590_11D2_A845_00805F2505DF_.wvu.PrintTitles" localSheetId="12" hidden="1">Straddle!$1:$5</definedName>
    <definedName name="Z_90E3CCE7_A590_11D2_A845_00805F2505DF_.wvu.PrintArea" localSheetId="18" hidden="1">'US $'!$A$6:$R$39</definedName>
    <definedName name="Z_90E3CCE7_A590_11D2_A845_00805F2505DF_.wvu.PrintTitles" localSheetId="18" hidden="1">'US $'!$1:$5</definedName>
    <definedName name="Z_90E3CCE8_A590_11D2_A845_00805F2505DF_.wvu.PrintArea" localSheetId="5" hidden="1">AlbertaIndex!$A$40:$AG$118</definedName>
    <definedName name="Z_90E3CCE8_A590_11D2_A845_00805F2505DF_.wvu.PrintArea" localSheetId="7" hidden="1">BCIndex!$A$40:$AG$118</definedName>
    <definedName name="Z_90E3CCE8_A590_11D2_A845_00805F2505DF_.wvu.PrintTitles" localSheetId="5" hidden="1">AlbertaIndex!$1:$5</definedName>
    <definedName name="Z_90E3CCE8_A590_11D2_A845_00805F2505DF_.wvu.PrintTitles" localSheetId="7" hidden="1">BCIndex!$1:$5</definedName>
    <definedName name="Z_90E3CCE9_A590_11D2_A845_00805F2505DF_.wvu.PrintArea" localSheetId="10" hidden="1">Options!$A$40:$AG$118</definedName>
    <definedName name="Z_90E3CCE9_A590_11D2_A845_00805F2505DF_.wvu.PrintArea" localSheetId="13" hidden="1">OptionsProp!$A$40:$AG$118</definedName>
    <definedName name="Z_90E3CCE9_A590_11D2_A845_00805F2505DF_.wvu.PrintTitles" localSheetId="10" hidden="1">Options!$1:$5</definedName>
    <definedName name="Z_90E3CCE9_A590_11D2_A845_00805F2505DF_.wvu.PrintTitles" localSheetId="13" hidden="1">OptionsProp!$1:$5</definedName>
    <definedName name="Z_90E3CCEA_A590_11D2_A845_00805F2505DF_.wvu.PrintArea" localSheetId="20" hidden="1">'Price - East '!$A$40:$AG$118</definedName>
    <definedName name="Z_90E3CCEA_A590_11D2_A845_00805F2505DF_.wvu.PrintTitles" localSheetId="20" hidden="1">'Price - East '!$1:$5</definedName>
    <definedName name="Z_90E3CCEB_A590_11D2_A845_00805F2505DF_.wvu.PrintArea" localSheetId="4" hidden="1">PriceAlberta!$A$40:$AG$118</definedName>
    <definedName name="Z_90E3CCEB_A590_11D2_A845_00805F2505DF_.wvu.PrintArea" localSheetId="6" hidden="1">PriceBC!$A$40:$AG$118</definedName>
    <definedName name="Z_90E3CCEB_A590_11D2_A845_00805F2505DF_.wvu.PrintTitles" localSheetId="4" hidden="1">PriceAlberta!$1:$5</definedName>
    <definedName name="Z_90E3CCEB_A590_11D2_A845_00805F2505DF_.wvu.PrintTitles" localSheetId="6" hidden="1">PriceBC!$1:$5</definedName>
    <definedName name="Z_90E3CCEC_A590_11D2_A845_00805F2505DF_.wvu.PrintArea" localSheetId="8" hidden="1">PriceEOL!$A$40:$AG$118</definedName>
    <definedName name="Z_90E3CCEC_A590_11D2_A845_00805F2505DF_.wvu.PrintTitles" localSheetId="8" hidden="1">PriceEOL!$1:$5</definedName>
    <definedName name="Z_90E3CCED_A590_11D2_A845_00805F2505DF_.wvu.PrintArea" localSheetId="9" hidden="1">EOLIndex!$A$40:$AG$118</definedName>
    <definedName name="Z_90E3CCED_A590_11D2_A845_00805F2505DF_.wvu.PrintTitles" localSheetId="9" hidden="1">EOLIndex!$1:$5</definedName>
    <definedName name="Z_90E3CCEE_A590_11D2_A845_00805F2505DF_.wvu.PrintArea" localSheetId="11" hidden="1">OptionsIndex!$A$40:$AG$118</definedName>
    <definedName name="Z_90E3CCEE_A590_11D2_A845_00805F2505DF_.wvu.PrintTitles" localSheetId="11" hidden="1">OptionsIndex!$1:$5</definedName>
    <definedName name="Z_90E3CCEF_A590_11D2_A845_00805F2505DF_.wvu.PrintArea" localSheetId="12" hidden="1">Straddle!$A$40:$AG$118</definedName>
    <definedName name="Z_90E3CCEF_A590_11D2_A845_00805F2505DF_.wvu.PrintTitles" localSheetId="12" hidden="1">Straddle!$1:$5</definedName>
    <definedName name="Z_90E3CCF0_A590_11D2_A845_00805F2505DF_.wvu.PrintArea" localSheetId="18" hidden="1">'US $'!$A$40:$AG$118</definedName>
    <definedName name="Z_90E3CCF0_A590_11D2_A845_00805F2505DF_.wvu.PrintTitles" localSheetId="18" hidden="1">'US $'!$1:$5</definedName>
    <definedName name="Z_90E3CCF1_A590_11D2_A845_00805F2505DF_.wvu.PrintArea" localSheetId="5" hidden="1">AlbertaIndex!$A$120:$M$238</definedName>
    <definedName name="Z_90E3CCF1_A590_11D2_A845_00805F2505DF_.wvu.PrintArea" localSheetId="7" hidden="1">BCIndex!$A$120:$M$238</definedName>
    <definedName name="Z_90E3CCF1_A590_11D2_A845_00805F2505DF_.wvu.PrintTitles" localSheetId="5" hidden="1">AlbertaIndex!$1:$5</definedName>
    <definedName name="Z_90E3CCF1_A590_11D2_A845_00805F2505DF_.wvu.PrintTitles" localSheetId="7" hidden="1">BCIndex!$1:$5</definedName>
    <definedName name="Z_90E3CCF2_A590_11D2_A845_00805F2505DF_.wvu.PrintArea" localSheetId="10" hidden="1">Options!$A$120:$M$238</definedName>
    <definedName name="Z_90E3CCF2_A590_11D2_A845_00805F2505DF_.wvu.PrintArea" localSheetId="13" hidden="1">OptionsProp!$A$120:$M$238</definedName>
    <definedName name="Z_90E3CCF2_A590_11D2_A845_00805F2505DF_.wvu.PrintTitles" localSheetId="10" hidden="1">Options!$1:$5</definedName>
    <definedName name="Z_90E3CCF2_A590_11D2_A845_00805F2505DF_.wvu.PrintTitles" localSheetId="13" hidden="1">OptionsProp!$1:$5</definedName>
    <definedName name="Z_90E3CCF3_A590_11D2_A845_00805F2505DF_.wvu.PrintArea" localSheetId="20" hidden="1">'Price - East '!$A$120:$M$238</definedName>
    <definedName name="Z_90E3CCF3_A590_11D2_A845_00805F2505DF_.wvu.PrintTitles" localSheetId="20" hidden="1">'Price - East '!$1:$5</definedName>
    <definedName name="Z_90E3CCF4_A590_11D2_A845_00805F2505DF_.wvu.PrintArea" localSheetId="4" hidden="1">PriceAlberta!$A$120:$M$237</definedName>
    <definedName name="Z_90E3CCF4_A590_11D2_A845_00805F2505DF_.wvu.PrintArea" localSheetId="6" hidden="1">PriceBC!$A$120:$M$237</definedName>
    <definedName name="Z_90E3CCF4_A590_11D2_A845_00805F2505DF_.wvu.PrintTitles" localSheetId="4" hidden="1">PriceAlberta!$1:$5</definedName>
    <definedName name="Z_90E3CCF4_A590_11D2_A845_00805F2505DF_.wvu.PrintTitles" localSheetId="6" hidden="1">PriceBC!$1:$5</definedName>
    <definedName name="Z_90E3CCF5_A590_11D2_A845_00805F2505DF_.wvu.PrintArea" localSheetId="8" hidden="1">PriceEOL!$A$120:$M$238</definedName>
    <definedName name="Z_90E3CCF5_A590_11D2_A845_00805F2505DF_.wvu.PrintTitles" localSheetId="8" hidden="1">PriceEOL!$1:$5</definedName>
    <definedName name="Z_90E3CCF6_A590_11D2_A845_00805F2505DF_.wvu.PrintArea" localSheetId="9" hidden="1">EOLIndex!$A$120:$M$238</definedName>
    <definedName name="Z_90E3CCF6_A590_11D2_A845_00805F2505DF_.wvu.PrintTitles" localSheetId="9" hidden="1">EOLIndex!$1:$5</definedName>
    <definedName name="Z_90E3CCF7_A590_11D2_A845_00805F2505DF_.wvu.PrintArea" localSheetId="11" hidden="1">OptionsIndex!$A$120:$M$238</definedName>
    <definedName name="Z_90E3CCF7_A590_11D2_A845_00805F2505DF_.wvu.PrintTitles" localSheetId="11" hidden="1">OptionsIndex!$1:$5</definedName>
    <definedName name="Z_90E3CCF8_A590_11D2_A845_00805F2505DF_.wvu.PrintArea" localSheetId="12" hidden="1">Straddle!$A$120:$M$238</definedName>
    <definedName name="Z_90E3CCF8_A590_11D2_A845_00805F2505DF_.wvu.PrintTitles" localSheetId="12" hidden="1">Straddle!$1:$5</definedName>
    <definedName name="Z_90E3CCF9_A590_11D2_A845_00805F2505DF_.wvu.PrintArea" localSheetId="18" hidden="1">'US $'!$A$120:$M$238</definedName>
    <definedName name="Z_90E3CCF9_A590_11D2_A845_00805F2505DF_.wvu.PrintTitles" localSheetId="18" hidden="1">'US $'!$1:$5</definedName>
    <definedName name="Z_9F5984A5_ADA0_11D2_A84C_00805F2505DF_.wvu.PrintArea" localSheetId="5" hidden="1">AlbertaIndex!$A$6:$R$39</definedName>
    <definedName name="Z_9F5984A5_ADA0_11D2_A84C_00805F2505DF_.wvu.PrintArea" localSheetId="7" hidden="1">BCIndex!$A$6:$R$39</definedName>
    <definedName name="Z_9F5984A5_ADA0_11D2_A84C_00805F2505DF_.wvu.PrintTitles" localSheetId="5" hidden="1">AlbertaIndex!$1:$5</definedName>
    <definedName name="Z_9F5984A5_ADA0_11D2_A84C_00805F2505DF_.wvu.PrintTitles" localSheetId="7" hidden="1">BCIndex!$1:$5</definedName>
    <definedName name="Z_9F5984A6_ADA0_11D2_A84C_00805F2505DF_.wvu.PrintArea" localSheetId="10" hidden="1">Options!$A$6:$R$39</definedName>
    <definedName name="Z_9F5984A6_ADA0_11D2_A84C_00805F2505DF_.wvu.PrintArea" localSheetId="13" hidden="1">OptionsProp!$A$6:$R$39</definedName>
    <definedName name="Z_9F5984A6_ADA0_11D2_A84C_00805F2505DF_.wvu.PrintTitles" localSheetId="10" hidden="1">Options!$1:$5</definedName>
    <definedName name="Z_9F5984A6_ADA0_11D2_A84C_00805F2505DF_.wvu.PrintTitles" localSheetId="13" hidden="1">OptionsProp!$1:$5</definedName>
    <definedName name="Z_9F5984A7_ADA0_11D2_A84C_00805F2505DF_.wvu.PrintArea" localSheetId="20" hidden="1">'Price - East '!$A$6:$R$39</definedName>
    <definedName name="Z_9F5984A7_ADA0_11D2_A84C_00805F2505DF_.wvu.PrintTitles" localSheetId="20" hidden="1">'Price - East '!$1:$5</definedName>
    <definedName name="Z_9F5984A8_ADA0_11D2_A84C_00805F2505DF_.wvu.PrintArea" localSheetId="4" hidden="1">PriceAlberta!$A$6:$R$39</definedName>
    <definedName name="Z_9F5984A8_ADA0_11D2_A84C_00805F2505DF_.wvu.PrintArea" localSheetId="6" hidden="1">PriceBC!$A$6:$R$39</definedName>
    <definedName name="Z_9F5984A8_ADA0_11D2_A84C_00805F2505DF_.wvu.PrintTitles" localSheetId="4" hidden="1">PriceAlberta!$1:$5</definedName>
    <definedName name="Z_9F5984A8_ADA0_11D2_A84C_00805F2505DF_.wvu.PrintTitles" localSheetId="6" hidden="1">PriceBC!$1:$5</definedName>
    <definedName name="Z_9F5984A9_ADA0_11D2_A84C_00805F2505DF_.wvu.PrintArea" localSheetId="8" hidden="1">PriceEOL!$A$6:$R$39</definedName>
    <definedName name="Z_9F5984A9_ADA0_11D2_A84C_00805F2505DF_.wvu.PrintTitles" localSheetId="8" hidden="1">PriceEOL!$1:$5</definedName>
    <definedName name="Z_9F5984AA_ADA0_11D2_A84C_00805F2505DF_.wvu.PrintArea" localSheetId="9" hidden="1">EOLIndex!$A$6:$R$39</definedName>
    <definedName name="Z_9F5984AA_ADA0_11D2_A84C_00805F2505DF_.wvu.PrintTitles" localSheetId="9" hidden="1">EOLIndex!$1:$5</definedName>
    <definedName name="Z_9F5984AB_ADA0_11D2_A84C_00805F2505DF_.wvu.PrintArea" localSheetId="11" hidden="1">OptionsIndex!$A$6:$R$39</definedName>
    <definedName name="Z_9F5984AB_ADA0_11D2_A84C_00805F2505DF_.wvu.PrintTitles" localSheetId="11" hidden="1">OptionsIndex!$1:$5</definedName>
    <definedName name="Z_9F5984AC_ADA0_11D2_A84C_00805F2505DF_.wvu.PrintArea" localSheetId="12" hidden="1">Straddle!$A$6:$R$39</definedName>
    <definedName name="Z_9F5984AC_ADA0_11D2_A84C_00805F2505DF_.wvu.PrintTitles" localSheetId="12" hidden="1">Straddle!$1:$5</definedName>
    <definedName name="Z_9F5984AD_ADA0_11D2_A84C_00805F2505DF_.wvu.PrintArea" localSheetId="18" hidden="1">'US $'!$A$6:$R$39</definedName>
    <definedName name="Z_9F5984AD_ADA0_11D2_A84C_00805F2505DF_.wvu.PrintTitles" localSheetId="18" hidden="1">'US $'!$1:$5</definedName>
    <definedName name="Z_9F5984AE_ADA0_11D2_A84C_00805F2505DF_.wvu.PrintArea" localSheetId="5" hidden="1">AlbertaIndex!$A$40:$AG$118</definedName>
    <definedName name="Z_9F5984AE_ADA0_11D2_A84C_00805F2505DF_.wvu.PrintArea" localSheetId="7" hidden="1">BCIndex!$A$40:$AG$118</definedName>
    <definedName name="Z_9F5984AE_ADA0_11D2_A84C_00805F2505DF_.wvu.PrintTitles" localSheetId="5" hidden="1">AlbertaIndex!$1:$5</definedName>
    <definedName name="Z_9F5984AE_ADA0_11D2_A84C_00805F2505DF_.wvu.PrintTitles" localSheetId="7" hidden="1">BCIndex!$1:$5</definedName>
    <definedName name="Z_9F5984AF_ADA0_11D2_A84C_00805F2505DF_.wvu.PrintArea" localSheetId="10" hidden="1">Options!$A$40:$AG$118</definedName>
    <definedName name="Z_9F5984AF_ADA0_11D2_A84C_00805F2505DF_.wvu.PrintArea" localSheetId="13" hidden="1">OptionsProp!$A$40:$AG$118</definedName>
    <definedName name="Z_9F5984AF_ADA0_11D2_A84C_00805F2505DF_.wvu.PrintTitles" localSheetId="10" hidden="1">Options!$1:$5</definedName>
    <definedName name="Z_9F5984AF_ADA0_11D2_A84C_00805F2505DF_.wvu.PrintTitles" localSheetId="13" hidden="1">OptionsProp!$1:$5</definedName>
    <definedName name="Z_9F5984B0_ADA0_11D2_A84C_00805F2505DF_.wvu.PrintArea" localSheetId="20" hidden="1">'Price - East '!$A$40:$AG$118</definedName>
    <definedName name="Z_9F5984B0_ADA0_11D2_A84C_00805F2505DF_.wvu.PrintTitles" localSheetId="20" hidden="1">'Price - East '!$1:$5</definedName>
    <definedName name="Z_9F5984B1_ADA0_11D2_A84C_00805F2505DF_.wvu.PrintArea" localSheetId="4" hidden="1">PriceAlberta!$A$40:$AG$118</definedName>
    <definedName name="Z_9F5984B1_ADA0_11D2_A84C_00805F2505DF_.wvu.PrintArea" localSheetId="6" hidden="1">PriceBC!$A$40:$AG$118</definedName>
    <definedName name="Z_9F5984B1_ADA0_11D2_A84C_00805F2505DF_.wvu.PrintTitles" localSheetId="4" hidden="1">PriceAlberta!$1:$5</definedName>
    <definedName name="Z_9F5984B1_ADA0_11D2_A84C_00805F2505DF_.wvu.PrintTitles" localSheetId="6" hidden="1">PriceBC!$1:$5</definedName>
    <definedName name="Z_9F5984B2_ADA0_11D2_A84C_00805F2505DF_.wvu.PrintArea" localSheetId="8" hidden="1">PriceEOL!$A$40:$AG$118</definedName>
    <definedName name="Z_9F5984B2_ADA0_11D2_A84C_00805F2505DF_.wvu.PrintTitles" localSheetId="8" hidden="1">PriceEOL!$1:$5</definedName>
    <definedName name="Z_9F5984B3_ADA0_11D2_A84C_00805F2505DF_.wvu.PrintArea" localSheetId="9" hidden="1">EOLIndex!$A$40:$AG$118</definedName>
    <definedName name="Z_9F5984B3_ADA0_11D2_A84C_00805F2505DF_.wvu.PrintTitles" localSheetId="9" hidden="1">EOLIndex!$1:$5</definedName>
    <definedName name="Z_9F5984B4_ADA0_11D2_A84C_00805F2505DF_.wvu.PrintArea" localSheetId="11" hidden="1">OptionsIndex!$A$40:$AG$118</definedName>
    <definedName name="Z_9F5984B4_ADA0_11D2_A84C_00805F2505DF_.wvu.PrintTitles" localSheetId="11" hidden="1">OptionsIndex!$1:$5</definedName>
    <definedName name="Z_9F5984B5_ADA0_11D2_A84C_00805F2505DF_.wvu.PrintArea" localSheetId="12" hidden="1">Straddle!$A$40:$AG$118</definedName>
    <definedName name="Z_9F5984B5_ADA0_11D2_A84C_00805F2505DF_.wvu.PrintTitles" localSheetId="12" hidden="1">Straddle!$1:$5</definedName>
    <definedName name="Z_9F5984B6_ADA0_11D2_A84C_00805F2505DF_.wvu.PrintArea" localSheetId="18" hidden="1">'US $'!$A$40:$AG$118</definedName>
    <definedName name="Z_9F5984B6_ADA0_11D2_A84C_00805F2505DF_.wvu.PrintTitles" localSheetId="18" hidden="1">'US $'!$1:$5</definedName>
    <definedName name="Z_9F5984B7_ADA0_11D2_A84C_00805F2505DF_.wvu.PrintArea" localSheetId="5" hidden="1">AlbertaIndex!$A$120:$M$238</definedName>
    <definedName name="Z_9F5984B7_ADA0_11D2_A84C_00805F2505DF_.wvu.PrintArea" localSheetId="7" hidden="1">BCIndex!$A$120:$M$238</definedName>
    <definedName name="Z_9F5984B7_ADA0_11D2_A84C_00805F2505DF_.wvu.PrintTitles" localSheetId="5" hidden="1">AlbertaIndex!$1:$5</definedName>
    <definedName name="Z_9F5984B7_ADA0_11D2_A84C_00805F2505DF_.wvu.PrintTitles" localSheetId="7" hidden="1">BCIndex!$1:$5</definedName>
    <definedName name="Z_9F5984B8_ADA0_11D2_A84C_00805F2505DF_.wvu.PrintArea" localSheetId="10" hidden="1">Options!$A$120:$M$238</definedName>
    <definedName name="Z_9F5984B8_ADA0_11D2_A84C_00805F2505DF_.wvu.PrintArea" localSheetId="13" hidden="1">OptionsProp!$A$120:$M$238</definedName>
    <definedName name="Z_9F5984B8_ADA0_11D2_A84C_00805F2505DF_.wvu.PrintTitles" localSheetId="10" hidden="1">Options!$1:$5</definedName>
    <definedName name="Z_9F5984B8_ADA0_11D2_A84C_00805F2505DF_.wvu.PrintTitles" localSheetId="13" hidden="1">OptionsProp!$1:$5</definedName>
    <definedName name="Z_9F5984B9_ADA0_11D2_A84C_00805F2505DF_.wvu.PrintArea" localSheetId="20" hidden="1">'Price - East '!$A$120:$M$238</definedName>
    <definedName name="Z_9F5984B9_ADA0_11D2_A84C_00805F2505DF_.wvu.PrintTitles" localSheetId="20" hidden="1">'Price - East '!$1:$5</definedName>
    <definedName name="Z_9F5984BA_ADA0_11D2_A84C_00805F2505DF_.wvu.PrintArea" localSheetId="4" hidden="1">PriceAlberta!$A$120:$M$237</definedName>
    <definedName name="Z_9F5984BA_ADA0_11D2_A84C_00805F2505DF_.wvu.PrintArea" localSheetId="6" hidden="1">PriceBC!$A$120:$M$237</definedName>
    <definedName name="Z_9F5984BA_ADA0_11D2_A84C_00805F2505DF_.wvu.PrintTitles" localSheetId="4" hidden="1">PriceAlberta!$1:$5</definedName>
    <definedName name="Z_9F5984BA_ADA0_11D2_A84C_00805F2505DF_.wvu.PrintTitles" localSheetId="6" hidden="1">PriceBC!$1:$5</definedName>
    <definedName name="Z_9F5984BB_ADA0_11D2_A84C_00805F2505DF_.wvu.PrintArea" localSheetId="8" hidden="1">PriceEOL!$A$120:$M$238</definedName>
    <definedName name="Z_9F5984BB_ADA0_11D2_A84C_00805F2505DF_.wvu.PrintTitles" localSheetId="8" hidden="1">PriceEOL!$1:$5</definedName>
    <definedName name="Z_9F5984BC_ADA0_11D2_A84C_00805F2505DF_.wvu.PrintArea" localSheetId="9" hidden="1">EOLIndex!$A$120:$M$238</definedName>
    <definedName name="Z_9F5984BC_ADA0_11D2_A84C_00805F2505DF_.wvu.PrintTitles" localSheetId="9" hidden="1">EOLIndex!$1:$5</definedName>
    <definedName name="Z_9F5984BD_ADA0_11D2_A84C_00805F2505DF_.wvu.PrintArea" localSheetId="11" hidden="1">OptionsIndex!$A$120:$M$238</definedName>
    <definedName name="Z_9F5984BD_ADA0_11D2_A84C_00805F2505DF_.wvu.PrintTitles" localSheetId="11" hidden="1">OptionsIndex!$1:$5</definedName>
    <definedName name="Z_9F5984BE_ADA0_11D2_A84C_00805F2505DF_.wvu.PrintArea" localSheetId="12" hidden="1">Straddle!$A$120:$M$238</definedName>
    <definedName name="Z_9F5984BE_ADA0_11D2_A84C_00805F2505DF_.wvu.PrintTitles" localSheetId="12" hidden="1">Straddle!$1:$5</definedName>
    <definedName name="Z_9F5984BF_ADA0_11D2_A84C_00805F2505DF_.wvu.PrintArea" localSheetId="18" hidden="1">'US $'!$A$120:$M$238</definedName>
    <definedName name="Z_9F5984BF_ADA0_11D2_A84C_00805F2505DF_.wvu.PrintTitles" localSheetId="18" hidden="1">'US $'!$1:$5</definedName>
    <definedName name="Z_AA00244C_B62E_11D2_A853_00805F2505DF_.wvu.PrintArea" localSheetId="5" hidden="1">AlbertaIndex!$A$6:$R$39</definedName>
    <definedName name="Z_AA00244C_B62E_11D2_A853_00805F2505DF_.wvu.PrintArea" localSheetId="7" hidden="1">BCIndex!$A$6:$R$39</definedName>
    <definedName name="Z_AA00244C_B62E_11D2_A853_00805F2505DF_.wvu.PrintTitles" localSheetId="5" hidden="1">AlbertaIndex!$1:$5</definedName>
    <definedName name="Z_AA00244C_B62E_11D2_A853_00805F2505DF_.wvu.PrintTitles" localSheetId="7" hidden="1">BCIndex!$1:$5</definedName>
    <definedName name="Z_AA00244D_B62E_11D2_A853_00805F2505DF_.wvu.PrintArea" localSheetId="10" hidden="1">Options!$A$6:$R$39</definedName>
    <definedName name="Z_AA00244D_B62E_11D2_A853_00805F2505DF_.wvu.PrintArea" localSheetId="13" hidden="1">OptionsProp!$A$6:$R$39</definedName>
    <definedName name="Z_AA00244D_B62E_11D2_A853_00805F2505DF_.wvu.PrintTitles" localSheetId="10" hidden="1">Options!$1:$5</definedName>
    <definedName name="Z_AA00244D_B62E_11D2_A853_00805F2505DF_.wvu.PrintTitles" localSheetId="13" hidden="1">OptionsProp!$1:$5</definedName>
    <definedName name="Z_AA00244E_B62E_11D2_A853_00805F2505DF_.wvu.PrintArea" localSheetId="20" hidden="1">'Price - East '!$A$6:$R$39</definedName>
    <definedName name="Z_AA00244E_B62E_11D2_A853_00805F2505DF_.wvu.PrintTitles" localSheetId="20" hidden="1">'Price - East '!$1:$5</definedName>
    <definedName name="Z_AA00244F_B62E_11D2_A853_00805F2505DF_.wvu.PrintArea" localSheetId="4" hidden="1">PriceAlberta!$A$6:$R$39</definedName>
    <definedName name="Z_AA00244F_B62E_11D2_A853_00805F2505DF_.wvu.PrintArea" localSheetId="6" hidden="1">PriceBC!$A$6:$R$39</definedName>
    <definedName name="Z_AA00244F_B62E_11D2_A853_00805F2505DF_.wvu.PrintTitles" localSheetId="4" hidden="1">PriceAlberta!$1:$5</definedName>
    <definedName name="Z_AA00244F_B62E_11D2_A853_00805F2505DF_.wvu.PrintTitles" localSheetId="6" hidden="1">PriceBC!$1:$5</definedName>
    <definedName name="Z_AA002450_B62E_11D2_A853_00805F2505DF_.wvu.PrintArea" localSheetId="8" hidden="1">PriceEOL!$A$6:$R$39</definedName>
    <definedName name="Z_AA002450_B62E_11D2_A853_00805F2505DF_.wvu.PrintTitles" localSheetId="8" hidden="1">PriceEOL!$1:$5</definedName>
    <definedName name="Z_AA002451_B62E_11D2_A853_00805F2505DF_.wvu.PrintArea" localSheetId="9" hidden="1">EOLIndex!$A$6:$R$39</definedName>
    <definedName name="Z_AA002451_B62E_11D2_A853_00805F2505DF_.wvu.PrintTitles" localSheetId="9" hidden="1">EOLIndex!$1:$5</definedName>
    <definedName name="Z_AA002452_B62E_11D2_A853_00805F2505DF_.wvu.PrintArea" localSheetId="11" hidden="1">OptionsIndex!$A$6:$R$39</definedName>
    <definedName name="Z_AA002452_B62E_11D2_A853_00805F2505DF_.wvu.PrintTitles" localSheetId="11" hidden="1">OptionsIndex!$1:$5</definedName>
    <definedName name="Z_AA002453_B62E_11D2_A853_00805F2505DF_.wvu.PrintArea" localSheetId="12" hidden="1">Straddle!$A$6:$R$39</definedName>
    <definedName name="Z_AA002453_B62E_11D2_A853_00805F2505DF_.wvu.PrintTitles" localSheetId="12" hidden="1">Straddle!$1:$5</definedName>
    <definedName name="Z_AA002454_B62E_11D2_A853_00805F2505DF_.wvu.PrintArea" localSheetId="18" hidden="1">'US $'!$A$6:$R$39</definedName>
    <definedName name="Z_AA002454_B62E_11D2_A853_00805F2505DF_.wvu.PrintTitles" localSheetId="18" hidden="1">'US $'!$1:$5</definedName>
    <definedName name="Z_AA002455_B62E_11D2_A853_00805F2505DF_.wvu.PrintArea" localSheetId="5" hidden="1">AlbertaIndex!$A$40:$AG$118</definedName>
    <definedName name="Z_AA002455_B62E_11D2_A853_00805F2505DF_.wvu.PrintArea" localSheetId="7" hidden="1">BCIndex!$A$40:$AG$118</definedName>
    <definedName name="Z_AA002455_B62E_11D2_A853_00805F2505DF_.wvu.PrintTitles" localSheetId="5" hidden="1">AlbertaIndex!$1:$5</definedName>
    <definedName name="Z_AA002455_B62E_11D2_A853_00805F2505DF_.wvu.PrintTitles" localSheetId="7" hidden="1">BCIndex!$1:$5</definedName>
    <definedName name="Z_AA002456_B62E_11D2_A853_00805F2505DF_.wvu.PrintArea" localSheetId="10" hidden="1">Options!$A$40:$AG$118</definedName>
    <definedName name="Z_AA002456_B62E_11D2_A853_00805F2505DF_.wvu.PrintArea" localSheetId="13" hidden="1">OptionsProp!$A$40:$AG$118</definedName>
    <definedName name="Z_AA002456_B62E_11D2_A853_00805F2505DF_.wvu.PrintTitles" localSheetId="10" hidden="1">Options!$1:$5</definedName>
    <definedName name="Z_AA002456_B62E_11D2_A853_00805F2505DF_.wvu.PrintTitles" localSheetId="13" hidden="1">OptionsProp!$1:$5</definedName>
    <definedName name="Z_AA002457_B62E_11D2_A853_00805F2505DF_.wvu.PrintArea" localSheetId="20" hidden="1">'Price - East '!$A$40:$AG$118</definedName>
    <definedName name="Z_AA002457_B62E_11D2_A853_00805F2505DF_.wvu.PrintTitles" localSheetId="20" hidden="1">'Price - East '!$1:$5</definedName>
    <definedName name="Z_AA002458_B62E_11D2_A853_00805F2505DF_.wvu.PrintArea" localSheetId="4" hidden="1">PriceAlberta!$A$40:$AG$118</definedName>
    <definedName name="Z_AA002458_B62E_11D2_A853_00805F2505DF_.wvu.PrintArea" localSheetId="6" hidden="1">PriceBC!$A$40:$AG$118</definedName>
    <definedName name="Z_AA002458_B62E_11D2_A853_00805F2505DF_.wvu.PrintTitles" localSheetId="4" hidden="1">PriceAlberta!$1:$5</definedName>
    <definedName name="Z_AA002458_B62E_11D2_A853_00805F2505DF_.wvu.PrintTitles" localSheetId="6" hidden="1">PriceBC!$1:$5</definedName>
    <definedName name="Z_AA002459_B62E_11D2_A853_00805F2505DF_.wvu.PrintArea" localSheetId="8" hidden="1">PriceEOL!$A$40:$AG$118</definedName>
    <definedName name="Z_AA002459_B62E_11D2_A853_00805F2505DF_.wvu.PrintTitles" localSheetId="8" hidden="1">PriceEOL!$1:$5</definedName>
    <definedName name="Z_AA00245A_B62E_11D2_A853_00805F2505DF_.wvu.PrintArea" localSheetId="9" hidden="1">EOLIndex!$A$40:$AG$118</definedName>
    <definedName name="Z_AA00245A_B62E_11D2_A853_00805F2505DF_.wvu.PrintTitles" localSheetId="9" hidden="1">EOLIndex!$1:$5</definedName>
    <definedName name="Z_AA00245B_B62E_11D2_A853_00805F2505DF_.wvu.PrintArea" localSheetId="11" hidden="1">OptionsIndex!$A$40:$AG$118</definedName>
    <definedName name="Z_AA00245B_B62E_11D2_A853_00805F2505DF_.wvu.PrintTitles" localSheetId="11" hidden="1">OptionsIndex!$1:$5</definedName>
    <definedName name="Z_AA00245C_B62E_11D2_A853_00805F2505DF_.wvu.PrintArea" localSheetId="12" hidden="1">Straddle!$A$40:$AG$118</definedName>
    <definedName name="Z_AA00245C_B62E_11D2_A853_00805F2505DF_.wvu.PrintTitles" localSheetId="12" hidden="1">Straddle!$1:$5</definedName>
    <definedName name="Z_AA00245D_B62E_11D2_A853_00805F2505DF_.wvu.PrintArea" localSheetId="18" hidden="1">'US $'!$A$40:$AG$118</definedName>
    <definedName name="Z_AA00245D_B62E_11D2_A853_00805F2505DF_.wvu.PrintTitles" localSheetId="18" hidden="1">'US $'!$1:$5</definedName>
    <definedName name="Z_AA00245E_B62E_11D2_A853_00805F2505DF_.wvu.PrintArea" localSheetId="5" hidden="1">AlbertaIndex!$A$120:$M$238</definedName>
    <definedName name="Z_AA00245E_B62E_11D2_A853_00805F2505DF_.wvu.PrintArea" localSheetId="7" hidden="1">BCIndex!$A$120:$M$238</definedName>
    <definedName name="Z_AA00245E_B62E_11D2_A853_00805F2505DF_.wvu.PrintTitles" localSheetId="5" hidden="1">AlbertaIndex!$1:$5</definedName>
    <definedName name="Z_AA00245E_B62E_11D2_A853_00805F2505DF_.wvu.PrintTitles" localSheetId="7" hidden="1">BCIndex!$1:$5</definedName>
    <definedName name="Z_AA00245F_B62E_11D2_A853_00805F2505DF_.wvu.PrintArea" localSheetId="10" hidden="1">Options!$A$120:$M$238</definedName>
    <definedName name="Z_AA00245F_B62E_11D2_A853_00805F2505DF_.wvu.PrintArea" localSheetId="13" hidden="1">OptionsProp!$A$120:$M$238</definedName>
    <definedName name="Z_AA00245F_B62E_11D2_A853_00805F2505DF_.wvu.PrintTitles" localSheetId="10" hidden="1">Options!$1:$5</definedName>
    <definedName name="Z_AA00245F_B62E_11D2_A853_00805F2505DF_.wvu.PrintTitles" localSheetId="13" hidden="1">OptionsProp!$1:$5</definedName>
    <definedName name="Z_AA002460_B62E_11D2_A853_00805F2505DF_.wvu.PrintArea" localSheetId="20" hidden="1">'Price - East '!$A$120:$M$238</definedName>
    <definedName name="Z_AA002460_B62E_11D2_A853_00805F2505DF_.wvu.PrintTitles" localSheetId="20" hidden="1">'Price - East '!$1:$5</definedName>
    <definedName name="Z_AA002461_B62E_11D2_A853_00805F2505DF_.wvu.PrintArea" localSheetId="4" hidden="1">PriceAlberta!$A$120:$M$237</definedName>
    <definedName name="Z_AA002461_B62E_11D2_A853_00805F2505DF_.wvu.PrintArea" localSheetId="6" hidden="1">PriceBC!$A$120:$M$237</definedName>
    <definedName name="Z_AA002461_B62E_11D2_A853_00805F2505DF_.wvu.PrintTitles" localSheetId="4" hidden="1">PriceAlberta!$1:$5</definedName>
    <definedName name="Z_AA002461_B62E_11D2_A853_00805F2505DF_.wvu.PrintTitles" localSheetId="6" hidden="1">PriceBC!$1:$5</definedName>
    <definedName name="Z_AA002462_B62E_11D2_A853_00805F2505DF_.wvu.PrintArea" localSheetId="8" hidden="1">PriceEOL!$A$120:$M$238</definedName>
    <definedName name="Z_AA002462_B62E_11D2_A853_00805F2505DF_.wvu.PrintTitles" localSheetId="8" hidden="1">PriceEOL!$1:$5</definedName>
    <definedName name="Z_AA002463_B62E_11D2_A853_00805F2505DF_.wvu.PrintArea" localSheetId="9" hidden="1">EOLIndex!$A$120:$M$238</definedName>
    <definedName name="Z_AA002463_B62E_11D2_A853_00805F2505DF_.wvu.PrintTitles" localSheetId="9" hidden="1">EOLIndex!$1:$5</definedName>
    <definedName name="Z_AA002464_B62E_11D2_A853_00805F2505DF_.wvu.PrintArea" localSheetId="11" hidden="1">OptionsIndex!$A$120:$M$238</definedName>
    <definedName name="Z_AA002464_B62E_11D2_A853_00805F2505DF_.wvu.PrintTitles" localSheetId="11" hidden="1">OptionsIndex!$1:$5</definedName>
    <definedName name="Z_AA002465_B62E_11D2_A853_00805F2505DF_.wvu.PrintArea" localSheetId="12" hidden="1">Straddle!$A$120:$M$238</definedName>
    <definedName name="Z_AA002465_B62E_11D2_A853_00805F2505DF_.wvu.PrintTitles" localSheetId="12" hidden="1">Straddle!$1:$5</definedName>
    <definedName name="Z_AA002466_B62E_11D2_A853_00805F2505DF_.wvu.PrintArea" localSheetId="18" hidden="1">'US $'!$A$120:$M$238</definedName>
    <definedName name="Z_AA002466_B62E_11D2_A853_00805F2505DF_.wvu.PrintTitles" localSheetId="18" hidden="1">'US $'!$1:$5</definedName>
    <definedName name="Z_AA0024AA_B62E_11D2_A853_00805F2505DF_.wvu.PrintArea" localSheetId="5" hidden="1">AlbertaIndex!$A$6:$R$39</definedName>
    <definedName name="Z_AA0024AA_B62E_11D2_A853_00805F2505DF_.wvu.PrintArea" localSheetId="7" hidden="1">BCIndex!$A$6:$R$39</definedName>
    <definedName name="Z_AA0024AA_B62E_11D2_A853_00805F2505DF_.wvu.PrintTitles" localSheetId="5" hidden="1">AlbertaIndex!$1:$5</definedName>
    <definedName name="Z_AA0024AA_B62E_11D2_A853_00805F2505DF_.wvu.PrintTitles" localSheetId="7" hidden="1">BCIndex!$1:$5</definedName>
    <definedName name="Z_AA0024AB_B62E_11D2_A853_00805F2505DF_.wvu.PrintArea" localSheetId="10" hidden="1">Options!$A$6:$R$39</definedName>
    <definedName name="Z_AA0024AB_B62E_11D2_A853_00805F2505DF_.wvu.PrintArea" localSheetId="13" hidden="1">OptionsProp!$A$6:$R$39</definedName>
    <definedName name="Z_AA0024AB_B62E_11D2_A853_00805F2505DF_.wvu.PrintTitles" localSheetId="10" hidden="1">Options!$1:$5</definedName>
    <definedName name="Z_AA0024AB_B62E_11D2_A853_00805F2505DF_.wvu.PrintTitles" localSheetId="13" hidden="1">OptionsProp!$1:$5</definedName>
    <definedName name="Z_AA0024AC_B62E_11D2_A853_00805F2505DF_.wvu.PrintArea" localSheetId="20" hidden="1">'Price - East '!$A$6:$R$39</definedName>
    <definedName name="Z_AA0024AC_B62E_11D2_A853_00805F2505DF_.wvu.PrintTitles" localSheetId="20" hidden="1">'Price - East '!$1:$5</definedName>
    <definedName name="Z_AA0024AD_B62E_11D2_A853_00805F2505DF_.wvu.PrintArea" localSheetId="4" hidden="1">PriceAlberta!$A$6:$R$39</definedName>
    <definedName name="Z_AA0024AD_B62E_11D2_A853_00805F2505DF_.wvu.PrintArea" localSheetId="6" hidden="1">PriceBC!$A$6:$R$39</definedName>
    <definedName name="Z_AA0024AD_B62E_11D2_A853_00805F2505DF_.wvu.PrintTitles" localSheetId="4" hidden="1">PriceAlberta!$1:$5</definedName>
    <definedName name="Z_AA0024AD_B62E_11D2_A853_00805F2505DF_.wvu.PrintTitles" localSheetId="6" hidden="1">PriceBC!$1:$5</definedName>
    <definedName name="Z_AA0024AE_B62E_11D2_A853_00805F2505DF_.wvu.PrintArea" localSheetId="8" hidden="1">PriceEOL!$A$6:$R$39</definedName>
    <definedName name="Z_AA0024AE_B62E_11D2_A853_00805F2505DF_.wvu.PrintTitles" localSheetId="8" hidden="1">PriceEOL!$1:$5</definedName>
    <definedName name="Z_AA0024AF_B62E_11D2_A853_00805F2505DF_.wvu.PrintArea" localSheetId="9" hidden="1">EOLIndex!$A$6:$R$39</definedName>
    <definedName name="Z_AA0024AF_B62E_11D2_A853_00805F2505DF_.wvu.PrintTitles" localSheetId="9" hidden="1">EOLIndex!$1:$5</definedName>
    <definedName name="Z_AA0024B0_B62E_11D2_A853_00805F2505DF_.wvu.PrintArea" localSheetId="11" hidden="1">OptionsIndex!$A$6:$R$39</definedName>
    <definedName name="Z_AA0024B0_B62E_11D2_A853_00805F2505DF_.wvu.PrintTitles" localSheetId="11" hidden="1">OptionsIndex!$1:$5</definedName>
    <definedName name="Z_AA0024B1_B62E_11D2_A853_00805F2505DF_.wvu.PrintArea" localSheetId="12" hidden="1">Straddle!$A$6:$R$39</definedName>
    <definedName name="Z_AA0024B1_B62E_11D2_A853_00805F2505DF_.wvu.PrintTitles" localSheetId="12" hidden="1">Straddle!$1:$5</definedName>
    <definedName name="Z_AA0024B2_B62E_11D2_A853_00805F2505DF_.wvu.PrintArea" localSheetId="18" hidden="1">'US $'!$A$6:$R$39</definedName>
    <definedName name="Z_AA0024B2_B62E_11D2_A853_00805F2505DF_.wvu.PrintTitles" localSheetId="18" hidden="1">'US $'!$1:$5</definedName>
    <definedName name="Z_AA0024B3_B62E_11D2_A853_00805F2505DF_.wvu.PrintArea" localSheetId="5" hidden="1">AlbertaIndex!$A$40:$AG$118</definedName>
    <definedName name="Z_AA0024B3_B62E_11D2_A853_00805F2505DF_.wvu.PrintArea" localSheetId="7" hidden="1">BCIndex!$A$40:$AG$118</definedName>
    <definedName name="Z_AA0024B3_B62E_11D2_A853_00805F2505DF_.wvu.PrintTitles" localSheetId="5" hidden="1">AlbertaIndex!$1:$5</definedName>
    <definedName name="Z_AA0024B3_B62E_11D2_A853_00805F2505DF_.wvu.PrintTitles" localSheetId="7" hidden="1">BCIndex!$1:$5</definedName>
    <definedName name="Z_AA0024B4_B62E_11D2_A853_00805F2505DF_.wvu.PrintArea" localSheetId="10" hidden="1">Options!$A$40:$AG$118</definedName>
    <definedName name="Z_AA0024B4_B62E_11D2_A853_00805F2505DF_.wvu.PrintArea" localSheetId="13" hidden="1">OptionsProp!$A$40:$AG$118</definedName>
    <definedName name="Z_AA0024B4_B62E_11D2_A853_00805F2505DF_.wvu.PrintTitles" localSheetId="10" hidden="1">Options!$1:$5</definedName>
    <definedName name="Z_AA0024B4_B62E_11D2_A853_00805F2505DF_.wvu.PrintTitles" localSheetId="13" hidden="1">OptionsProp!$1:$5</definedName>
    <definedName name="Z_AA0024B5_B62E_11D2_A853_00805F2505DF_.wvu.PrintArea" localSheetId="20" hidden="1">'Price - East '!$A$40:$AG$118</definedName>
    <definedName name="Z_AA0024B5_B62E_11D2_A853_00805F2505DF_.wvu.PrintTitles" localSheetId="20" hidden="1">'Price - East '!$1:$5</definedName>
    <definedName name="Z_AA0024B6_B62E_11D2_A853_00805F2505DF_.wvu.PrintArea" localSheetId="4" hidden="1">PriceAlberta!$A$40:$AG$118</definedName>
    <definedName name="Z_AA0024B6_B62E_11D2_A853_00805F2505DF_.wvu.PrintArea" localSheetId="6" hidden="1">PriceBC!$A$40:$AG$118</definedName>
    <definedName name="Z_AA0024B6_B62E_11D2_A853_00805F2505DF_.wvu.PrintTitles" localSheetId="4" hidden="1">PriceAlberta!$1:$5</definedName>
    <definedName name="Z_AA0024B6_B62E_11D2_A853_00805F2505DF_.wvu.PrintTitles" localSheetId="6" hidden="1">PriceBC!$1:$5</definedName>
    <definedName name="Z_AA0024B7_B62E_11D2_A853_00805F2505DF_.wvu.PrintArea" localSheetId="8" hidden="1">PriceEOL!$A$40:$AG$118</definedName>
    <definedName name="Z_AA0024B7_B62E_11D2_A853_00805F2505DF_.wvu.PrintTitles" localSheetId="8" hidden="1">PriceEOL!$1:$5</definedName>
    <definedName name="Z_AA0024B8_B62E_11D2_A853_00805F2505DF_.wvu.PrintArea" localSheetId="9" hidden="1">EOLIndex!$A$40:$AG$118</definedName>
    <definedName name="Z_AA0024B8_B62E_11D2_A853_00805F2505DF_.wvu.PrintTitles" localSheetId="9" hidden="1">EOLIndex!$1:$5</definedName>
    <definedName name="Z_AA0024B9_B62E_11D2_A853_00805F2505DF_.wvu.PrintArea" localSheetId="11" hidden="1">OptionsIndex!$A$40:$AG$118</definedName>
    <definedName name="Z_AA0024B9_B62E_11D2_A853_00805F2505DF_.wvu.PrintTitles" localSheetId="11" hidden="1">OptionsIndex!$1:$5</definedName>
    <definedName name="Z_AA0024BA_B62E_11D2_A853_00805F2505DF_.wvu.PrintArea" localSheetId="12" hidden="1">Straddle!$A$40:$AG$118</definedName>
    <definedName name="Z_AA0024BA_B62E_11D2_A853_00805F2505DF_.wvu.PrintTitles" localSheetId="12" hidden="1">Straddle!$1:$5</definedName>
    <definedName name="Z_AA0024BB_B62E_11D2_A853_00805F2505DF_.wvu.PrintArea" localSheetId="18" hidden="1">'US $'!$A$40:$AG$118</definedName>
    <definedName name="Z_AA0024BB_B62E_11D2_A853_00805F2505DF_.wvu.PrintTitles" localSheetId="18" hidden="1">'US $'!$1:$5</definedName>
    <definedName name="Z_AA0024BC_B62E_11D2_A853_00805F2505DF_.wvu.PrintArea" localSheetId="5" hidden="1">AlbertaIndex!$A$120:$M$238</definedName>
    <definedName name="Z_AA0024BC_B62E_11D2_A853_00805F2505DF_.wvu.PrintArea" localSheetId="7" hidden="1">BCIndex!$A$120:$M$238</definedName>
    <definedName name="Z_AA0024BC_B62E_11D2_A853_00805F2505DF_.wvu.PrintTitles" localSheetId="5" hidden="1">AlbertaIndex!$1:$5</definedName>
    <definedName name="Z_AA0024BC_B62E_11D2_A853_00805F2505DF_.wvu.PrintTitles" localSheetId="7" hidden="1">BCIndex!$1:$5</definedName>
    <definedName name="Z_AA0024BD_B62E_11D2_A853_00805F2505DF_.wvu.PrintArea" localSheetId="10" hidden="1">Options!$A$120:$M$238</definedName>
    <definedName name="Z_AA0024BD_B62E_11D2_A853_00805F2505DF_.wvu.PrintArea" localSheetId="13" hidden="1">OptionsProp!$A$120:$M$238</definedName>
    <definedName name="Z_AA0024BD_B62E_11D2_A853_00805F2505DF_.wvu.PrintTitles" localSheetId="10" hidden="1">Options!$1:$5</definedName>
    <definedName name="Z_AA0024BD_B62E_11D2_A853_00805F2505DF_.wvu.PrintTitles" localSheetId="13" hidden="1">OptionsProp!$1:$5</definedName>
    <definedName name="Z_AA0024BE_B62E_11D2_A853_00805F2505DF_.wvu.PrintArea" localSheetId="20" hidden="1">'Price - East '!$A$120:$M$238</definedName>
    <definedName name="Z_AA0024BE_B62E_11D2_A853_00805F2505DF_.wvu.PrintTitles" localSheetId="20" hidden="1">'Price - East '!$1:$5</definedName>
    <definedName name="Z_AA0024BF_B62E_11D2_A853_00805F2505DF_.wvu.PrintArea" localSheetId="4" hidden="1">PriceAlberta!$A$120:$M$237</definedName>
    <definedName name="Z_AA0024BF_B62E_11D2_A853_00805F2505DF_.wvu.PrintArea" localSheetId="6" hidden="1">PriceBC!$A$120:$M$237</definedName>
    <definedName name="Z_AA0024BF_B62E_11D2_A853_00805F2505DF_.wvu.PrintTitles" localSheetId="4" hidden="1">PriceAlberta!$1:$5</definedName>
    <definedName name="Z_AA0024BF_B62E_11D2_A853_00805F2505DF_.wvu.PrintTitles" localSheetId="6" hidden="1">PriceBC!$1:$5</definedName>
    <definedName name="Z_AA0024C0_B62E_11D2_A853_00805F2505DF_.wvu.PrintArea" localSheetId="8" hidden="1">PriceEOL!$A$120:$M$238</definedName>
    <definedName name="Z_AA0024C0_B62E_11D2_A853_00805F2505DF_.wvu.PrintTitles" localSheetId="8" hidden="1">PriceEOL!$1:$5</definedName>
    <definedName name="Z_AA0024C1_B62E_11D2_A853_00805F2505DF_.wvu.PrintArea" localSheetId="9" hidden="1">EOLIndex!$A$120:$M$238</definedName>
    <definedName name="Z_AA0024C1_B62E_11D2_A853_00805F2505DF_.wvu.PrintTitles" localSheetId="9" hidden="1">EOLIndex!$1:$5</definedName>
    <definedName name="Z_AA0024C2_B62E_11D2_A853_00805F2505DF_.wvu.PrintArea" localSheetId="11" hidden="1">OptionsIndex!$A$120:$M$238</definedName>
    <definedName name="Z_AA0024C2_B62E_11D2_A853_00805F2505DF_.wvu.PrintTitles" localSheetId="11" hidden="1">OptionsIndex!$1:$5</definedName>
    <definedName name="Z_AA0024C3_B62E_11D2_A853_00805F2505DF_.wvu.PrintArea" localSheetId="12" hidden="1">Straddle!$A$120:$M$238</definedName>
    <definedName name="Z_AA0024C3_B62E_11D2_A853_00805F2505DF_.wvu.PrintTitles" localSheetId="12" hidden="1">Straddle!$1:$5</definedName>
    <definedName name="Z_AA0024C4_B62E_11D2_A853_00805F2505DF_.wvu.PrintArea" localSheetId="18" hidden="1">'US $'!$A$120:$M$238</definedName>
    <definedName name="Z_AA0024C4_B62E_11D2_A853_00805F2505DF_.wvu.PrintTitles" localSheetId="18" hidden="1">'US $'!$1:$5</definedName>
    <definedName name="Z_B2298A91_9F4B_11D2_A842_00805F2505DF_.wvu.PrintArea" localSheetId="5" hidden="1">AlbertaIndex!$A$6:$R$39</definedName>
    <definedName name="Z_B2298A91_9F4B_11D2_A842_00805F2505DF_.wvu.PrintArea" localSheetId="7" hidden="1">BCIndex!$A$6:$R$39</definedName>
    <definedName name="Z_B2298A91_9F4B_11D2_A842_00805F2505DF_.wvu.PrintTitles" localSheetId="5" hidden="1">AlbertaIndex!$1:$5</definedName>
    <definedName name="Z_B2298A91_9F4B_11D2_A842_00805F2505DF_.wvu.PrintTitles" localSheetId="7" hidden="1">BCIndex!$1:$5</definedName>
    <definedName name="Z_B2298A92_9F4B_11D2_A842_00805F2505DF_.wvu.PrintArea" localSheetId="10" hidden="1">Options!$A$6:$R$39</definedName>
    <definedName name="Z_B2298A92_9F4B_11D2_A842_00805F2505DF_.wvu.PrintArea" localSheetId="13" hidden="1">OptionsProp!$A$6:$R$39</definedName>
    <definedName name="Z_B2298A92_9F4B_11D2_A842_00805F2505DF_.wvu.PrintTitles" localSheetId="10" hidden="1">Options!$1:$5</definedName>
    <definedName name="Z_B2298A92_9F4B_11D2_A842_00805F2505DF_.wvu.PrintTitles" localSheetId="13" hidden="1">OptionsProp!$1:$5</definedName>
    <definedName name="Z_B2298A93_9F4B_11D2_A842_00805F2505DF_.wvu.PrintArea" localSheetId="20" hidden="1">'Price - East '!$A$6:$R$39</definedName>
    <definedName name="Z_B2298A93_9F4B_11D2_A842_00805F2505DF_.wvu.PrintTitles" localSheetId="20" hidden="1">'Price - East '!$1:$5</definedName>
    <definedName name="Z_B2298A94_9F4B_11D2_A842_00805F2505DF_.wvu.PrintArea" localSheetId="4" hidden="1">PriceAlberta!$A$6:$R$39</definedName>
    <definedName name="Z_B2298A94_9F4B_11D2_A842_00805F2505DF_.wvu.PrintArea" localSheetId="6" hidden="1">PriceBC!$A$6:$R$39</definedName>
    <definedName name="Z_B2298A94_9F4B_11D2_A842_00805F2505DF_.wvu.PrintTitles" localSheetId="4" hidden="1">PriceAlberta!$1:$5</definedName>
    <definedName name="Z_B2298A94_9F4B_11D2_A842_00805F2505DF_.wvu.PrintTitles" localSheetId="6" hidden="1">PriceBC!$1:$5</definedName>
    <definedName name="Z_B2298A95_9F4B_11D2_A842_00805F2505DF_.wvu.PrintArea" localSheetId="8" hidden="1">PriceEOL!$A$6:$R$39</definedName>
    <definedName name="Z_B2298A95_9F4B_11D2_A842_00805F2505DF_.wvu.PrintTitles" localSheetId="8" hidden="1">PriceEOL!$1:$5</definedName>
    <definedName name="Z_B2298A96_9F4B_11D2_A842_00805F2505DF_.wvu.PrintArea" localSheetId="9" hidden="1">EOLIndex!$A$6:$R$39</definedName>
    <definedName name="Z_B2298A96_9F4B_11D2_A842_00805F2505DF_.wvu.PrintTitles" localSheetId="9" hidden="1">EOLIndex!$1:$5</definedName>
    <definedName name="Z_B2298A97_9F4B_11D2_A842_00805F2505DF_.wvu.PrintArea" localSheetId="11" hidden="1">OptionsIndex!$A$6:$R$39</definedName>
    <definedName name="Z_B2298A97_9F4B_11D2_A842_00805F2505DF_.wvu.PrintTitles" localSheetId="11" hidden="1">OptionsIndex!$1:$5</definedName>
    <definedName name="Z_B2298A98_9F4B_11D2_A842_00805F2505DF_.wvu.PrintArea" localSheetId="12" hidden="1">Straddle!$A$6:$R$39</definedName>
    <definedName name="Z_B2298A98_9F4B_11D2_A842_00805F2505DF_.wvu.PrintTitles" localSheetId="12" hidden="1">Straddle!$1:$5</definedName>
    <definedName name="Z_B2298A99_9F4B_11D2_A842_00805F2505DF_.wvu.PrintArea" localSheetId="18" hidden="1">'US $'!$A$6:$R$39</definedName>
    <definedName name="Z_B2298A99_9F4B_11D2_A842_00805F2505DF_.wvu.PrintTitles" localSheetId="18" hidden="1">'US $'!$1:$5</definedName>
    <definedName name="Z_B2298A9A_9F4B_11D2_A842_00805F2505DF_.wvu.PrintArea" localSheetId="5" hidden="1">AlbertaIndex!$A$40:$AG$118</definedName>
    <definedName name="Z_B2298A9A_9F4B_11D2_A842_00805F2505DF_.wvu.PrintArea" localSheetId="7" hidden="1">BCIndex!$A$40:$AG$118</definedName>
    <definedName name="Z_B2298A9A_9F4B_11D2_A842_00805F2505DF_.wvu.PrintTitles" localSheetId="5" hidden="1">AlbertaIndex!$1:$5</definedName>
    <definedName name="Z_B2298A9A_9F4B_11D2_A842_00805F2505DF_.wvu.PrintTitles" localSheetId="7" hidden="1">BCIndex!$1:$5</definedName>
    <definedName name="Z_B2298A9B_9F4B_11D2_A842_00805F2505DF_.wvu.PrintArea" localSheetId="10" hidden="1">Options!$A$40:$AG$118</definedName>
    <definedName name="Z_B2298A9B_9F4B_11D2_A842_00805F2505DF_.wvu.PrintArea" localSheetId="13" hidden="1">OptionsProp!$A$40:$AG$118</definedName>
    <definedName name="Z_B2298A9B_9F4B_11D2_A842_00805F2505DF_.wvu.PrintTitles" localSheetId="10" hidden="1">Options!$1:$5</definedName>
    <definedName name="Z_B2298A9B_9F4B_11D2_A842_00805F2505DF_.wvu.PrintTitles" localSheetId="13" hidden="1">OptionsProp!$1:$5</definedName>
    <definedName name="Z_B2298A9C_9F4B_11D2_A842_00805F2505DF_.wvu.PrintArea" localSheetId="20" hidden="1">'Price - East '!$A$40:$AG$118</definedName>
    <definedName name="Z_B2298A9C_9F4B_11D2_A842_00805F2505DF_.wvu.PrintTitles" localSheetId="20" hidden="1">'Price - East '!$1:$5</definedName>
    <definedName name="Z_B2298A9D_9F4B_11D2_A842_00805F2505DF_.wvu.PrintArea" localSheetId="4" hidden="1">PriceAlberta!$A$40:$AG$118</definedName>
    <definedName name="Z_B2298A9D_9F4B_11D2_A842_00805F2505DF_.wvu.PrintArea" localSheetId="6" hidden="1">PriceBC!$A$40:$AG$118</definedName>
    <definedName name="Z_B2298A9D_9F4B_11D2_A842_00805F2505DF_.wvu.PrintTitles" localSheetId="4" hidden="1">PriceAlberta!$1:$5</definedName>
    <definedName name="Z_B2298A9D_9F4B_11D2_A842_00805F2505DF_.wvu.PrintTitles" localSheetId="6" hidden="1">PriceBC!$1:$5</definedName>
    <definedName name="Z_B2298A9E_9F4B_11D2_A842_00805F2505DF_.wvu.PrintArea" localSheetId="8" hidden="1">PriceEOL!$A$40:$AG$118</definedName>
    <definedName name="Z_B2298A9E_9F4B_11D2_A842_00805F2505DF_.wvu.PrintTitles" localSheetId="8" hidden="1">PriceEOL!$1:$5</definedName>
    <definedName name="Z_B2298A9F_9F4B_11D2_A842_00805F2505DF_.wvu.PrintArea" localSheetId="9" hidden="1">EOLIndex!$A$40:$AG$118</definedName>
    <definedName name="Z_B2298A9F_9F4B_11D2_A842_00805F2505DF_.wvu.PrintTitles" localSheetId="9" hidden="1">EOLIndex!$1:$5</definedName>
    <definedName name="Z_B2298AA0_9F4B_11D2_A842_00805F2505DF_.wvu.PrintArea" localSheetId="11" hidden="1">OptionsIndex!$A$40:$AG$118</definedName>
    <definedName name="Z_B2298AA0_9F4B_11D2_A842_00805F2505DF_.wvu.PrintTitles" localSheetId="11" hidden="1">OptionsIndex!$1:$5</definedName>
    <definedName name="Z_B2298AA1_9F4B_11D2_A842_00805F2505DF_.wvu.PrintArea" localSheetId="12" hidden="1">Straddle!$A$40:$AG$118</definedName>
    <definedName name="Z_B2298AA1_9F4B_11D2_A842_00805F2505DF_.wvu.PrintTitles" localSheetId="12" hidden="1">Straddle!$1:$5</definedName>
    <definedName name="Z_B2298AA2_9F4B_11D2_A842_00805F2505DF_.wvu.PrintArea" localSheetId="18" hidden="1">'US $'!$A$40:$AG$118</definedName>
    <definedName name="Z_B2298AA2_9F4B_11D2_A842_00805F2505DF_.wvu.PrintTitles" localSheetId="18" hidden="1">'US $'!$1:$5</definedName>
    <definedName name="Z_B2298AA3_9F4B_11D2_A842_00805F2505DF_.wvu.PrintArea" localSheetId="5" hidden="1">AlbertaIndex!$A$120:$M$238</definedName>
    <definedName name="Z_B2298AA3_9F4B_11D2_A842_00805F2505DF_.wvu.PrintArea" localSheetId="7" hidden="1">BCIndex!$A$120:$M$238</definedName>
    <definedName name="Z_B2298AA3_9F4B_11D2_A842_00805F2505DF_.wvu.PrintTitles" localSheetId="5" hidden="1">AlbertaIndex!$1:$5</definedName>
    <definedName name="Z_B2298AA3_9F4B_11D2_A842_00805F2505DF_.wvu.PrintTitles" localSheetId="7" hidden="1">BCIndex!$1:$5</definedName>
    <definedName name="Z_B2298AA4_9F4B_11D2_A842_00805F2505DF_.wvu.PrintArea" localSheetId="10" hidden="1">Options!$A$120:$M$238</definedName>
    <definedName name="Z_B2298AA4_9F4B_11D2_A842_00805F2505DF_.wvu.PrintArea" localSheetId="13" hidden="1">OptionsProp!$A$120:$M$238</definedName>
    <definedName name="Z_B2298AA4_9F4B_11D2_A842_00805F2505DF_.wvu.PrintTitles" localSheetId="10" hidden="1">Options!$1:$5</definedName>
    <definedName name="Z_B2298AA4_9F4B_11D2_A842_00805F2505DF_.wvu.PrintTitles" localSheetId="13" hidden="1">OptionsProp!$1:$5</definedName>
    <definedName name="Z_B2298AA5_9F4B_11D2_A842_00805F2505DF_.wvu.PrintArea" localSheetId="20" hidden="1">'Price - East '!$A$120:$M$238</definedName>
    <definedName name="Z_B2298AA5_9F4B_11D2_A842_00805F2505DF_.wvu.PrintTitles" localSheetId="20" hidden="1">'Price - East '!$1:$5</definedName>
    <definedName name="Z_B2298AA6_9F4B_11D2_A842_00805F2505DF_.wvu.PrintArea" localSheetId="4" hidden="1">PriceAlberta!$A$120:$M$237</definedName>
    <definedName name="Z_B2298AA6_9F4B_11D2_A842_00805F2505DF_.wvu.PrintArea" localSheetId="6" hidden="1">PriceBC!$A$120:$M$237</definedName>
    <definedName name="Z_B2298AA6_9F4B_11D2_A842_00805F2505DF_.wvu.PrintTitles" localSheetId="4" hidden="1">PriceAlberta!$1:$5</definedName>
    <definedName name="Z_B2298AA6_9F4B_11D2_A842_00805F2505DF_.wvu.PrintTitles" localSheetId="6" hidden="1">PriceBC!$1:$5</definedName>
    <definedName name="Z_B2298AA7_9F4B_11D2_A842_00805F2505DF_.wvu.PrintArea" localSheetId="8" hidden="1">PriceEOL!$A$120:$M$238</definedName>
    <definedName name="Z_B2298AA7_9F4B_11D2_A842_00805F2505DF_.wvu.PrintTitles" localSheetId="8" hidden="1">PriceEOL!$1:$5</definedName>
    <definedName name="Z_B2298AA8_9F4B_11D2_A842_00805F2505DF_.wvu.PrintArea" localSheetId="9" hidden="1">EOLIndex!$A$120:$M$238</definedName>
    <definedName name="Z_B2298AA8_9F4B_11D2_A842_00805F2505DF_.wvu.PrintTitles" localSheetId="9" hidden="1">EOLIndex!$1:$5</definedName>
    <definedName name="Z_B2298AA9_9F4B_11D2_A842_00805F2505DF_.wvu.PrintArea" localSheetId="11" hidden="1">OptionsIndex!$A$120:$M$238</definedName>
    <definedName name="Z_B2298AA9_9F4B_11D2_A842_00805F2505DF_.wvu.PrintTitles" localSheetId="11" hidden="1">OptionsIndex!$1:$5</definedName>
    <definedName name="Z_B2298AAA_9F4B_11D2_A842_00805F2505DF_.wvu.PrintArea" localSheetId="12" hidden="1">Straddle!$A$120:$M$238</definedName>
    <definedName name="Z_B2298AAA_9F4B_11D2_A842_00805F2505DF_.wvu.PrintTitles" localSheetId="12" hidden="1">Straddle!$1:$5</definedName>
    <definedName name="Z_B2298AAB_9F4B_11D2_A842_00805F2505DF_.wvu.PrintArea" localSheetId="18" hidden="1">'US $'!$A$120:$M$238</definedName>
    <definedName name="Z_B2298AAB_9F4B_11D2_A842_00805F2505DF_.wvu.PrintTitles" localSheetId="18" hidden="1">'US $'!$1:$5</definedName>
    <definedName name="Z_B2F7E2C2_7FBD_11D2_A836_00805F2505DF_.wvu.PrintArea" localSheetId="5" hidden="1">AlbertaIndex!$A$6:$R$39</definedName>
    <definedName name="Z_B2F7E2C2_7FBD_11D2_A836_00805F2505DF_.wvu.PrintArea" localSheetId="7" hidden="1">BCIndex!$A$6:$R$39</definedName>
    <definedName name="Z_B2F7E2C2_7FBD_11D2_A836_00805F2505DF_.wvu.PrintTitles" localSheetId="5" hidden="1">AlbertaIndex!$1:$5</definedName>
    <definedName name="Z_B2F7E2C2_7FBD_11D2_A836_00805F2505DF_.wvu.PrintTitles" localSheetId="7" hidden="1">BCIndex!$1:$5</definedName>
    <definedName name="Z_B2F7E2C3_7FBD_11D2_A836_00805F2505DF_.wvu.PrintArea" localSheetId="10" hidden="1">Options!$A$6:$R$39</definedName>
    <definedName name="Z_B2F7E2C3_7FBD_11D2_A836_00805F2505DF_.wvu.PrintArea" localSheetId="13" hidden="1">OptionsProp!$A$6:$R$39</definedName>
    <definedName name="Z_B2F7E2C3_7FBD_11D2_A836_00805F2505DF_.wvu.PrintTitles" localSheetId="10" hidden="1">Options!$1:$5</definedName>
    <definedName name="Z_B2F7E2C3_7FBD_11D2_A836_00805F2505DF_.wvu.PrintTitles" localSheetId="13" hidden="1">OptionsProp!$1:$5</definedName>
    <definedName name="Z_B2F7E2C4_7FBD_11D2_A836_00805F2505DF_.wvu.PrintArea" localSheetId="20" hidden="1">'Price - East '!$A$6:$R$39</definedName>
    <definedName name="Z_B2F7E2C4_7FBD_11D2_A836_00805F2505DF_.wvu.PrintTitles" localSheetId="20" hidden="1">'Price - East '!$1:$5</definedName>
    <definedName name="Z_B2F7E2C5_7FBD_11D2_A836_00805F2505DF_.wvu.PrintArea" localSheetId="4" hidden="1">PriceAlberta!$A$6:$R$39</definedName>
    <definedName name="Z_B2F7E2C5_7FBD_11D2_A836_00805F2505DF_.wvu.PrintArea" localSheetId="6" hidden="1">PriceBC!$A$6:$R$39</definedName>
    <definedName name="Z_B2F7E2C5_7FBD_11D2_A836_00805F2505DF_.wvu.PrintTitles" localSheetId="4" hidden="1">PriceAlberta!$1:$5</definedName>
    <definedName name="Z_B2F7E2C5_7FBD_11D2_A836_00805F2505DF_.wvu.PrintTitles" localSheetId="6" hidden="1">PriceBC!$1:$5</definedName>
    <definedName name="Z_B2F7E2C6_7FBD_11D2_A836_00805F2505DF_.wvu.PrintArea" localSheetId="8" hidden="1">PriceEOL!$A$6:$R$39</definedName>
    <definedName name="Z_B2F7E2C6_7FBD_11D2_A836_00805F2505DF_.wvu.PrintTitles" localSheetId="8" hidden="1">PriceEOL!$1:$5</definedName>
    <definedName name="Z_B2F7E2C7_7FBD_11D2_A836_00805F2505DF_.wvu.PrintArea" localSheetId="9" hidden="1">EOLIndex!$A$6:$R$39</definedName>
    <definedName name="Z_B2F7E2C7_7FBD_11D2_A836_00805F2505DF_.wvu.PrintTitles" localSheetId="9" hidden="1">EOLIndex!$1:$5</definedName>
    <definedName name="Z_B2F7E2C8_7FBD_11D2_A836_00805F2505DF_.wvu.PrintArea" localSheetId="11" hidden="1">OptionsIndex!$A$6:$R$39</definedName>
    <definedName name="Z_B2F7E2C8_7FBD_11D2_A836_00805F2505DF_.wvu.PrintTitles" localSheetId="11" hidden="1">OptionsIndex!$1:$5</definedName>
    <definedName name="Z_B2F7E2C9_7FBD_11D2_A836_00805F2505DF_.wvu.PrintArea" localSheetId="12" hidden="1">Straddle!$A$6:$R$39</definedName>
    <definedName name="Z_B2F7E2C9_7FBD_11D2_A836_00805F2505DF_.wvu.PrintTitles" localSheetId="12" hidden="1">Straddle!$1:$5</definedName>
    <definedName name="Z_B2F7E2CA_7FBD_11D2_A836_00805F2505DF_.wvu.PrintArea" localSheetId="18" hidden="1">'US $'!$A$6:$R$39</definedName>
    <definedName name="Z_B2F7E2CA_7FBD_11D2_A836_00805F2505DF_.wvu.PrintTitles" localSheetId="18" hidden="1">'US $'!$1:$5</definedName>
    <definedName name="Z_B2F7E2CB_7FBD_11D2_A836_00805F2505DF_.wvu.PrintArea" localSheetId="5" hidden="1">AlbertaIndex!$A$40:$AG$118</definedName>
    <definedName name="Z_B2F7E2CB_7FBD_11D2_A836_00805F2505DF_.wvu.PrintArea" localSheetId="7" hidden="1">BCIndex!$A$40:$AG$118</definedName>
    <definedName name="Z_B2F7E2CB_7FBD_11D2_A836_00805F2505DF_.wvu.PrintTitles" localSheetId="5" hidden="1">AlbertaIndex!$1:$5</definedName>
    <definedName name="Z_B2F7E2CB_7FBD_11D2_A836_00805F2505DF_.wvu.PrintTitles" localSheetId="7" hidden="1">BCIndex!$1:$5</definedName>
    <definedName name="Z_B2F7E2CC_7FBD_11D2_A836_00805F2505DF_.wvu.PrintArea" localSheetId="10" hidden="1">Options!$A$40:$AG$118</definedName>
    <definedName name="Z_B2F7E2CC_7FBD_11D2_A836_00805F2505DF_.wvu.PrintArea" localSheetId="13" hidden="1">OptionsProp!$A$40:$AG$118</definedName>
    <definedName name="Z_B2F7E2CC_7FBD_11D2_A836_00805F2505DF_.wvu.PrintTitles" localSheetId="10" hidden="1">Options!$1:$5</definedName>
    <definedName name="Z_B2F7E2CC_7FBD_11D2_A836_00805F2505DF_.wvu.PrintTitles" localSheetId="13" hidden="1">OptionsProp!$1:$5</definedName>
    <definedName name="Z_B2F7E2CD_7FBD_11D2_A836_00805F2505DF_.wvu.PrintArea" localSheetId="20" hidden="1">'Price - East '!$A$40:$AG$118</definedName>
    <definedName name="Z_B2F7E2CD_7FBD_11D2_A836_00805F2505DF_.wvu.PrintTitles" localSheetId="20" hidden="1">'Price - East '!$1:$5</definedName>
    <definedName name="Z_B2F7E2CE_7FBD_11D2_A836_00805F2505DF_.wvu.PrintArea" localSheetId="4" hidden="1">PriceAlberta!$A$40:$AG$118</definedName>
    <definedName name="Z_B2F7E2CE_7FBD_11D2_A836_00805F2505DF_.wvu.PrintArea" localSheetId="6" hidden="1">PriceBC!$A$40:$AG$118</definedName>
    <definedName name="Z_B2F7E2CE_7FBD_11D2_A836_00805F2505DF_.wvu.PrintTitles" localSheetId="4" hidden="1">PriceAlberta!$1:$5</definedName>
    <definedName name="Z_B2F7E2CE_7FBD_11D2_A836_00805F2505DF_.wvu.PrintTitles" localSheetId="6" hidden="1">PriceBC!$1:$5</definedName>
    <definedName name="Z_B2F7E2CF_7FBD_11D2_A836_00805F2505DF_.wvu.PrintArea" localSheetId="8" hidden="1">PriceEOL!$A$40:$AG$118</definedName>
    <definedName name="Z_B2F7E2CF_7FBD_11D2_A836_00805F2505DF_.wvu.PrintTitles" localSheetId="8" hidden="1">PriceEOL!$1:$5</definedName>
    <definedName name="Z_B2F7E2D0_7FBD_11D2_A836_00805F2505DF_.wvu.PrintArea" localSheetId="9" hidden="1">EOLIndex!$A$40:$AG$118</definedName>
    <definedName name="Z_B2F7E2D0_7FBD_11D2_A836_00805F2505DF_.wvu.PrintTitles" localSheetId="9" hidden="1">EOLIndex!$1:$5</definedName>
    <definedName name="Z_B2F7E2D1_7FBD_11D2_A836_00805F2505DF_.wvu.PrintArea" localSheetId="11" hidden="1">OptionsIndex!$A$40:$AG$118</definedName>
    <definedName name="Z_B2F7E2D1_7FBD_11D2_A836_00805F2505DF_.wvu.PrintTitles" localSheetId="11" hidden="1">OptionsIndex!$1:$5</definedName>
    <definedName name="Z_B2F7E2D2_7FBD_11D2_A836_00805F2505DF_.wvu.PrintArea" localSheetId="12" hidden="1">Straddle!$A$40:$AG$118</definedName>
    <definedName name="Z_B2F7E2D2_7FBD_11D2_A836_00805F2505DF_.wvu.PrintTitles" localSheetId="12" hidden="1">Straddle!$1:$5</definedName>
    <definedName name="Z_B2F7E2D3_7FBD_11D2_A836_00805F2505DF_.wvu.PrintArea" localSheetId="18" hidden="1">'US $'!$A$40:$AG$118</definedName>
    <definedName name="Z_B2F7E2D3_7FBD_11D2_A836_00805F2505DF_.wvu.PrintTitles" localSheetId="18" hidden="1">'US $'!$1:$5</definedName>
    <definedName name="Z_B2F7E2D4_7FBD_11D2_A836_00805F2505DF_.wvu.PrintArea" localSheetId="5" hidden="1">AlbertaIndex!$A$120:$M$238</definedName>
    <definedName name="Z_B2F7E2D4_7FBD_11D2_A836_00805F2505DF_.wvu.PrintArea" localSheetId="7" hidden="1">BCIndex!$A$120:$M$238</definedName>
    <definedName name="Z_B2F7E2D4_7FBD_11D2_A836_00805F2505DF_.wvu.PrintTitles" localSheetId="5" hidden="1">AlbertaIndex!$1:$5</definedName>
    <definedName name="Z_B2F7E2D4_7FBD_11D2_A836_00805F2505DF_.wvu.PrintTitles" localSheetId="7" hidden="1">BCIndex!$1:$5</definedName>
    <definedName name="Z_B2F7E2D5_7FBD_11D2_A836_00805F2505DF_.wvu.PrintArea" localSheetId="10" hidden="1">Options!$A$120:$M$238</definedName>
    <definedName name="Z_B2F7E2D5_7FBD_11D2_A836_00805F2505DF_.wvu.PrintArea" localSheetId="13" hidden="1">OptionsProp!$A$120:$M$238</definedName>
    <definedName name="Z_B2F7E2D5_7FBD_11D2_A836_00805F2505DF_.wvu.PrintTitles" localSheetId="10" hidden="1">Options!$1:$5</definedName>
    <definedName name="Z_B2F7E2D5_7FBD_11D2_A836_00805F2505DF_.wvu.PrintTitles" localSheetId="13" hidden="1">OptionsProp!$1:$5</definedName>
    <definedName name="Z_B2F7E2D6_7FBD_11D2_A836_00805F2505DF_.wvu.PrintArea" localSheetId="20" hidden="1">'Price - East '!$A$120:$M$238</definedName>
    <definedName name="Z_B2F7E2D6_7FBD_11D2_A836_00805F2505DF_.wvu.PrintTitles" localSheetId="20" hidden="1">'Price - East '!$1:$5</definedName>
    <definedName name="Z_B2F7E2D7_7FBD_11D2_A836_00805F2505DF_.wvu.PrintArea" localSheetId="4" hidden="1">PriceAlberta!$A$120:$M$237</definedName>
    <definedName name="Z_B2F7E2D7_7FBD_11D2_A836_00805F2505DF_.wvu.PrintArea" localSheetId="6" hidden="1">PriceBC!$A$120:$M$237</definedName>
    <definedName name="Z_B2F7E2D7_7FBD_11D2_A836_00805F2505DF_.wvu.PrintTitles" localSheetId="4" hidden="1">PriceAlberta!$1:$5</definedName>
    <definedName name="Z_B2F7E2D7_7FBD_11D2_A836_00805F2505DF_.wvu.PrintTitles" localSheetId="6" hidden="1">PriceBC!$1:$5</definedName>
    <definedName name="Z_B2F7E2D8_7FBD_11D2_A836_00805F2505DF_.wvu.PrintArea" localSheetId="8" hidden="1">PriceEOL!$A$120:$M$238</definedName>
    <definedName name="Z_B2F7E2D8_7FBD_11D2_A836_00805F2505DF_.wvu.PrintTitles" localSheetId="8" hidden="1">PriceEOL!$1:$5</definedName>
    <definedName name="Z_B2F7E2D9_7FBD_11D2_A836_00805F2505DF_.wvu.PrintArea" localSheetId="9" hidden="1">EOLIndex!$A$120:$M$238</definedName>
    <definedName name="Z_B2F7E2D9_7FBD_11D2_A836_00805F2505DF_.wvu.PrintTitles" localSheetId="9" hidden="1">EOLIndex!$1:$5</definedName>
    <definedName name="Z_B2F7E2DA_7FBD_11D2_A836_00805F2505DF_.wvu.PrintArea" localSheetId="11" hidden="1">OptionsIndex!$A$120:$M$238</definedName>
    <definedName name="Z_B2F7E2DA_7FBD_11D2_A836_00805F2505DF_.wvu.PrintTitles" localSheetId="11" hidden="1">OptionsIndex!$1:$5</definedName>
    <definedName name="Z_B2F7E2DB_7FBD_11D2_A836_00805F2505DF_.wvu.PrintArea" localSheetId="12" hidden="1">Straddle!$A$120:$M$238</definedName>
    <definedName name="Z_B2F7E2DB_7FBD_11D2_A836_00805F2505DF_.wvu.PrintTitles" localSheetId="12" hidden="1">Straddle!$1:$5</definedName>
    <definedName name="Z_B2F7E2DC_7FBD_11D2_A836_00805F2505DF_.wvu.PrintArea" localSheetId="18" hidden="1">'US $'!$A$120:$M$238</definedName>
    <definedName name="Z_B2F7E2DC_7FBD_11D2_A836_00805F2505DF_.wvu.PrintTitles" localSheetId="18" hidden="1">'US $'!$1:$5</definedName>
    <definedName name="Z_CAE48B00_AFF0_11D2_A84D_00805F2505DF_.wvu.PrintArea" localSheetId="5" hidden="1">AlbertaIndex!$A$6:$R$39</definedName>
    <definedName name="Z_CAE48B00_AFF0_11D2_A84D_00805F2505DF_.wvu.PrintArea" localSheetId="7" hidden="1">BCIndex!$A$6:$R$39</definedName>
    <definedName name="Z_CAE48B00_AFF0_11D2_A84D_00805F2505DF_.wvu.PrintTitles" localSheetId="5" hidden="1">AlbertaIndex!$1:$5</definedName>
    <definedName name="Z_CAE48B00_AFF0_11D2_A84D_00805F2505DF_.wvu.PrintTitles" localSheetId="7" hidden="1">BCIndex!$1:$5</definedName>
    <definedName name="Z_CAE48B01_AFF0_11D2_A84D_00805F2505DF_.wvu.PrintArea" localSheetId="10" hidden="1">Options!$A$6:$R$39</definedName>
    <definedName name="Z_CAE48B01_AFF0_11D2_A84D_00805F2505DF_.wvu.PrintArea" localSheetId="13" hidden="1">OptionsProp!$A$6:$R$39</definedName>
    <definedName name="Z_CAE48B01_AFF0_11D2_A84D_00805F2505DF_.wvu.PrintTitles" localSheetId="10" hidden="1">Options!$1:$5</definedName>
    <definedName name="Z_CAE48B01_AFF0_11D2_A84D_00805F2505DF_.wvu.PrintTitles" localSheetId="13" hidden="1">OptionsProp!$1:$5</definedName>
    <definedName name="Z_CAE48B02_AFF0_11D2_A84D_00805F2505DF_.wvu.PrintArea" localSheetId="20" hidden="1">'Price - East '!$A$6:$R$39</definedName>
    <definedName name="Z_CAE48B02_AFF0_11D2_A84D_00805F2505DF_.wvu.PrintTitles" localSheetId="20" hidden="1">'Price - East '!$1:$5</definedName>
    <definedName name="Z_CAE48B03_AFF0_11D2_A84D_00805F2505DF_.wvu.PrintArea" localSheetId="4" hidden="1">PriceAlberta!$A$6:$R$39</definedName>
    <definedName name="Z_CAE48B03_AFF0_11D2_A84D_00805F2505DF_.wvu.PrintArea" localSheetId="6" hidden="1">PriceBC!$A$6:$R$39</definedName>
    <definedName name="Z_CAE48B03_AFF0_11D2_A84D_00805F2505DF_.wvu.PrintTitles" localSheetId="4" hidden="1">PriceAlberta!$1:$5</definedName>
    <definedName name="Z_CAE48B03_AFF0_11D2_A84D_00805F2505DF_.wvu.PrintTitles" localSheetId="6" hidden="1">PriceBC!$1:$5</definedName>
    <definedName name="Z_CAE48B04_AFF0_11D2_A84D_00805F2505DF_.wvu.PrintArea" localSheetId="8" hidden="1">PriceEOL!$A$6:$R$39</definedName>
    <definedName name="Z_CAE48B04_AFF0_11D2_A84D_00805F2505DF_.wvu.PrintTitles" localSheetId="8" hidden="1">PriceEOL!$1:$5</definedName>
    <definedName name="Z_CAE48B05_AFF0_11D2_A84D_00805F2505DF_.wvu.PrintArea" localSheetId="9" hidden="1">EOLIndex!$A$6:$R$39</definedName>
    <definedName name="Z_CAE48B05_AFF0_11D2_A84D_00805F2505DF_.wvu.PrintTitles" localSheetId="9" hidden="1">EOLIndex!$1:$5</definedName>
    <definedName name="Z_CAE48B06_AFF0_11D2_A84D_00805F2505DF_.wvu.PrintArea" localSheetId="11" hidden="1">OptionsIndex!$A$6:$R$39</definedName>
    <definedName name="Z_CAE48B06_AFF0_11D2_A84D_00805F2505DF_.wvu.PrintTitles" localSheetId="11" hidden="1">OptionsIndex!$1:$5</definedName>
    <definedName name="Z_CAE48B07_AFF0_11D2_A84D_00805F2505DF_.wvu.PrintArea" localSheetId="12" hidden="1">Straddle!$A$6:$R$39</definedName>
    <definedName name="Z_CAE48B07_AFF0_11D2_A84D_00805F2505DF_.wvu.PrintTitles" localSheetId="12" hidden="1">Straddle!$1:$5</definedName>
    <definedName name="Z_CAE48B08_AFF0_11D2_A84D_00805F2505DF_.wvu.PrintArea" localSheetId="18" hidden="1">'US $'!$A$6:$R$39</definedName>
    <definedName name="Z_CAE48B08_AFF0_11D2_A84D_00805F2505DF_.wvu.PrintTitles" localSheetId="18" hidden="1">'US $'!$1:$5</definedName>
    <definedName name="Z_CAE48B09_AFF0_11D2_A84D_00805F2505DF_.wvu.PrintArea" localSheetId="5" hidden="1">AlbertaIndex!$A$40:$AG$118</definedName>
    <definedName name="Z_CAE48B09_AFF0_11D2_A84D_00805F2505DF_.wvu.PrintArea" localSheetId="7" hidden="1">BCIndex!$A$40:$AG$118</definedName>
    <definedName name="Z_CAE48B09_AFF0_11D2_A84D_00805F2505DF_.wvu.PrintTitles" localSheetId="5" hidden="1">AlbertaIndex!$1:$5</definedName>
    <definedName name="Z_CAE48B09_AFF0_11D2_A84D_00805F2505DF_.wvu.PrintTitles" localSheetId="7" hidden="1">BCIndex!$1:$5</definedName>
    <definedName name="Z_CAE48B0A_AFF0_11D2_A84D_00805F2505DF_.wvu.PrintArea" localSheetId="10" hidden="1">Options!$A$40:$AG$118</definedName>
    <definedName name="Z_CAE48B0A_AFF0_11D2_A84D_00805F2505DF_.wvu.PrintArea" localSheetId="13" hidden="1">OptionsProp!$A$40:$AG$118</definedName>
    <definedName name="Z_CAE48B0A_AFF0_11D2_A84D_00805F2505DF_.wvu.PrintTitles" localSheetId="10" hidden="1">Options!$1:$5</definedName>
    <definedName name="Z_CAE48B0A_AFF0_11D2_A84D_00805F2505DF_.wvu.PrintTitles" localSheetId="13" hidden="1">OptionsProp!$1:$5</definedName>
    <definedName name="Z_CAE48B0B_AFF0_11D2_A84D_00805F2505DF_.wvu.PrintArea" localSheetId="20" hidden="1">'Price - East '!$A$40:$AG$118</definedName>
    <definedName name="Z_CAE48B0B_AFF0_11D2_A84D_00805F2505DF_.wvu.PrintTitles" localSheetId="20" hidden="1">'Price - East '!$1:$5</definedName>
    <definedName name="Z_CAE48B0C_AFF0_11D2_A84D_00805F2505DF_.wvu.PrintArea" localSheetId="4" hidden="1">PriceAlberta!$A$40:$AG$118</definedName>
    <definedName name="Z_CAE48B0C_AFF0_11D2_A84D_00805F2505DF_.wvu.PrintArea" localSheetId="6" hidden="1">PriceBC!$A$40:$AG$118</definedName>
    <definedName name="Z_CAE48B0C_AFF0_11D2_A84D_00805F2505DF_.wvu.PrintTitles" localSheetId="4" hidden="1">PriceAlberta!$1:$5</definedName>
    <definedName name="Z_CAE48B0C_AFF0_11D2_A84D_00805F2505DF_.wvu.PrintTitles" localSheetId="6" hidden="1">PriceBC!$1:$5</definedName>
    <definedName name="Z_CAE48B0D_AFF0_11D2_A84D_00805F2505DF_.wvu.PrintArea" localSheetId="8" hidden="1">PriceEOL!$A$40:$AG$118</definedName>
    <definedName name="Z_CAE48B0D_AFF0_11D2_A84D_00805F2505DF_.wvu.PrintTitles" localSheetId="8" hidden="1">PriceEOL!$1:$5</definedName>
    <definedName name="Z_CAE48B0E_AFF0_11D2_A84D_00805F2505DF_.wvu.PrintArea" localSheetId="9" hidden="1">EOLIndex!$A$40:$AG$118</definedName>
    <definedName name="Z_CAE48B0E_AFF0_11D2_A84D_00805F2505DF_.wvu.PrintTitles" localSheetId="9" hidden="1">EOLIndex!$1:$5</definedName>
    <definedName name="Z_CAE48B0F_AFF0_11D2_A84D_00805F2505DF_.wvu.PrintArea" localSheetId="11" hidden="1">OptionsIndex!$A$40:$AG$118</definedName>
    <definedName name="Z_CAE48B0F_AFF0_11D2_A84D_00805F2505DF_.wvu.PrintTitles" localSheetId="11" hidden="1">OptionsIndex!$1:$5</definedName>
    <definedName name="Z_CAE48B10_AFF0_11D2_A84D_00805F2505DF_.wvu.PrintArea" localSheetId="12" hidden="1">Straddle!$A$40:$AG$118</definedName>
    <definedName name="Z_CAE48B10_AFF0_11D2_A84D_00805F2505DF_.wvu.PrintTitles" localSheetId="12" hidden="1">Straddle!$1:$5</definedName>
    <definedName name="Z_CAE48B11_AFF0_11D2_A84D_00805F2505DF_.wvu.PrintArea" localSheetId="18" hidden="1">'US $'!$A$40:$AG$118</definedName>
    <definedName name="Z_CAE48B11_AFF0_11D2_A84D_00805F2505DF_.wvu.PrintTitles" localSheetId="18" hidden="1">'US $'!$1:$5</definedName>
    <definedName name="Z_CAE48B12_AFF0_11D2_A84D_00805F2505DF_.wvu.PrintArea" localSheetId="5" hidden="1">AlbertaIndex!$A$120:$M$238</definedName>
    <definedName name="Z_CAE48B12_AFF0_11D2_A84D_00805F2505DF_.wvu.PrintArea" localSheetId="7" hidden="1">BCIndex!$A$120:$M$238</definedName>
    <definedName name="Z_CAE48B12_AFF0_11D2_A84D_00805F2505DF_.wvu.PrintTitles" localSheetId="5" hidden="1">AlbertaIndex!$1:$5</definedName>
    <definedName name="Z_CAE48B12_AFF0_11D2_A84D_00805F2505DF_.wvu.PrintTitles" localSheetId="7" hidden="1">BCIndex!$1:$5</definedName>
    <definedName name="Z_CAE48B13_AFF0_11D2_A84D_00805F2505DF_.wvu.PrintArea" localSheetId="10" hidden="1">Options!$A$120:$M$238</definedName>
    <definedName name="Z_CAE48B13_AFF0_11D2_A84D_00805F2505DF_.wvu.PrintArea" localSheetId="13" hidden="1">OptionsProp!$A$120:$M$238</definedName>
    <definedName name="Z_CAE48B13_AFF0_11D2_A84D_00805F2505DF_.wvu.PrintTitles" localSheetId="10" hidden="1">Options!$1:$5</definedName>
    <definedName name="Z_CAE48B13_AFF0_11D2_A84D_00805F2505DF_.wvu.PrintTitles" localSheetId="13" hidden="1">OptionsProp!$1:$5</definedName>
    <definedName name="Z_CAE48B14_AFF0_11D2_A84D_00805F2505DF_.wvu.PrintArea" localSheetId="20" hidden="1">'Price - East '!$A$120:$M$238</definedName>
    <definedName name="Z_CAE48B14_AFF0_11D2_A84D_00805F2505DF_.wvu.PrintTitles" localSheetId="20" hidden="1">'Price - East '!$1:$5</definedName>
    <definedName name="Z_CAE48B15_AFF0_11D2_A84D_00805F2505DF_.wvu.PrintArea" localSheetId="4" hidden="1">PriceAlberta!$A$120:$M$237</definedName>
    <definedName name="Z_CAE48B15_AFF0_11D2_A84D_00805F2505DF_.wvu.PrintArea" localSheetId="6" hidden="1">PriceBC!$A$120:$M$237</definedName>
    <definedName name="Z_CAE48B15_AFF0_11D2_A84D_00805F2505DF_.wvu.PrintTitles" localSheetId="4" hidden="1">PriceAlberta!$1:$5</definedName>
    <definedName name="Z_CAE48B15_AFF0_11D2_A84D_00805F2505DF_.wvu.PrintTitles" localSheetId="6" hidden="1">PriceBC!$1:$5</definedName>
    <definedName name="Z_CAE48B16_AFF0_11D2_A84D_00805F2505DF_.wvu.PrintArea" localSheetId="8" hidden="1">PriceEOL!$A$120:$M$238</definedName>
    <definedName name="Z_CAE48B16_AFF0_11D2_A84D_00805F2505DF_.wvu.PrintTitles" localSheetId="8" hidden="1">PriceEOL!$1:$5</definedName>
    <definedName name="Z_CAE48B17_AFF0_11D2_A84D_00805F2505DF_.wvu.PrintArea" localSheetId="9" hidden="1">EOLIndex!$A$120:$M$238</definedName>
    <definedName name="Z_CAE48B17_AFF0_11D2_A84D_00805F2505DF_.wvu.PrintTitles" localSheetId="9" hidden="1">EOLIndex!$1:$5</definedName>
    <definedName name="Z_CAE48B18_AFF0_11D2_A84D_00805F2505DF_.wvu.PrintArea" localSheetId="11" hidden="1">OptionsIndex!$A$120:$M$238</definedName>
    <definedName name="Z_CAE48B18_AFF0_11D2_A84D_00805F2505DF_.wvu.PrintTitles" localSheetId="11" hidden="1">OptionsIndex!$1:$5</definedName>
    <definedName name="Z_CAE48B19_AFF0_11D2_A84D_00805F2505DF_.wvu.PrintArea" localSheetId="12" hidden="1">Straddle!$A$120:$M$238</definedName>
    <definedName name="Z_CAE48B19_AFF0_11D2_A84D_00805F2505DF_.wvu.PrintTitles" localSheetId="12" hidden="1">Straddle!$1:$5</definedName>
    <definedName name="Z_CAE48B1A_AFF0_11D2_A84D_00805F2505DF_.wvu.PrintArea" localSheetId="18" hidden="1">'US $'!$A$120:$M$238</definedName>
    <definedName name="Z_CAE48B1A_AFF0_11D2_A84D_00805F2505DF_.wvu.PrintTitles" localSheetId="18" hidden="1">'US $'!$1:$5</definedName>
    <definedName name="Z_CC3965C8_A99C_11D2_A84A_00805F2505DF_.wvu.PrintArea" localSheetId="5" hidden="1">AlbertaIndex!$A$6:$R$39</definedName>
    <definedName name="Z_CC3965C8_A99C_11D2_A84A_00805F2505DF_.wvu.PrintArea" localSheetId="7" hidden="1">BCIndex!$A$6:$R$39</definedName>
    <definedName name="Z_CC3965C8_A99C_11D2_A84A_00805F2505DF_.wvu.PrintTitles" localSheetId="5" hidden="1">AlbertaIndex!$1:$5</definedName>
    <definedName name="Z_CC3965C8_A99C_11D2_A84A_00805F2505DF_.wvu.PrintTitles" localSheetId="7" hidden="1">BCIndex!$1:$5</definedName>
    <definedName name="Z_CC3965C9_A99C_11D2_A84A_00805F2505DF_.wvu.PrintArea" localSheetId="10" hidden="1">Options!$A$6:$R$39</definedName>
    <definedName name="Z_CC3965C9_A99C_11D2_A84A_00805F2505DF_.wvu.PrintArea" localSheetId="13" hidden="1">OptionsProp!$A$6:$R$39</definedName>
    <definedName name="Z_CC3965C9_A99C_11D2_A84A_00805F2505DF_.wvu.PrintTitles" localSheetId="10" hidden="1">Options!$1:$5</definedName>
    <definedName name="Z_CC3965C9_A99C_11D2_A84A_00805F2505DF_.wvu.PrintTitles" localSheetId="13" hidden="1">OptionsProp!$1:$5</definedName>
    <definedName name="Z_CC3965CA_A99C_11D2_A84A_00805F2505DF_.wvu.PrintArea" localSheetId="20" hidden="1">'Price - East '!$A$6:$R$39</definedName>
    <definedName name="Z_CC3965CA_A99C_11D2_A84A_00805F2505DF_.wvu.PrintTitles" localSheetId="20" hidden="1">'Price - East '!$1:$5</definedName>
    <definedName name="Z_CC3965CB_A99C_11D2_A84A_00805F2505DF_.wvu.PrintArea" localSheetId="4" hidden="1">PriceAlberta!$A$6:$R$39</definedName>
    <definedName name="Z_CC3965CB_A99C_11D2_A84A_00805F2505DF_.wvu.PrintArea" localSheetId="6" hidden="1">PriceBC!$A$6:$R$39</definedName>
    <definedName name="Z_CC3965CB_A99C_11D2_A84A_00805F2505DF_.wvu.PrintTitles" localSheetId="4" hidden="1">PriceAlberta!$1:$5</definedName>
    <definedName name="Z_CC3965CB_A99C_11D2_A84A_00805F2505DF_.wvu.PrintTitles" localSheetId="6" hidden="1">PriceBC!$1:$5</definedName>
    <definedName name="Z_CC3965CC_A99C_11D2_A84A_00805F2505DF_.wvu.PrintArea" localSheetId="8" hidden="1">PriceEOL!$A$6:$R$39</definedName>
    <definedName name="Z_CC3965CC_A99C_11D2_A84A_00805F2505DF_.wvu.PrintTitles" localSheetId="8" hidden="1">PriceEOL!$1:$5</definedName>
    <definedName name="Z_CC3965CD_A99C_11D2_A84A_00805F2505DF_.wvu.PrintArea" localSheetId="9" hidden="1">EOLIndex!$A$6:$R$39</definedName>
    <definedName name="Z_CC3965CD_A99C_11D2_A84A_00805F2505DF_.wvu.PrintTitles" localSheetId="9" hidden="1">EOLIndex!$1:$5</definedName>
    <definedName name="Z_CC3965CE_A99C_11D2_A84A_00805F2505DF_.wvu.PrintArea" localSheetId="11" hidden="1">OptionsIndex!$A$6:$R$39</definedName>
    <definedName name="Z_CC3965CE_A99C_11D2_A84A_00805F2505DF_.wvu.PrintTitles" localSheetId="11" hidden="1">OptionsIndex!$1:$5</definedName>
    <definedName name="Z_CC3965CF_A99C_11D2_A84A_00805F2505DF_.wvu.PrintArea" localSheetId="12" hidden="1">Straddle!$A$6:$R$39</definedName>
    <definedName name="Z_CC3965CF_A99C_11D2_A84A_00805F2505DF_.wvu.PrintTitles" localSheetId="12" hidden="1">Straddle!$1:$5</definedName>
    <definedName name="Z_CC3965D0_A99C_11D2_A84A_00805F2505DF_.wvu.PrintArea" localSheetId="18" hidden="1">'US $'!$A$6:$R$39</definedName>
    <definedName name="Z_CC3965D0_A99C_11D2_A84A_00805F2505DF_.wvu.PrintTitles" localSheetId="18" hidden="1">'US $'!$1:$5</definedName>
    <definedName name="Z_CC3965D1_A99C_11D2_A84A_00805F2505DF_.wvu.PrintArea" localSheetId="5" hidden="1">AlbertaIndex!$A$40:$AG$118</definedName>
    <definedName name="Z_CC3965D1_A99C_11D2_A84A_00805F2505DF_.wvu.PrintArea" localSheetId="7" hidden="1">BCIndex!$A$40:$AG$118</definedName>
    <definedName name="Z_CC3965D1_A99C_11D2_A84A_00805F2505DF_.wvu.PrintTitles" localSheetId="5" hidden="1">AlbertaIndex!$1:$5</definedName>
    <definedName name="Z_CC3965D1_A99C_11D2_A84A_00805F2505DF_.wvu.PrintTitles" localSheetId="7" hidden="1">BCIndex!$1:$5</definedName>
    <definedName name="Z_CC3965D2_A99C_11D2_A84A_00805F2505DF_.wvu.PrintArea" localSheetId="10" hidden="1">Options!$A$40:$AG$118</definedName>
    <definedName name="Z_CC3965D2_A99C_11D2_A84A_00805F2505DF_.wvu.PrintArea" localSheetId="13" hidden="1">OptionsProp!$A$40:$AG$118</definedName>
    <definedName name="Z_CC3965D2_A99C_11D2_A84A_00805F2505DF_.wvu.PrintTitles" localSheetId="10" hidden="1">Options!$1:$5</definedName>
    <definedName name="Z_CC3965D2_A99C_11D2_A84A_00805F2505DF_.wvu.PrintTitles" localSheetId="13" hidden="1">OptionsProp!$1:$5</definedName>
    <definedName name="Z_CC3965D3_A99C_11D2_A84A_00805F2505DF_.wvu.PrintArea" localSheetId="20" hidden="1">'Price - East '!$A$40:$AG$118</definedName>
    <definedName name="Z_CC3965D3_A99C_11D2_A84A_00805F2505DF_.wvu.PrintTitles" localSheetId="20" hidden="1">'Price - East '!$1:$5</definedName>
    <definedName name="Z_CC3965D4_A99C_11D2_A84A_00805F2505DF_.wvu.PrintArea" localSheetId="4" hidden="1">PriceAlberta!$A$40:$AG$118</definedName>
    <definedName name="Z_CC3965D4_A99C_11D2_A84A_00805F2505DF_.wvu.PrintArea" localSheetId="6" hidden="1">PriceBC!$A$40:$AG$118</definedName>
    <definedName name="Z_CC3965D4_A99C_11D2_A84A_00805F2505DF_.wvu.PrintTitles" localSheetId="4" hidden="1">PriceAlberta!$1:$5</definedName>
    <definedName name="Z_CC3965D4_A99C_11D2_A84A_00805F2505DF_.wvu.PrintTitles" localSheetId="6" hidden="1">PriceBC!$1:$5</definedName>
    <definedName name="Z_CC3965D5_A99C_11D2_A84A_00805F2505DF_.wvu.PrintArea" localSheetId="8" hidden="1">PriceEOL!$A$40:$AG$118</definedName>
    <definedName name="Z_CC3965D5_A99C_11D2_A84A_00805F2505DF_.wvu.PrintTitles" localSheetId="8" hidden="1">PriceEOL!$1:$5</definedName>
    <definedName name="Z_CC3965D6_A99C_11D2_A84A_00805F2505DF_.wvu.PrintArea" localSheetId="9" hidden="1">EOLIndex!$A$40:$AG$118</definedName>
    <definedName name="Z_CC3965D6_A99C_11D2_A84A_00805F2505DF_.wvu.PrintTitles" localSheetId="9" hidden="1">EOLIndex!$1:$5</definedName>
    <definedName name="Z_CC3965D7_A99C_11D2_A84A_00805F2505DF_.wvu.PrintArea" localSheetId="11" hidden="1">OptionsIndex!$A$40:$AG$118</definedName>
    <definedName name="Z_CC3965D7_A99C_11D2_A84A_00805F2505DF_.wvu.PrintTitles" localSheetId="11" hidden="1">OptionsIndex!$1:$5</definedName>
    <definedName name="Z_CC3965D8_A99C_11D2_A84A_00805F2505DF_.wvu.PrintArea" localSheetId="12" hidden="1">Straddle!$A$40:$AG$118</definedName>
    <definedName name="Z_CC3965D8_A99C_11D2_A84A_00805F2505DF_.wvu.PrintTitles" localSheetId="12" hidden="1">Straddle!$1:$5</definedName>
    <definedName name="Z_CC3965D9_A99C_11D2_A84A_00805F2505DF_.wvu.PrintArea" localSheetId="18" hidden="1">'US $'!$A$40:$AG$118</definedName>
    <definedName name="Z_CC3965D9_A99C_11D2_A84A_00805F2505DF_.wvu.PrintTitles" localSheetId="18" hidden="1">'US $'!$1:$5</definedName>
    <definedName name="Z_CC3965DA_A99C_11D2_A84A_00805F2505DF_.wvu.PrintArea" localSheetId="5" hidden="1">AlbertaIndex!$A$120:$M$238</definedName>
    <definedName name="Z_CC3965DA_A99C_11D2_A84A_00805F2505DF_.wvu.PrintArea" localSheetId="7" hidden="1">BCIndex!$A$120:$M$238</definedName>
    <definedName name="Z_CC3965DA_A99C_11D2_A84A_00805F2505DF_.wvu.PrintTitles" localSheetId="5" hidden="1">AlbertaIndex!$1:$5</definedName>
    <definedName name="Z_CC3965DA_A99C_11D2_A84A_00805F2505DF_.wvu.PrintTitles" localSheetId="7" hidden="1">BCIndex!$1:$5</definedName>
    <definedName name="Z_CC3965DB_A99C_11D2_A84A_00805F2505DF_.wvu.PrintArea" localSheetId="10" hidden="1">Options!$A$120:$M$238</definedName>
    <definedName name="Z_CC3965DB_A99C_11D2_A84A_00805F2505DF_.wvu.PrintArea" localSheetId="13" hidden="1">OptionsProp!$A$120:$M$238</definedName>
    <definedName name="Z_CC3965DB_A99C_11D2_A84A_00805F2505DF_.wvu.PrintTitles" localSheetId="10" hidden="1">Options!$1:$5</definedName>
    <definedName name="Z_CC3965DB_A99C_11D2_A84A_00805F2505DF_.wvu.PrintTitles" localSheetId="13" hidden="1">OptionsProp!$1:$5</definedName>
    <definedName name="Z_CC3965DC_A99C_11D2_A84A_00805F2505DF_.wvu.PrintArea" localSheetId="20" hidden="1">'Price - East '!$A$120:$M$238</definedName>
    <definedName name="Z_CC3965DC_A99C_11D2_A84A_00805F2505DF_.wvu.PrintTitles" localSheetId="20" hidden="1">'Price - East '!$1:$5</definedName>
    <definedName name="Z_CC3965DD_A99C_11D2_A84A_00805F2505DF_.wvu.PrintArea" localSheetId="4" hidden="1">PriceAlberta!$A$120:$M$237</definedName>
    <definedName name="Z_CC3965DD_A99C_11D2_A84A_00805F2505DF_.wvu.PrintArea" localSheetId="6" hidden="1">PriceBC!$A$120:$M$237</definedName>
    <definedName name="Z_CC3965DD_A99C_11D2_A84A_00805F2505DF_.wvu.PrintTitles" localSheetId="4" hidden="1">PriceAlberta!$1:$5</definedName>
    <definedName name="Z_CC3965DD_A99C_11D2_A84A_00805F2505DF_.wvu.PrintTitles" localSheetId="6" hidden="1">PriceBC!$1:$5</definedName>
    <definedName name="Z_CC3965DE_A99C_11D2_A84A_00805F2505DF_.wvu.PrintArea" localSheetId="8" hidden="1">PriceEOL!$A$120:$M$238</definedName>
    <definedName name="Z_CC3965DE_A99C_11D2_A84A_00805F2505DF_.wvu.PrintTitles" localSheetId="8" hidden="1">PriceEOL!$1:$5</definedName>
    <definedName name="Z_CC3965DF_A99C_11D2_A84A_00805F2505DF_.wvu.PrintArea" localSheetId="9" hidden="1">EOLIndex!$A$120:$M$238</definedName>
    <definedName name="Z_CC3965DF_A99C_11D2_A84A_00805F2505DF_.wvu.PrintTitles" localSheetId="9" hidden="1">EOLIndex!$1:$5</definedName>
    <definedName name="Z_CC3965E0_A99C_11D2_A84A_00805F2505DF_.wvu.PrintArea" localSheetId="11" hidden="1">OptionsIndex!$A$120:$M$238</definedName>
    <definedName name="Z_CC3965E0_A99C_11D2_A84A_00805F2505DF_.wvu.PrintTitles" localSheetId="11" hidden="1">OptionsIndex!$1:$5</definedName>
    <definedName name="Z_CC3965E1_A99C_11D2_A84A_00805F2505DF_.wvu.PrintArea" localSheetId="12" hidden="1">Straddle!$A$120:$M$238</definedName>
    <definedName name="Z_CC3965E1_A99C_11D2_A84A_00805F2505DF_.wvu.PrintTitles" localSheetId="12" hidden="1">Straddle!$1:$5</definedName>
    <definedName name="Z_CC3965E2_A99C_11D2_A84A_00805F2505DF_.wvu.PrintArea" localSheetId="18" hidden="1">'US $'!$A$120:$M$238</definedName>
    <definedName name="Z_CC3965E2_A99C_11D2_A84A_00805F2505DF_.wvu.PrintTitles" localSheetId="18" hidden="1">'US $'!$1:$5</definedName>
    <definedName name="Z_D4AB6C08_AB0F_11D2_A84C_00805F2505DF_.wvu.PrintArea" localSheetId="5" hidden="1">AlbertaIndex!$A$6:$R$39</definedName>
    <definedName name="Z_D4AB6C08_AB0F_11D2_A84C_00805F2505DF_.wvu.PrintArea" localSheetId="7" hidden="1">BCIndex!$A$6:$R$39</definedName>
    <definedName name="Z_D4AB6C08_AB0F_11D2_A84C_00805F2505DF_.wvu.PrintTitles" localSheetId="5" hidden="1">AlbertaIndex!$1:$5</definedName>
    <definedName name="Z_D4AB6C08_AB0F_11D2_A84C_00805F2505DF_.wvu.PrintTitles" localSheetId="7" hidden="1">BCIndex!$1:$5</definedName>
    <definedName name="Z_D4AB6C09_AB0F_11D2_A84C_00805F2505DF_.wvu.PrintArea" localSheetId="10" hidden="1">Options!$A$6:$R$39</definedName>
    <definedName name="Z_D4AB6C09_AB0F_11D2_A84C_00805F2505DF_.wvu.PrintArea" localSheetId="13" hidden="1">OptionsProp!$A$6:$R$39</definedName>
    <definedName name="Z_D4AB6C09_AB0F_11D2_A84C_00805F2505DF_.wvu.PrintTitles" localSheetId="10" hidden="1">Options!$1:$5</definedName>
    <definedName name="Z_D4AB6C09_AB0F_11D2_A84C_00805F2505DF_.wvu.PrintTitles" localSheetId="13" hidden="1">OptionsProp!$1:$5</definedName>
    <definedName name="Z_D4AB6C0A_AB0F_11D2_A84C_00805F2505DF_.wvu.PrintArea" localSheetId="20" hidden="1">'Price - East '!$A$6:$R$39</definedName>
    <definedName name="Z_D4AB6C0A_AB0F_11D2_A84C_00805F2505DF_.wvu.PrintTitles" localSheetId="20" hidden="1">'Price - East '!$1:$5</definedName>
    <definedName name="Z_D4AB6C0B_AB0F_11D2_A84C_00805F2505DF_.wvu.PrintArea" localSheetId="4" hidden="1">PriceAlberta!$A$6:$R$39</definedName>
    <definedName name="Z_D4AB6C0B_AB0F_11D2_A84C_00805F2505DF_.wvu.PrintArea" localSheetId="6" hidden="1">PriceBC!$A$6:$R$39</definedName>
    <definedName name="Z_D4AB6C0B_AB0F_11D2_A84C_00805F2505DF_.wvu.PrintTitles" localSheetId="4" hidden="1">PriceAlberta!$1:$5</definedName>
    <definedName name="Z_D4AB6C0B_AB0F_11D2_A84C_00805F2505DF_.wvu.PrintTitles" localSheetId="6" hidden="1">PriceBC!$1:$5</definedName>
    <definedName name="Z_D4AB6C0C_AB0F_11D2_A84C_00805F2505DF_.wvu.PrintArea" localSheetId="8" hidden="1">PriceEOL!$A$6:$R$39</definedName>
    <definedName name="Z_D4AB6C0C_AB0F_11D2_A84C_00805F2505DF_.wvu.PrintTitles" localSheetId="8" hidden="1">PriceEOL!$1:$5</definedName>
    <definedName name="Z_D4AB6C0D_AB0F_11D2_A84C_00805F2505DF_.wvu.PrintArea" localSheetId="9" hidden="1">EOLIndex!$A$6:$R$39</definedName>
    <definedName name="Z_D4AB6C0D_AB0F_11D2_A84C_00805F2505DF_.wvu.PrintTitles" localSheetId="9" hidden="1">EOLIndex!$1:$5</definedName>
    <definedName name="Z_D4AB6C0E_AB0F_11D2_A84C_00805F2505DF_.wvu.PrintArea" localSheetId="11" hidden="1">OptionsIndex!$A$6:$R$39</definedName>
    <definedName name="Z_D4AB6C0E_AB0F_11D2_A84C_00805F2505DF_.wvu.PrintTitles" localSheetId="11" hidden="1">OptionsIndex!$1:$5</definedName>
    <definedName name="Z_D4AB6C0F_AB0F_11D2_A84C_00805F2505DF_.wvu.PrintArea" localSheetId="12" hidden="1">Straddle!$A$6:$R$39</definedName>
    <definedName name="Z_D4AB6C0F_AB0F_11D2_A84C_00805F2505DF_.wvu.PrintTitles" localSheetId="12" hidden="1">Straddle!$1:$5</definedName>
    <definedName name="Z_D4AB6C10_AB0F_11D2_A84C_00805F2505DF_.wvu.PrintArea" localSheetId="18" hidden="1">'US $'!$A$6:$R$39</definedName>
    <definedName name="Z_D4AB6C10_AB0F_11D2_A84C_00805F2505DF_.wvu.PrintTitles" localSheetId="18" hidden="1">'US $'!$1:$5</definedName>
    <definedName name="Z_D4AB6C11_AB0F_11D2_A84C_00805F2505DF_.wvu.PrintArea" localSheetId="5" hidden="1">AlbertaIndex!$A$40:$AG$118</definedName>
    <definedName name="Z_D4AB6C11_AB0F_11D2_A84C_00805F2505DF_.wvu.PrintArea" localSheetId="7" hidden="1">BCIndex!$A$40:$AG$118</definedName>
    <definedName name="Z_D4AB6C11_AB0F_11D2_A84C_00805F2505DF_.wvu.PrintTitles" localSheetId="5" hidden="1">AlbertaIndex!$1:$5</definedName>
    <definedName name="Z_D4AB6C11_AB0F_11D2_A84C_00805F2505DF_.wvu.PrintTitles" localSheetId="7" hidden="1">BCIndex!$1:$5</definedName>
    <definedName name="Z_D4AB6C12_AB0F_11D2_A84C_00805F2505DF_.wvu.PrintArea" localSheetId="10" hidden="1">Options!$A$40:$AG$118</definedName>
    <definedName name="Z_D4AB6C12_AB0F_11D2_A84C_00805F2505DF_.wvu.PrintArea" localSheetId="13" hidden="1">OptionsProp!$A$40:$AG$118</definedName>
    <definedName name="Z_D4AB6C12_AB0F_11D2_A84C_00805F2505DF_.wvu.PrintTitles" localSheetId="10" hidden="1">Options!$1:$5</definedName>
    <definedName name="Z_D4AB6C12_AB0F_11D2_A84C_00805F2505DF_.wvu.PrintTitles" localSheetId="13" hidden="1">OptionsProp!$1:$5</definedName>
    <definedName name="Z_D4AB6C13_AB0F_11D2_A84C_00805F2505DF_.wvu.PrintArea" localSheetId="20" hidden="1">'Price - East '!$A$40:$AG$118</definedName>
    <definedName name="Z_D4AB6C13_AB0F_11D2_A84C_00805F2505DF_.wvu.PrintTitles" localSheetId="20" hidden="1">'Price - East '!$1:$5</definedName>
    <definedName name="Z_D4AB6C14_AB0F_11D2_A84C_00805F2505DF_.wvu.PrintArea" localSheetId="4" hidden="1">PriceAlberta!$A$40:$AG$118</definedName>
    <definedName name="Z_D4AB6C14_AB0F_11D2_A84C_00805F2505DF_.wvu.PrintArea" localSheetId="6" hidden="1">PriceBC!$A$40:$AG$118</definedName>
    <definedName name="Z_D4AB6C14_AB0F_11D2_A84C_00805F2505DF_.wvu.PrintTitles" localSheetId="4" hidden="1">PriceAlberta!$1:$5</definedName>
    <definedName name="Z_D4AB6C14_AB0F_11D2_A84C_00805F2505DF_.wvu.PrintTitles" localSheetId="6" hidden="1">PriceBC!$1:$5</definedName>
    <definedName name="Z_D4AB6C15_AB0F_11D2_A84C_00805F2505DF_.wvu.PrintArea" localSheetId="8" hidden="1">PriceEOL!$A$40:$AG$118</definedName>
    <definedName name="Z_D4AB6C15_AB0F_11D2_A84C_00805F2505DF_.wvu.PrintTitles" localSheetId="8" hidden="1">PriceEOL!$1:$5</definedName>
    <definedName name="Z_D4AB6C16_AB0F_11D2_A84C_00805F2505DF_.wvu.PrintArea" localSheetId="9" hidden="1">EOLIndex!$A$40:$AG$118</definedName>
    <definedName name="Z_D4AB6C16_AB0F_11D2_A84C_00805F2505DF_.wvu.PrintTitles" localSheetId="9" hidden="1">EOLIndex!$1:$5</definedName>
    <definedName name="Z_D4AB6C17_AB0F_11D2_A84C_00805F2505DF_.wvu.PrintArea" localSheetId="11" hidden="1">OptionsIndex!$A$40:$AG$118</definedName>
    <definedName name="Z_D4AB6C17_AB0F_11D2_A84C_00805F2505DF_.wvu.PrintTitles" localSheetId="11" hidden="1">OptionsIndex!$1:$5</definedName>
    <definedName name="Z_D4AB6C18_AB0F_11D2_A84C_00805F2505DF_.wvu.PrintArea" localSheetId="12" hidden="1">Straddle!$A$40:$AG$118</definedName>
    <definedName name="Z_D4AB6C18_AB0F_11D2_A84C_00805F2505DF_.wvu.PrintTitles" localSheetId="12" hidden="1">Straddle!$1:$5</definedName>
    <definedName name="Z_D4AB6C19_AB0F_11D2_A84C_00805F2505DF_.wvu.PrintArea" localSheetId="18" hidden="1">'US $'!$A$40:$AG$118</definedName>
    <definedName name="Z_D4AB6C19_AB0F_11D2_A84C_00805F2505DF_.wvu.PrintTitles" localSheetId="18" hidden="1">'US $'!$1:$5</definedName>
    <definedName name="Z_D4AB6C1A_AB0F_11D2_A84C_00805F2505DF_.wvu.PrintArea" localSheetId="5" hidden="1">AlbertaIndex!$A$120:$M$238</definedName>
    <definedName name="Z_D4AB6C1A_AB0F_11D2_A84C_00805F2505DF_.wvu.PrintArea" localSheetId="7" hidden="1">BCIndex!$A$120:$M$238</definedName>
    <definedName name="Z_D4AB6C1A_AB0F_11D2_A84C_00805F2505DF_.wvu.PrintTitles" localSheetId="5" hidden="1">AlbertaIndex!$1:$5</definedName>
    <definedName name="Z_D4AB6C1A_AB0F_11D2_A84C_00805F2505DF_.wvu.PrintTitles" localSheetId="7" hidden="1">BCIndex!$1:$5</definedName>
    <definedName name="Z_D4AB6C1B_AB0F_11D2_A84C_00805F2505DF_.wvu.PrintArea" localSheetId="10" hidden="1">Options!$A$120:$M$238</definedName>
    <definedName name="Z_D4AB6C1B_AB0F_11D2_A84C_00805F2505DF_.wvu.PrintArea" localSheetId="13" hidden="1">OptionsProp!$A$120:$M$238</definedName>
    <definedName name="Z_D4AB6C1B_AB0F_11D2_A84C_00805F2505DF_.wvu.PrintTitles" localSheetId="10" hidden="1">Options!$1:$5</definedName>
    <definedName name="Z_D4AB6C1B_AB0F_11D2_A84C_00805F2505DF_.wvu.PrintTitles" localSheetId="13" hidden="1">OptionsProp!$1:$5</definedName>
    <definedName name="Z_D4AB6C1C_AB0F_11D2_A84C_00805F2505DF_.wvu.PrintArea" localSheetId="20" hidden="1">'Price - East '!$A$120:$M$238</definedName>
    <definedName name="Z_D4AB6C1C_AB0F_11D2_A84C_00805F2505DF_.wvu.PrintTitles" localSheetId="20" hidden="1">'Price - East '!$1:$5</definedName>
    <definedName name="Z_D4AB6C1D_AB0F_11D2_A84C_00805F2505DF_.wvu.PrintArea" localSheetId="4" hidden="1">PriceAlberta!$A$120:$M$237</definedName>
    <definedName name="Z_D4AB6C1D_AB0F_11D2_A84C_00805F2505DF_.wvu.PrintArea" localSheetId="6" hidden="1">PriceBC!$A$120:$M$237</definedName>
    <definedName name="Z_D4AB6C1D_AB0F_11D2_A84C_00805F2505DF_.wvu.PrintTitles" localSheetId="4" hidden="1">PriceAlberta!$1:$5</definedName>
    <definedName name="Z_D4AB6C1D_AB0F_11D2_A84C_00805F2505DF_.wvu.PrintTitles" localSheetId="6" hidden="1">PriceBC!$1:$5</definedName>
    <definedName name="Z_D4AB6C1E_AB0F_11D2_A84C_00805F2505DF_.wvu.PrintArea" localSheetId="8" hidden="1">PriceEOL!$A$120:$M$238</definedName>
    <definedName name="Z_D4AB6C1E_AB0F_11D2_A84C_00805F2505DF_.wvu.PrintTitles" localSheetId="8" hidden="1">PriceEOL!$1:$5</definedName>
    <definedName name="Z_D4AB6C1F_AB0F_11D2_A84C_00805F2505DF_.wvu.PrintArea" localSheetId="9" hidden="1">EOLIndex!$A$120:$M$238</definedName>
    <definedName name="Z_D4AB6C1F_AB0F_11D2_A84C_00805F2505DF_.wvu.PrintTitles" localSheetId="9" hidden="1">EOLIndex!$1:$5</definedName>
    <definedName name="Z_D4AB6C20_AB0F_11D2_A84C_00805F2505DF_.wvu.PrintArea" localSheetId="11" hidden="1">OptionsIndex!$A$120:$M$238</definedName>
    <definedName name="Z_D4AB6C20_AB0F_11D2_A84C_00805F2505DF_.wvu.PrintTitles" localSheetId="11" hidden="1">OptionsIndex!$1:$5</definedName>
    <definedName name="Z_D4AB6C21_AB0F_11D2_A84C_00805F2505DF_.wvu.PrintArea" localSheetId="12" hidden="1">Straddle!$A$120:$M$238</definedName>
    <definedName name="Z_D4AB6C21_AB0F_11D2_A84C_00805F2505DF_.wvu.PrintTitles" localSheetId="12" hidden="1">Straddle!$1:$5</definedName>
    <definedName name="Z_D4AB6C22_AB0F_11D2_A84C_00805F2505DF_.wvu.PrintArea" localSheetId="18" hidden="1">'US $'!$A$120:$M$238</definedName>
    <definedName name="Z_D4AB6C22_AB0F_11D2_A84C_00805F2505DF_.wvu.PrintTitles" localSheetId="18" hidden="1">'US $'!$1:$5</definedName>
    <definedName name="Z_D4AB6C61_AB0F_11D2_A84C_00805F2505DF_.wvu.PrintArea" localSheetId="5" hidden="1">AlbertaIndex!$A$6:$R$39</definedName>
    <definedName name="Z_D4AB6C61_AB0F_11D2_A84C_00805F2505DF_.wvu.PrintArea" localSheetId="7" hidden="1">BCIndex!$A$6:$R$39</definedName>
    <definedName name="Z_D4AB6C61_AB0F_11D2_A84C_00805F2505DF_.wvu.PrintTitles" localSheetId="5" hidden="1">AlbertaIndex!$1:$5</definedName>
    <definedName name="Z_D4AB6C61_AB0F_11D2_A84C_00805F2505DF_.wvu.PrintTitles" localSheetId="7" hidden="1">BCIndex!$1:$5</definedName>
    <definedName name="Z_D4AB6C62_AB0F_11D2_A84C_00805F2505DF_.wvu.PrintArea" localSheetId="10" hidden="1">Options!$A$6:$R$39</definedName>
    <definedName name="Z_D4AB6C62_AB0F_11D2_A84C_00805F2505DF_.wvu.PrintArea" localSheetId="13" hidden="1">OptionsProp!$A$6:$R$39</definedName>
    <definedName name="Z_D4AB6C62_AB0F_11D2_A84C_00805F2505DF_.wvu.PrintTitles" localSheetId="10" hidden="1">Options!$1:$5</definedName>
    <definedName name="Z_D4AB6C62_AB0F_11D2_A84C_00805F2505DF_.wvu.PrintTitles" localSheetId="13" hidden="1">OptionsProp!$1:$5</definedName>
    <definedName name="Z_D4AB6C63_AB0F_11D2_A84C_00805F2505DF_.wvu.PrintArea" localSheetId="20" hidden="1">'Price - East '!$A$6:$R$39</definedName>
    <definedName name="Z_D4AB6C63_AB0F_11D2_A84C_00805F2505DF_.wvu.PrintTitles" localSheetId="20" hidden="1">'Price - East '!$1:$5</definedName>
    <definedName name="Z_D4AB6C64_AB0F_11D2_A84C_00805F2505DF_.wvu.PrintArea" localSheetId="4" hidden="1">PriceAlberta!$A$6:$R$39</definedName>
    <definedName name="Z_D4AB6C64_AB0F_11D2_A84C_00805F2505DF_.wvu.PrintArea" localSheetId="6" hidden="1">PriceBC!$A$6:$R$39</definedName>
    <definedName name="Z_D4AB6C64_AB0F_11D2_A84C_00805F2505DF_.wvu.PrintTitles" localSheetId="4" hidden="1">PriceAlberta!$1:$5</definedName>
    <definedName name="Z_D4AB6C64_AB0F_11D2_A84C_00805F2505DF_.wvu.PrintTitles" localSheetId="6" hidden="1">PriceBC!$1:$5</definedName>
    <definedName name="Z_D4AB6C65_AB0F_11D2_A84C_00805F2505DF_.wvu.PrintArea" localSheetId="8" hidden="1">PriceEOL!$A$6:$R$39</definedName>
    <definedName name="Z_D4AB6C65_AB0F_11D2_A84C_00805F2505DF_.wvu.PrintTitles" localSheetId="8" hidden="1">PriceEOL!$1:$5</definedName>
    <definedName name="Z_D4AB6C66_AB0F_11D2_A84C_00805F2505DF_.wvu.PrintArea" localSheetId="9" hidden="1">EOLIndex!$A$6:$R$39</definedName>
    <definedName name="Z_D4AB6C66_AB0F_11D2_A84C_00805F2505DF_.wvu.PrintTitles" localSheetId="9" hidden="1">EOLIndex!$1:$5</definedName>
    <definedName name="Z_D4AB6C67_AB0F_11D2_A84C_00805F2505DF_.wvu.PrintArea" localSheetId="11" hidden="1">OptionsIndex!$A$6:$R$39</definedName>
    <definedName name="Z_D4AB6C67_AB0F_11D2_A84C_00805F2505DF_.wvu.PrintTitles" localSheetId="11" hidden="1">OptionsIndex!$1:$5</definedName>
    <definedName name="Z_D4AB6C68_AB0F_11D2_A84C_00805F2505DF_.wvu.PrintArea" localSheetId="12" hidden="1">Straddle!$A$6:$R$39</definedName>
    <definedName name="Z_D4AB6C68_AB0F_11D2_A84C_00805F2505DF_.wvu.PrintTitles" localSheetId="12" hidden="1">Straddle!$1:$5</definedName>
    <definedName name="Z_D4AB6C69_AB0F_11D2_A84C_00805F2505DF_.wvu.PrintArea" localSheetId="18" hidden="1">'US $'!$A$6:$R$39</definedName>
    <definedName name="Z_D4AB6C69_AB0F_11D2_A84C_00805F2505DF_.wvu.PrintTitles" localSheetId="18" hidden="1">'US $'!$1:$5</definedName>
    <definedName name="Z_D4AB6C6A_AB0F_11D2_A84C_00805F2505DF_.wvu.PrintArea" localSheetId="5" hidden="1">AlbertaIndex!$A$40:$AG$118</definedName>
    <definedName name="Z_D4AB6C6A_AB0F_11D2_A84C_00805F2505DF_.wvu.PrintArea" localSheetId="7" hidden="1">BCIndex!$A$40:$AG$118</definedName>
    <definedName name="Z_D4AB6C6A_AB0F_11D2_A84C_00805F2505DF_.wvu.PrintTitles" localSheetId="5" hidden="1">AlbertaIndex!$1:$5</definedName>
    <definedName name="Z_D4AB6C6A_AB0F_11D2_A84C_00805F2505DF_.wvu.PrintTitles" localSheetId="7" hidden="1">BCIndex!$1:$5</definedName>
    <definedName name="Z_D4AB6C6B_AB0F_11D2_A84C_00805F2505DF_.wvu.PrintArea" localSheetId="10" hidden="1">Options!$A$40:$AG$118</definedName>
    <definedName name="Z_D4AB6C6B_AB0F_11D2_A84C_00805F2505DF_.wvu.PrintArea" localSheetId="13" hidden="1">OptionsProp!$A$40:$AG$118</definedName>
    <definedName name="Z_D4AB6C6B_AB0F_11D2_A84C_00805F2505DF_.wvu.PrintTitles" localSheetId="10" hidden="1">Options!$1:$5</definedName>
    <definedName name="Z_D4AB6C6B_AB0F_11D2_A84C_00805F2505DF_.wvu.PrintTitles" localSheetId="13" hidden="1">OptionsProp!$1:$5</definedName>
    <definedName name="Z_D4AB6C6C_AB0F_11D2_A84C_00805F2505DF_.wvu.PrintArea" localSheetId="20" hidden="1">'Price - East '!$A$40:$AG$118</definedName>
    <definedName name="Z_D4AB6C6C_AB0F_11D2_A84C_00805F2505DF_.wvu.PrintTitles" localSheetId="20" hidden="1">'Price - East '!$1:$5</definedName>
    <definedName name="Z_D4AB6C6D_AB0F_11D2_A84C_00805F2505DF_.wvu.PrintArea" localSheetId="4" hidden="1">PriceAlberta!$A$40:$AG$118</definedName>
    <definedName name="Z_D4AB6C6D_AB0F_11D2_A84C_00805F2505DF_.wvu.PrintArea" localSheetId="6" hidden="1">PriceBC!$A$40:$AG$118</definedName>
    <definedName name="Z_D4AB6C6D_AB0F_11D2_A84C_00805F2505DF_.wvu.PrintTitles" localSheetId="4" hidden="1">PriceAlberta!$1:$5</definedName>
    <definedName name="Z_D4AB6C6D_AB0F_11D2_A84C_00805F2505DF_.wvu.PrintTitles" localSheetId="6" hidden="1">PriceBC!$1:$5</definedName>
    <definedName name="Z_D4AB6C6E_AB0F_11D2_A84C_00805F2505DF_.wvu.PrintArea" localSheetId="8" hidden="1">PriceEOL!$A$40:$AG$118</definedName>
    <definedName name="Z_D4AB6C6E_AB0F_11D2_A84C_00805F2505DF_.wvu.PrintTitles" localSheetId="8" hidden="1">PriceEOL!$1:$5</definedName>
    <definedName name="Z_D4AB6C6F_AB0F_11D2_A84C_00805F2505DF_.wvu.PrintArea" localSheetId="9" hidden="1">EOLIndex!$A$40:$AG$118</definedName>
    <definedName name="Z_D4AB6C6F_AB0F_11D2_A84C_00805F2505DF_.wvu.PrintTitles" localSheetId="9" hidden="1">EOLIndex!$1:$5</definedName>
    <definedName name="Z_D4AB6C70_AB0F_11D2_A84C_00805F2505DF_.wvu.PrintArea" localSheetId="11" hidden="1">OptionsIndex!$A$40:$AG$118</definedName>
    <definedName name="Z_D4AB6C70_AB0F_11D2_A84C_00805F2505DF_.wvu.PrintTitles" localSheetId="11" hidden="1">OptionsIndex!$1:$5</definedName>
    <definedName name="Z_D4AB6C71_AB0F_11D2_A84C_00805F2505DF_.wvu.PrintArea" localSheetId="12" hidden="1">Straddle!$A$40:$AG$118</definedName>
    <definedName name="Z_D4AB6C71_AB0F_11D2_A84C_00805F2505DF_.wvu.PrintTitles" localSheetId="12" hidden="1">Straddle!$1:$5</definedName>
    <definedName name="Z_D4AB6C72_AB0F_11D2_A84C_00805F2505DF_.wvu.PrintArea" localSheetId="18" hidden="1">'US $'!$A$40:$AG$118</definedName>
    <definedName name="Z_D4AB6C72_AB0F_11D2_A84C_00805F2505DF_.wvu.PrintTitles" localSheetId="18" hidden="1">'US $'!$1:$5</definedName>
    <definedName name="Z_D4AB6C73_AB0F_11D2_A84C_00805F2505DF_.wvu.PrintArea" localSheetId="5" hidden="1">AlbertaIndex!$A$120:$M$238</definedName>
    <definedName name="Z_D4AB6C73_AB0F_11D2_A84C_00805F2505DF_.wvu.PrintArea" localSheetId="7" hidden="1">BCIndex!$A$120:$M$238</definedName>
    <definedName name="Z_D4AB6C73_AB0F_11D2_A84C_00805F2505DF_.wvu.PrintTitles" localSheetId="5" hidden="1">AlbertaIndex!$1:$5</definedName>
    <definedName name="Z_D4AB6C73_AB0F_11D2_A84C_00805F2505DF_.wvu.PrintTitles" localSheetId="7" hidden="1">BCIndex!$1:$5</definedName>
    <definedName name="Z_D4AB6C74_AB0F_11D2_A84C_00805F2505DF_.wvu.PrintArea" localSheetId="10" hidden="1">Options!$A$120:$M$238</definedName>
    <definedName name="Z_D4AB6C74_AB0F_11D2_A84C_00805F2505DF_.wvu.PrintArea" localSheetId="13" hidden="1">OptionsProp!$A$120:$M$238</definedName>
    <definedName name="Z_D4AB6C74_AB0F_11D2_A84C_00805F2505DF_.wvu.PrintTitles" localSheetId="10" hidden="1">Options!$1:$5</definedName>
    <definedName name="Z_D4AB6C74_AB0F_11D2_A84C_00805F2505DF_.wvu.PrintTitles" localSheetId="13" hidden="1">OptionsProp!$1:$5</definedName>
    <definedName name="Z_D4AB6C75_AB0F_11D2_A84C_00805F2505DF_.wvu.PrintArea" localSheetId="20" hidden="1">'Price - East '!$A$120:$M$238</definedName>
    <definedName name="Z_D4AB6C75_AB0F_11D2_A84C_00805F2505DF_.wvu.PrintTitles" localSheetId="20" hidden="1">'Price - East '!$1:$5</definedName>
    <definedName name="Z_D4AB6C76_AB0F_11D2_A84C_00805F2505DF_.wvu.PrintArea" localSheetId="4" hidden="1">PriceAlberta!$A$120:$M$237</definedName>
    <definedName name="Z_D4AB6C76_AB0F_11D2_A84C_00805F2505DF_.wvu.PrintArea" localSheetId="6" hidden="1">PriceBC!$A$120:$M$237</definedName>
    <definedName name="Z_D4AB6C76_AB0F_11D2_A84C_00805F2505DF_.wvu.PrintTitles" localSheetId="4" hidden="1">PriceAlberta!$1:$5</definedName>
    <definedName name="Z_D4AB6C76_AB0F_11D2_A84C_00805F2505DF_.wvu.PrintTitles" localSheetId="6" hidden="1">PriceBC!$1:$5</definedName>
    <definedName name="Z_D4AB6C77_AB0F_11D2_A84C_00805F2505DF_.wvu.PrintArea" localSheetId="8" hidden="1">PriceEOL!$A$120:$M$238</definedName>
    <definedName name="Z_D4AB6C77_AB0F_11D2_A84C_00805F2505DF_.wvu.PrintTitles" localSheetId="8" hidden="1">PriceEOL!$1:$5</definedName>
    <definedName name="Z_D4AB6C78_AB0F_11D2_A84C_00805F2505DF_.wvu.PrintArea" localSheetId="9" hidden="1">EOLIndex!$A$120:$M$238</definedName>
    <definedName name="Z_D4AB6C78_AB0F_11D2_A84C_00805F2505DF_.wvu.PrintTitles" localSheetId="9" hidden="1">EOLIndex!$1:$5</definedName>
    <definedName name="Z_D4AB6C79_AB0F_11D2_A84C_00805F2505DF_.wvu.PrintArea" localSheetId="11" hidden="1">OptionsIndex!$A$120:$M$238</definedName>
    <definedName name="Z_D4AB6C79_AB0F_11D2_A84C_00805F2505DF_.wvu.PrintTitles" localSheetId="11" hidden="1">OptionsIndex!$1:$5</definedName>
    <definedName name="Z_D4AB6C7A_AB0F_11D2_A84C_00805F2505DF_.wvu.PrintArea" localSheetId="12" hidden="1">Straddle!$A$120:$M$238</definedName>
    <definedName name="Z_D4AB6C7A_AB0F_11D2_A84C_00805F2505DF_.wvu.PrintTitles" localSheetId="12" hidden="1">Straddle!$1:$5</definedName>
    <definedName name="Z_D4AB6C7B_AB0F_11D2_A84C_00805F2505DF_.wvu.PrintArea" localSheetId="18" hidden="1">'US $'!$A$120:$M$238</definedName>
    <definedName name="Z_D4AB6C7B_AB0F_11D2_A84C_00805F2505DF_.wvu.PrintTitles" localSheetId="18" hidden="1">'US $'!$1:$5</definedName>
    <definedName name="Z_E05B511F_A672_11D2_A848_00805F2505DF_.wvu.PrintArea" localSheetId="5" hidden="1">AlbertaIndex!$A$6:$R$39</definedName>
    <definedName name="Z_E05B511F_A672_11D2_A848_00805F2505DF_.wvu.PrintArea" localSheetId="7" hidden="1">BCIndex!$A$6:$R$39</definedName>
    <definedName name="Z_E05B511F_A672_11D2_A848_00805F2505DF_.wvu.PrintTitles" localSheetId="5" hidden="1">AlbertaIndex!$1:$5</definedName>
    <definedName name="Z_E05B511F_A672_11D2_A848_00805F2505DF_.wvu.PrintTitles" localSheetId="7" hidden="1">BCIndex!$1:$5</definedName>
    <definedName name="Z_E05B5120_A672_11D2_A848_00805F2505DF_.wvu.PrintArea" localSheetId="10" hidden="1">Options!$A$6:$R$39</definedName>
    <definedName name="Z_E05B5120_A672_11D2_A848_00805F2505DF_.wvu.PrintArea" localSheetId="13" hidden="1">OptionsProp!$A$6:$R$39</definedName>
    <definedName name="Z_E05B5120_A672_11D2_A848_00805F2505DF_.wvu.PrintTitles" localSheetId="10" hidden="1">Options!$1:$5</definedName>
    <definedName name="Z_E05B5120_A672_11D2_A848_00805F2505DF_.wvu.PrintTitles" localSheetId="13" hidden="1">OptionsProp!$1:$5</definedName>
    <definedName name="Z_E05B5121_A672_11D2_A848_00805F2505DF_.wvu.PrintArea" localSheetId="20" hidden="1">'Price - East '!$A$6:$R$39</definedName>
    <definedName name="Z_E05B5121_A672_11D2_A848_00805F2505DF_.wvu.PrintTitles" localSheetId="20" hidden="1">'Price - East '!$1:$5</definedName>
    <definedName name="Z_E05B5122_A672_11D2_A848_00805F2505DF_.wvu.PrintArea" localSheetId="4" hidden="1">PriceAlberta!$A$6:$R$39</definedName>
    <definedName name="Z_E05B5122_A672_11D2_A848_00805F2505DF_.wvu.PrintArea" localSheetId="6" hidden="1">PriceBC!$A$6:$R$39</definedName>
    <definedName name="Z_E05B5122_A672_11D2_A848_00805F2505DF_.wvu.PrintTitles" localSheetId="4" hidden="1">PriceAlberta!$1:$5</definedName>
    <definedName name="Z_E05B5122_A672_11D2_A848_00805F2505DF_.wvu.PrintTitles" localSheetId="6" hidden="1">PriceBC!$1:$5</definedName>
    <definedName name="Z_E05B5123_A672_11D2_A848_00805F2505DF_.wvu.PrintArea" localSheetId="8" hidden="1">PriceEOL!$A$6:$R$39</definedName>
    <definedName name="Z_E05B5123_A672_11D2_A848_00805F2505DF_.wvu.PrintTitles" localSheetId="8" hidden="1">PriceEOL!$1:$5</definedName>
    <definedName name="Z_E05B5124_A672_11D2_A848_00805F2505DF_.wvu.PrintArea" localSheetId="9" hidden="1">EOLIndex!$A$6:$R$39</definedName>
    <definedName name="Z_E05B5124_A672_11D2_A848_00805F2505DF_.wvu.PrintTitles" localSheetId="9" hidden="1">EOLIndex!$1:$5</definedName>
    <definedName name="Z_E05B5125_A672_11D2_A848_00805F2505DF_.wvu.PrintArea" localSheetId="11" hidden="1">OptionsIndex!$A$6:$R$39</definedName>
    <definedName name="Z_E05B5125_A672_11D2_A848_00805F2505DF_.wvu.PrintTitles" localSheetId="11" hidden="1">OptionsIndex!$1:$5</definedName>
    <definedName name="Z_E05B5126_A672_11D2_A848_00805F2505DF_.wvu.PrintArea" localSheetId="12" hidden="1">Straddle!$A$6:$R$39</definedName>
    <definedName name="Z_E05B5126_A672_11D2_A848_00805F2505DF_.wvu.PrintTitles" localSheetId="12" hidden="1">Straddle!$1:$5</definedName>
    <definedName name="Z_E05B5127_A672_11D2_A848_00805F2505DF_.wvu.PrintArea" localSheetId="18" hidden="1">'US $'!$A$6:$R$39</definedName>
    <definedName name="Z_E05B5127_A672_11D2_A848_00805F2505DF_.wvu.PrintTitles" localSheetId="18" hidden="1">'US $'!$1:$5</definedName>
    <definedName name="Z_E05B5128_A672_11D2_A848_00805F2505DF_.wvu.PrintArea" localSheetId="5" hidden="1">AlbertaIndex!$A$40:$AG$118</definedName>
    <definedName name="Z_E05B5128_A672_11D2_A848_00805F2505DF_.wvu.PrintArea" localSheetId="7" hidden="1">BCIndex!$A$40:$AG$118</definedName>
    <definedName name="Z_E05B5128_A672_11D2_A848_00805F2505DF_.wvu.PrintTitles" localSheetId="5" hidden="1">AlbertaIndex!$1:$5</definedName>
    <definedName name="Z_E05B5128_A672_11D2_A848_00805F2505DF_.wvu.PrintTitles" localSheetId="7" hidden="1">BCIndex!$1:$5</definedName>
    <definedName name="Z_E05B5129_A672_11D2_A848_00805F2505DF_.wvu.PrintArea" localSheetId="10" hidden="1">Options!$A$40:$AG$118</definedName>
    <definedName name="Z_E05B5129_A672_11D2_A848_00805F2505DF_.wvu.PrintArea" localSheetId="13" hidden="1">OptionsProp!$A$40:$AG$118</definedName>
    <definedName name="Z_E05B5129_A672_11D2_A848_00805F2505DF_.wvu.PrintTitles" localSheetId="10" hidden="1">Options!$1:$5</definedName>
    <definedName name="Z_E05B5129_A672_11D2_A848_00805F2505DF_.wvu.PrintTitles" localSheetId="13" hidden="1">OptionsProp!$1:$5</definedName>
    <definedName name="Z_E05B512A_A672_11D2_A848_00805F2505DF_.wvu.PrintArea" localSheetId="20" hidden="1">'Price - East '!$A$40:$AG$118</definedName>
    <definedName name="Z_E05B512A_A672_11D2_A848_00805F2505DF_.wvu.PrintTitles" localSheetId="20" hidden="1">'Price - East '!$1:$5</definedName>
    <definedName name="Z_E05B512B_A672_11D2_A848_00805F2505DF_.wvu.PrintArea" localSheetId="4" hidden="1">PriceAlberta!$A$40:$AG$118</definedName>
    <definedName name="Z_E05B512B_A672_11D2_A848_00805F2505DF_.wvu.PrintArea" localSheetId="6" hidden="1">PriceBC!$A$40:$AG$118</definedName>
    <definedName name="Z_E05B512B_A672_11D2_A848_00805F2505DF_.wvu.PrintTitles" localSheetId="4" hidden="1">PriceAlberta!$1:$5</definedName>
    <definedName name="Z_E05B512B_A672_11D2_A848_00805F2505DF_.wvu.PrintTitles" localSheetId="6" hidden="1">PriceBC!$1:$5</definedName>
    <definedName name="Z_E05B512C_A672_11D2_A848_00805F2505DF_.wvu.PrintArea" localSheetId="8" hidden="1">PriceEOL!$A$40:$AG$118</definedName>
    <definedName name="Z_E05B512C_A672_11D2_A848_00805F2505DF_.wvu.PrintTitles" localSheetId="8" hidden="1">PriceEOL!$1:$5</definedName>
    <definedName name="Z_E05B512D_A672_11D2_A848_00805F2505DF_.wvu.PrintArea" localSheetId="9" hidden="1">EOLIndex!$A$40:$AG$118</definedName>
    <definedName name="Z_E05B512D_A672_11D2_A848_00805F2505DF_.wvu.PrintTitles" localSheetId="9" hidden="1">EOLIndex!$1:$5</definedName>
    <definedName name="Z_E05B512E_A672_11D2_A848_00805F2505DF_.wvu.PrintArea" localSheetId="11" hidden="1">OptionsIndex!$A$40:$AG$118</definedName>
    <definedName name="Z_E05B512E_A672_11D2_A848_00805F2505DF_.wvu.PrintTitles" localSheetId="11" hidden="1">OptionsIndex!$1:$5</definedName>
    <definedName name="Z_E05B512F_A672_11D2_A848_00805F2505DF_.wvu.PrintArea" localSheetId="12" hidden="1">Straddle!$A$40:$AG$118</definedName>
    <definedName name="Z_E05B512F_A672_11D2_A848_00805F2505DF_.wvu.PrintTitles" localSheetId="12" hidden="1">Straddle!$1:$5</definedName>
    <definedName name="Z_E05B5130_A672_11D2_A848_00805F2505DF_.wvu.PrintArea" localSheetId="18" hidden="1">'US $'!$A$40:$AG$118</definedName>
    <definedName name="Z_E05B5130_A672_11D2_A848_00805F2505DF_.wvu.PrintTitles" localSheetId="18" hidden="1">'US $'!$1:$5</definedName>
    <definedName name="Z_E05B5131_A672_11D2_A848_00805F2505DF_.wvu.PrintArea" localSheetId="5" hidden="1">AlbertaIndex!$A$120:$M$238</definedName>
    <definedName name="Z_E05B5131_A672_11D2_A848_00805F2505DF_.wvu.PrintArea" localSheetId="7" hidden="1">BCIndex!$A$120:$M$238</definedName>
    <definedName name="Z_E05B5131_A672_11D2_A848_00805F2505DF_.wvu.PrintTitles" localSheetId="5" hidden="1">AlbertaIndex!$1:$5</definedName>
    <definedName name="Z_E05B5131_A672_11D2_A848_00805F2505DF_.wvu.PrintTitles" localSheetId="7" hidden="1">BCIndex!$1:$5</definedName>
    <definedName name="Z_E05B5132_A672_11D2_A848_00805F2505DF_.wvu.PrintArea" localSheetId="10" hidden="1">Options!$A$120:$M$238</definedName>
    <definedName name="Z_E05B5132_A672_11D2_A848_00805F2505DF_.wvu.PrintArea" localSheetId="13" hidden="1">OptionsProp!$A$120:$M$238</definedName>
    <definedName name="Z_E05B5132_A672_11D2_A848_00805F2505DF_.wvu.PrintTitles" localSheetId="10" hidden="1">Options!$1:$5</definedName>
    <definedName name="Z_E05B5132_A672_11D2_A848_00805F2505DF_.wvu.PrintTitles" localSheetId="13" hidden="1">OptionsProp!$1:$5</definedName>
    <definedName name="Z_E05B5133_A672_11D2_A848_00805F2505DF_.wvu.PrintArea" localSheetId="20" hidden="1">'Price - East '!$A$120:$M$238</definedName>
    <definedName name="Z_E05B5133_A672_11D2_A848_00805F2505DF_.wvu.PrintTitles" localSheetId="20" hidden="1">'Price - East '!$1:$5</definedName>
    <definedName name="Z_E05B5134_A672_11D2_A848_00805F2505DF_.wvu.PrintArea" localSheetId="4" hidden="1">PriceAlberta!$A$120:$M$237</definedName>
    <definedName name="Z_E05B5134_A672_11D2_A848_00805F2505DF_.wvu.PrintArea" localSheetId="6" hidden="1">PriceBC!$A$120:$M$237</definedName>
    <definedName name="Z_E05B5134_A672_11D2_A848_00805F2505DF_.wvu.PrintTitles" localSheetId="4" hidden="1">PriceAlberta!$1:$5</definedName>
    <definedName name="Z_E05B5134_A672_11D2_A848_00805F2505DF_.wvu.PrintTitles" localSheetId="6" hidden="1">PriceBC!$1:$5</definedName>
    <definedName name="Z_E05B5135_A672_11D2_A848_00805F2505DF_.wvu.PrintArea" localSheetId="8" hidden="1">PriceEOL!$A$120:$M$238</definedName>
    <definedName name="Z_E05B5135_A672_11D2_A848_00805F2505DF_.wvu.PrintTitles" localSheetId="8" hidden="1">PriceEOL!$1:$5</definedName>
    <definedName name="Z_E05B5136_A672_11D2_A848_00805F2505DF_.wvu.PrintArea" localSheetId="9" hidden="1">EOLIndex!$A$120:$M$238</definedName>
    <definedName name="Z_E05B5136_A672_11D2_A848_00805F2505DF_.wvu.PrintTitles" localSheetId="9" hidden="1">EOLIndex!$1:$5</definedName>
    <definedName name="Z_E05B5137_A672_11D2_A848_00805F2505DF_.wvu.PrintArea" localSheetId="11" hidden="1">OptionsIndex!$A$120:$M$238</definedName>
    <definedName name="Z_E05B5137_A672_11D2_A848_00805F2505DF_.wvu.PrintTitles" localSheetId="11" hidden="1">OptionsIndex!$1:$5</definedName>
    <definedName name="Z_E05B5138_A672_11D2_A848_00805F2505DF_.wvu.PrintArea" localSheetId="12" hidden="1">Straddle!$A$120:$M$238</definedName>
    <definedName name="Z_E05B5138_A672_11D2_A848_00805F2505DF_.wvu.PrintTitles" localSheetId="12" hidden="1">Straddle!$1:$5</definedName>
    <definedName name="Z_E05B5139_A672_11D2_A848_00805F2505DF_.wvu.PrintArea" localSheetId="18" hidden="1">'US $'!$A$120:$M$238</definedName>
    <definedName name="Z_E05B5139_A672_11D2_A848_00805F2505DF_.wvu.PrintTitles" localSheetId="18" hidden="1">'US $'!$1:$5</definedName>
    <definedName name="Z_F60B7B76_B470_11D2_A851_00805F2505DF_.wvu.PrintArea" localSheetId="5" hidden="1">AlbertaIndex!$A$6:$R$39</definedName>
    <definedName name="Z_F60B7B76_B470_11D2_A851_00805F2505DF_.wvu.PrintArea" localSheetId="7" hidden="1">BCIndex!$A$6:$R$39</definedName>
    <definedName name="Z_F60B7B76_B470_11D2_A851_00805F2505DF_.wvu.PrintTitles" localSheetId="5" hidden="1">AlbertaIndex!$1:$5</definedName>
    <definedName name="Z_F60B7B76_B470_11D2_A851_00805F2505DF_.wvu.PrintTitles" localSheetId="7" hidden="1">BCIndex!$1:$5</definedName>
    <definedName name="Z_F60B7B77_B470_11D2_A851_00805F2505DF_.wvu.PrintArea" localSheetId="10" hidden="1">Options!$A$6:$R$39</definedName>
    <definedName name="Z_F60B7B77_B470_11D2_A851_00805F2505DF_.wvu.PrintArea" localSheetId="13" hidden="1">OptionsProp!$A$6:$R$39</definedName>
    <definedName name="Z_F60B7B77_B470_11D2_A851_00805F2505DF_.wvu.PrintTitles" localSheetId="10" hidden="1">Options!$1:$5</definedName>
    <definedName name="Z_F60B7B77_B470_11D2_A851_00805F2505DF_.wvu.PrintTitles" localSheetId="13" hidden="1">OptionsProp!$1:$5</definedName>
    <definedName name="Z_F60B7B78_B470_11D2_A851_00805F2505DF_.wvu.PrintArea" localSheetId="20" hidden="1">'Price - East '!$A$6:$R$39</definedName>
    <definedName name="Z_F60B7B78_B470_11D2_A851_00805F2505DF_.wvu.PrintTitles" localSheetId="20" hidden="1">'Price - East '!$1:$5</definedName>
    <definedName name="Z_F60B7B79_B470_11D2_A851_00805F2505DF_.wvu.PrintArea" localSheetId="4" hidden="1">PriceAlberta!$A$6:$R$39</definedName>
    <definedName name="Z_F60B7B79_B470_11D2_A851_00805F2505DF_.wvu.PrintArea" localSheetId="6" hidden="1">PriceBC!$A$6:$R$39</definedName>
    <definedName name="Z_F60B7B79_B470_11D2_A851_00805F2505DF_.wvu.PrintTitles" localSheetId="4" hidden="1">PriceAlberta!$1:$5</definedName>
    <definedName name="Z_F60B7B79_B470_11D2_A851_00805F2505DF_.wvu.PrintTitles" localSheetId="6" hidden="1">PriceBC!$1:$5</definedName>
    <definedName name="Z_F60B7B7A_B470_11D2_A851_00805F2505DF_.wvu.PrintArea" localSheetId="8" hidden="1">PriceEOL!$A$6:$R$39</definedName>
    <definedName name="Z_F60B7B7A_B470_11D2_A851_00805F2505DF_.wvu.PrintTitles" localSheetId="8" hidden="1">PriceEOL!$1:$5</definedName>
    <definedName name="Z_F60B7B7B_B470_11D2_A851_00805F2505DF_.wvu.PrintArea" localSheetId="9" hidden="1">EOLIndex!$A$6:$R$39</definedName>
    <definedName name="Z_F60B7B7B_B470_11D2_A851_00805F2505DF_.wvu.PrintTitles" localSheetId="9" hidden="1">EOLIndex!$1:$5</definedName>
    <definedName name="Z_F60B7B7C_B470_11D2_A851_00805F2505DF_.wvu.PrintArea" localSheetId="11" hidden="1">OptionsIndex!$A$6:$R$39</definedName>
    <definedName name="Z_F60B7B7C_B470_11D2_A851_00805F2505DF_.wvu.PrintTitles" localSheetId="11" hidden="1">OptionsIndex!$1:$5</definedName>
    <definedName name="Z_F60B7B7D_B470_11D2_A851_00805F2505DF_.wvu.PrintArea" localSheetId="12" hidden="1">Straddle!$A$6:$R$39</definedName>
    <definedName name="Z_F60B7B7D_B470_11D2_A851_00805F2505DF_.wvu.PrintTitles" localSheetId="12" hidden="1">Straddle!$1:$5</definedName>
    <definedName name="Z_F60B7B7E_B470_11D2_A851_00805F2505DF_.wvu.PrintArea" localSheetId="18" hidden="1">'US $'!$A$6:$R$39</definedName>
    <definedName name="Z_F60B7B7E_B470_11D2_A851_00805F2505DF_.wvu.PrintTitles" localSheetId="18" hidden="1">'US $'!$1:$5</definedName>
    <definedName name="Z_F60B7B7F_B470_11D2_A851_00805F2505DF_.wvu.PrintArea" localSheetId="5" hidden="1">AlbertaIndex!$A$40:$AG$118</definedName>
    <definedName name="Z_F60B7B7F_B470_11D2_A851_00805F2505DF_.wvu.PrintArea" localSheetId="7" hidden="1">BCIndex!$A$40:$AG$118</definedName>
    <definedName name="Z_F60B7B7F_B470_11D2_A851_00805F2505DF_.wvu.PrintTitles" localSheetId="5" hidden="1">AlbertaIndex!$1:$5</definedName>
    <definedName name="Z_F60B7B7F_B470_11D2_A851_00805F2505DF_.wvu.PrintTitles" localSheetId="7" hidden="1">BCIndex!$1:$5</definedName>
    <definedName name="Z_F60B7B80_B470_11D2_A851_00805F2505DF_.wvu.PrintArea" localSheetId="10" hidden="1">Options!$A$40:$AG$118</definedName>
    <definedName name="Z_F60B7B80_B470_11D2_A851_00805F2505DF_.wvu.PrintArea" localSheetId="13" hidden="1">OptionsProp!$A$40:$AG$118</definedName>
    <definedName name="Z_F60B7B80_B470_11D2_A851_00805F2505DF_.wvu.PrintTitles" localSheetId="10" hidden="1">Options!$1:$5</definedName>
    <definedName name="Z_F60B7B80_B470_11D2_A851_00805F2505DF_.wvu.PrintTitles" localSheetId="13" hidden="1">OptionsProp!$1:$5</definedName>
    <definedName name="Z_F60B7B81_B470_11D2_A851_00805F2505DF_.wvu.PrintArea" localSheetId="20" hidden="1">'Price - East '!$A$40:$AG$118</definedName>
    <definedName name="Z_F60B7B81_B470_11D2_A851_00805F2505DF_.wvu.PrintTitles" localSheetId="20" hidden="1">'Price - East '!$1:$5</definedName>
    <definedName name="Z_F60B7B82_B470_11D2_A851_00805F2505DF_.wvu.PrintArea" localSheetId="4" hidden="1">PriceAlberta!$A$40:$AG$118</definedName>
    <definedName name="Z_F60B7B82_B470_11D2_A851_00805F2505DF_.wvu.PrintArea" localSheetId="6" hidden="1">PriceBC!$A$40:$AG$118</definedName>
    <definedName name="Z_F60B7B82_B470_11D2_A851_00805F2505DF_.wvu.PrintTitles" localSheetId="4" hidden="1">PriceAlberta!$1:$5</definedName>
    <definedName name="Z_F60B7B82_B470_11D2_A851_00805F2505DF_.wvu.PrintTitles" localSheetId="6" hidden="1">PriceBC!$1:$5</definedName>
    <definedName name="Z_F60B7B83_B470_11D2_A851_00805F2505DF_.wvu.PrintArea" localSheetId="8" hidden="1">PriceEOL!$A$40:$AG$118</definedName>
    <definedName name="Z_F60B7B83_B470_11D2_A851_00805F2505DF_.wvu.PrintTitles" localSheetId="8" hidden="1">PriceEOL!$1:$5</definedName>
    <definedName name="Z_F60B7B84_B470_11D2_A851_00805F2505DF_.wvu.PrintArea" localSheetId="9" hidden="1">EOLIndex!$A$40:$AG$118</definedName>
    <definedName name="Z_F60B7B84_B470_11D2_A851_00805F2505DF_.wvu.PrintTitles" localSheetId="9" hidden="1">EOLIndex!$1:$5</definedName>
    <definedName name="Z_F60B7B85_B470_11D2_A851_00805F2505DF_.wvu.PrintArea" localSheetId="11" hidden="1">OptionsIndex!$A$40:$AG$118</definedName>
    <definedName name="Z_F60B7B85_B470_11D2_A851_00805F2505DF_.wvu.PrintTitles" localSheetId="11" hidden="1">OptionsIndex!$1:$5</definedName>
    <definedName name="Z_F60B7B86_B470_11D2_A851_00805F2505DF_.wvu.PrintArea" localSheetId="12" hidden="1">Straddle!$A$40:$AG$118</definedName>
    <definedName name="Z_F60B7B86_B470_11D2_A851_00805F2505DF_.wvu.PrintTitles" localSheetId="12" hidden="1">Straddle!$1:$5</definedName>
    <definedName name="Z_F60B7B87_B470_11D2_A851_00805F2505DF_.wvu.PrintArea" localSheetId="18" hidden="1">'US $'!$A$40:$AG$118</definedName>
    <definedName name="Z_F60B7B87_B470_11D2_A851_00805F2505DF_.wvu.PrintTitles" localSheetId="18" hidden="1">'US $'!$1:$5</definedName>
    <definedName name="Z_F60B7B88_B470_11D2_A851_00805F2505DF_.wvu.PrintArea" localSheetId="5" hidden="1">AlbertaIndex!$A$120:$M$238</definedName>
    <definedName name="Z_F60B7B88_B470_11D2_A851_00805F2505DF_.wvu.PrintArea" localSheetId="7" hidden="1">BCIndex!$A$120:$M$238</definedName>
    <definedName name="Z_F60B7B88_B470_11D2_A851_00805F2505DF_.wvu.PrintTitles" localSheetId="5" hidden="1">AlbertaIndex!$1:$5</definedName>
    <definedName name="Z_F60B7B88_B470_11D2_A851_00805F2505DF_.wvu.PrintTitles" localSheetId="7" hidden="1">BCIndex!$1:$5</definedName>
    <definedName name="Z_F60B7B89_B470_11D2_A851_00805F2505DF_.wvu.PrintArea" localSheetId="10" hidden="1">Options!$A$120:$M$238</definedName>
    <definedName name="Z_F60B7B89_B470_11D2_A851_00805F2505DF_.wvu.PrintArea" localSheetId="13" hidden="1">OptionsProp!$A$120:$M$238</definedName>
    <definedName name="Z_F60B7B89_B470_11D2_A851_00805F2505DF_.wvu.PrintTitles" localSheetId="10" hidden="1">Options!$1:$5</definedName>
    <definedName name="Z_F60B7B89_B470_11D2_A851_00805F2505DF_.wvu.PrintTitles" localSheetId="13" hidden="1">OptionsProp!$1:$5</definedName>
    <definedName name="Z_F60B7B8A_B470_11D2_A851_00805F2505DF_.wvu.PrintArea" localSheetId="20" hidden="1">'Price - East '!$A$120:$M$238</definedName>
    <definedName name="Z_F60B7B8A_B470_11D2_A851_00805F2505DF_.wvu.PrintTitles" localSheetId="20" hidden="1">'Price - East '!$1:$5</definedName>
    <definedName name="Z_F60B7B8B_B470_11D2_A851_00805F2505DF_.wvu.PrintArea" localSheetId="4" hidden="1">PriceAlberta!$A$120:$M$237</definedName>
    <definedName name="Z_F60B7B8B_B470_11D2_A851_00805F2505DF_.wvu.PrintArea" localSheetId="6" hidden="1">PriceBC!$A$120:$M$237</definedName>
    <definedName name="Z_F60B7B8B_B470_11D2_A851_00805F2505DF_.wvu.PrintTitles" localSheetId="4" hidden="1">PriceAlberta!$1:$5</definedName>
    <definedName name="Z_F60B7B8B_B470_11D2_A851_00805F2505DF_.wvu.PrintTitles" localSheetId="6" hidden="1">PriceBC!$1:$5</definedName>
    <definedName name="Z_F60B7B8C_B470_11D2_A851_00805F2505DF_.wvu.PrintArea" localSheetId="8" hidden="1">PriceEOL!$A$120:$M$238</definedName>
    <definedName name="Z_F60B7B8C_B470_11D2_A851_00805F2505DF_.wvu.PrintTitles" localSheetId="8" hidden="1">PriceEOL!$1:$5</definedName>
    <definedName name="Z_F60B7B8D_B470_11D2_A851_00805F2505DF_.wvu.PrintArea" localSheetId="9" hidden="1">EOLIndex!$A$120:$M$238</definedName>
    <definedName name="Z_F60B7B8D_B470_11D2_A851_00805F2505DF_.wvu.PrintTitles" localSheetId="9" hidden="1">EOLIndex!$1:$5</definedName>
    <definedName name="Z_F60B7B8E_B470_11D2_A851_00805F2505DF_.wvu.PrintArea" localSheetId="11" hidden="1">OptionsIndex!$A$120:$M$238</definedName>
    <definedName name="Z_F60B7B8E_B470_11D2_A851_00805F2505DF_.wvu.PrintTitles" localSheetId="11" hidden="1">OptionsIndex!$1:$5</definedName>
    <definedName name="Z_F60B7B8F_B470_11D2_A851_00805F2505DF_.wvu.PrintArea" localSheetId="12" hidden="1">Straddle!$A$120:$M$238</definedName>
    <definedName name="Z_F60B7B8F_B470_11D2_A851_00805F2505DF_.wvu.PrintTitles" localSheetId="12" hidden="1">Straddle!$1:$5</definedName>
    <definedName name="Z_F60B7B90_B470_11D2_A851_00805F2505DF_.wvu.PrintArea" localSheetId="18" hidden="1">'US $'!$A$120:$M$238</definedName>
    <definedName name="Z_F60B7B90_B470_11D2_A851_00805F2505DF_.wvu.PrintTitles" localSheetId="18" hidden="1">'US $'!$1:$5</definedName>
    <definedName name="Z_F60B7BDB_B470_11D2_A851_00805F2505DF_.wvu.PrintArea" localSheetId="5" hidden="1">AlbertaIndex!$A$6:$R$39</definedName>
    <definedName name="Z_F60B7BDB_B470_11D2_A851_00805F2505DF_.wvu.PrintArea" localSheetId="7" hidden="1">BCIndex!$A$6:$R$39</definedName>
    <definedName name="Z_F60B7BDB_B470_11D2_A851_00805F2505DF_.wvu.PrintTitles" localSheetId="5" hidden="1">AlbertaIndex!$1:$5</definedName>
    <definedName name="Z_F60B7BDB_B470_11D2_A851_00805F2505DF_.wvu.PrintTitles" localSheetId="7" hidden="1">BCIndex!$1:$5</definedName>
    <definedName name="Z_F60B7BDC_B470_11D2_A851_00805F2505DF_.wvu.PrintArea" localSheetId="10" hidden="1">Options!$A$6:$R$39</definedName>
    <definedName name="Z_F60B7BDC_B470_11D2_A851_00805F2505DF_.wvu.PrintArea" localSheetId="13" hidden="1">OptionsProp!$A$6:$R$39</definedName>
    <definedName name="Z_F60B7BDC_B470_11D2_A851_00805F2505DF_.wvu.PrintTitles" localSheetId="10" hidden="1">Options!$1:$5</definedName>
    <definedName name="Z_F60B7BDC_B470_11D2_A851_00805F2505DF_.wvu.PrintTitles" localSheetId="13" hidden="1">OptionsProp!$1:$5</definedName>
    <definedName name="Z_F60B7BDD_B470_11D2_A851_00805F2505DF_.wvu.PrintArea" localSheetId="20" hidden="1">'Price - East '!$A$6:$R$39</definedName>
    <definedName name="Z_F60B7BDD_B470_11D2_A851_00805F2505DF_.wvu.PrintTitles" localSheetId="20" hidden="1">'Price - East '!$1:$5</definedName>
    <definedName name="Z_F60B7BDE_B470_11D2_A851_00805F2505DF_.wvu.PrintArea" localSheetId="4" hidden="1">PriceAlberta!$A$6:$R$39</definedName>
    <definedName name="Z_F60B7BDE_B470_11D2_A851_00805F2505DF_.wvu.PrintArea" localSheetId="6" hidden="1">PriceBC!$A$6:$R$39</definedName>
    <definedName name="Z_F60B7BDE_B470_11D2_A851_00805F2505DF_.wvu.PrintTitles" localSheetId="4" hidden="1">PriceAlberta!$1:$5</definedName>
    <definedName name="Z_F60B7BDE_B470_11D2_A851_00805F2505DF_.wvu.PrintTitles" localSheetId="6" hidden="1">PriceBC!$1:$5</definedName>
    <definedName name="Z_F60B7BDF_B470_11D2_A851_00805F2505DF_.wvu.PrintArea" localSheetId="8" hidden="1">PriceEOL!$A$6:$R$39</definedName>
    <definedName name="Z_F60B7BDF_B470_11D2_A851_00805F2505DF_.wvu.PrintTitles" localSheetId="8" hidden="1">PriceEOL!$1:$5</definedName>
    <definedName name="Z_F60B7BE0_B470_11D2_A851_00805F2505DF_.wvu.PrintArea" localSheetId="9" hidden="1">EOLIndex!$A$6:$R$39</definedName>
    <definedName name="Z_F60B7BE0_B470_11D2_A851_00805F2505DF_.wvu.PrintTitles" localSheetId="9" hidden="1">EOLIndex!$1:$5</definedName>
    <definedName name="Z_F60B7BE1_B470_11D2_A851_00805F2505DF_.wvu.PrintArea" localSheetId="11" hidden="1">OptionsIndex!$A$6:$R$39</definedName>
    <definedName name="Z_F60B7BE1_B470_11D2_A851_00805F2505DF_.wvu.PrintTitles" localSheetId="11" hidden="1">OptionsIndex!$1:$5</definedName>
    <definedName name="Z_F60B7BE2_B470_11D2_A851_00805F2505DF_.wvu.PrintArea" localSheetId="12" hidden="1">Straddle!$A$6:$R$39</definedName>
    <definedName name="Z_F60B7BE2_B470_11D2_A851_00805F2505DF_.wvu.PrintTitles" localSheetId="12" hidden="1">Straddle!$1:$5</definedName>
    <definedName name="Z_F60B7BE3_B470_11D2_A851_00805F2505DF_.wvu.PrintArea" localSheetId="18" hidden="1">'US $'!$A$6:$R$39</definedName>
    <definedName name="Z_F60B7BE3_B470_11D2_A851_00805F2505DF_.wvu.PrintTitles" localSheetId="18" hidden="1">'US $'!$1:$5</definedName>
    <definedName name="Z_F60B7BE4_B470_11D2_A851_00805F2505DF_.wvu.PrintArea" localSheetId="5" hidden="1">AlbertaIndex!$A$40:$AG$118</definedName>
    <definedName name="Z_F60B7BE4_B470_11D2_A851_00805F2505DF_.wvu.PrintArea" localSheetId="7" hidden="1">BCIndex!$A$40:$AG$118</definedName>
    <definedName name="Z_F60B7BE4_B470_11D2_A851_00805F2505DF_.wvu.PrintTitles" localSheetId="5" hidden="1">AlbertaIndex!$1:$5</definedName>
    <definedName name="Z_F60B7BE4_B470_11D2_A851_00805F2505DF_.wvu.PrintTitles" localSheetId="7" hidden="1">BCIndex!$1:$5</definedName>
    <definedName name="Z_F60B7BE5_B470_11D2_A851_00805F2505DF_.wvu.PrintArea" localSheetId="10" hidden="1">Options!$A$40:$AG$118</definedName>
    <definedName name="Z_F60B7BE5_B470_11D2_A851_00805F2505DF_.wvu.PrintArea" localSheetId="13" hidden="1">OptionsProp!$A$40:$AG$118</definedName>
    <definedName name="Z_F60B7BE5_B470_11D2_A851_00805F2505DF_.wvu.PrintTitles" localSheetId="10" hidden="1">Options!$1:$5</definedName>
    <definedName name="Z_F60B7BE5_B470_11D2_A851_00805F2505DF_.wvu.PrintTitles" localSheetId="13" hidden="1">OptionsProp!$1:$5</definedName>
    <definedName name="Z_F60B7BE6_B470_11D2_A851_00805F2505DF_.wvu.PrintArea" localSheetId="20" hidden="1">'Price - East '!$A$40:$AG$118</definedName>
    <definedName name="Z_F60B7BE6_B470_11D2_A851_00805F2505DF_.wvu.PrintTitles" localSheetId="20" hidden="1">'Price - East '!$1:$5</definedName>
    <definedName name="Z_F60B7BE7_B470_11D2_A851_00805F2505DF_.wvu.PrintArea" localSheetId="4" hidden="1">PriceAlberta!$A$40:$AG$118</definedName>
    <definedName name="Z_F60B7BE7_B470_11D2_A851_00805F2505DF_.wvu.PrintArea" localSheetId="6" hidden="1">PriceBC!$A$40:$AG$118</definedName>
    <definedName name="Z_F60B7BE7_B470_11D2_A851_00805F2505DF_.wvu.PrintTitles" localSheetId="4" hidden="1">PriceAlberta!$1:$5</definedName>
    <definedName name="Z_F60B7BE7_B470_11D2_A851_00805F2505DF_.wvu.PrintTitles" localSheetId="6" hidden="1">PriceBC!$1:$5</definedName>
    <definedName name="Z_F60B7BE8_B470_11D2_A851_00805F2505DF_.wvu.PrintArea" localSheetId="8" hidden="1">PriceEOL!$A$40:$AG$118</definedName>
    <definedName name="Z_F60B7BE8_B470_11D2_A851_00805F2505DF_.wvu.PrintTitles" localSheetId="8" hidden="1">PriceEOL!$1:$5</definedName>
    <definedName name="Z_F60B7BE9_B470_11D2_A851_00805F2505DF_.wvu.PrintArea" localSheetId="9" hidden="1">EOLIndex!$A$40:$AG$118</definedName>
    <definedName name="Z_F60B7BE9_B470_11D2_A851_00805F2505DF_.wvu.PrintTitles" localSheetId="9" hidden="1">EOLIndex!$1:$5</definedName>
    <definedName name="Z_F60B7BEA_B470_11D2_A851_00805F2505DF_.wvu.PrintArea" localSheetId="11" hidden="1">OptionsIndex!$A$40:$AG$118</definedName>
    <definedName name="Z_F60B7BEA_B470_11D2_A851_00805F2505DF_.wvu.PrintTitles" localSheetId="11" hidden="1">OptionsIndex!$1:$5</definedName>
    <definedName name="Z_F60B7BEB_B470_11D2_A851_00805F2505DF_.wvu.PrintArea" localSheetId="12" hidden="1">Straddle!$A$40:$AG$118</definedName>
    <definedName name="Z_F60B7BEB_B470_11D2_A851_00805F2505DF_.wvu.PrintTitles" localSheetId="12" hidden="1">Straddle!$1:$5</definedName>
    <definedName name="Z_F60B7BEC_B470_11D2_A851_00805F2505DF_.wvu.PrintArea" localSheetId="18" hidden="1">'US $'!$A$40:$AG$118</definedName>
    <definedName name="Z_F60B7BEC_B470_11D2_A851_00805F2505DF_.wvu.PrintTitles" localSheetId="18" hidden="1">'US $'!$1:$5</definedName>
    <definedName name="Z_F60B7BED_B470_11D2_A851_00805F2505DF_.wvu.PrintArea" localSheetId="5" hidden="1">AlbertaIndex!$A$120:$M$238</definedName>
    <definedName name="Z_F60B7BED_B470_11D2_A851_00805F2505DF_.wvu.PrintArea" localSheetId="7" hidden="1">BCIndex!$A$120:$M$238</definedName>
    <definedName name="Z_F60B7BED_B470_11D2_A851_00805F2505DF_.wvu.PrintTitles" localSheetId="5" hidden="1">AlbertaIndex!$1:$5</definedName>
    <definedName name="Z_F60B7BED_B470_11D2_A851_00805F2505DF_.wvu.PrintTitles" localSheetId="7" hidden="1">BCIndex!$1:$5</definedName>
    <definedName name="Z_F60B7BEE_B470_11D2_A851_00805F2505DF_.wvu.PrintArea" localSheetId="10" hidden="1">Options!$A$120:$M$238</definedName>
    <definedName name="Z_F60B7BEE_B470_11D2_A851_00805F2505DF_.wvu.PrintArea" localSheetId="13" hidden="1">OptionsProp!$A$120:$M$238</definedName>
    <definedName name="Z_F60B7BEE_B470_11D2_A851_00805F2505DF_.wvu.PrintTitles" localSheetId="10" hidden="1">Options!$1:$5</definedName>
    <definedName name="Z_F60B7BEE_B470_11D2_A851_00805F2505DF_.wvu.PrintTitles" localSheetId="13" hidden="1">OptionsProp!$1:$5</definedName>
    <definedName name="Z_F60B7BEF_B470_11D2_A851_00805F2505DF_.wvu.PrintArea" localSheetId="20" hidden="1">'Price - East '!$A$120:$M$238</definedName>
    <definedName name="Z_F60B7BEF_B470_11D2_A851_00805F2505DF_.wvu.PrintTitles" localSheetId="20" hidden="1">'Price - East '!$1:$5</definedName>
    <definedName name="Z_F60B7BF0_B470_11D2_A851_00805F2505DF_.wvu.PrintArea" localSheetId="4" hidden="1">PriceAlberta!$A$120:$M$237</definedName>
    <definedName name="Z_F60B7BF0_B470_11D2_A851_00805F2505DF_.wvu.PrintArea" localSheetId="6" hidden="1">PriceBC!$A$120:$M$237</definedName>
    <definedName name="Z_F60B7BF0_B470_11D2_A851_00805F2505DF_.wvu.PrintTitles" localSheetId="4" hidden="1">PriceAlberta!$1:$5</definedName>
    <definedName name="Z_F60B7BF0_B470_11D2_A851_00805F2505DF_.wvu.PrintTitles" localSheetId="6" hidden="1">PriceBC!$1:$5</definedName>
    <definedName name="Z_F60B7BF1_B470_11D2_A851_00805F2505DF_.wvu.PrintArea" localSheetId="8" hidden="1">PriceEOL!$A$120:$M$238</definedName>
    <definedName name="Z_F60B7BF1_B470_11D2_A851_00805F2505DF_.wvu.PrintTitles" localSheetId="8" hidden="1">PriceEOL!$1:$5</definedName>
    <definedName name="Z_F60B7BF2_B470_11D2_A851_00805F2505DF_.wvu.PrintArea" localSheetId="9" hidden="1">EOLIndex!$A$120:$M$238</definedName>
    <definedName name="Z_F60B7BF2_B470_11D2_A851_00805F2505DF_.wvu.PrintTitles" localSheetId="9" hidden="1">EOLIndex!$1:$5</definedName>
    <definedName name="Z_F60B7BF3_B470_11D2_A851_00805F2505DF_.wvu.PrintArea" localSheetId="11" hidden="1">OptionsIndex!$A$120:$M$238</definedName>
    <definedName name="Z_F60B7BF3_B470_11D2_A851_00805F2505DF_.wvu.PrintTitles" localSheetId="11" hidden="1">OptionsIndex!$1:$5</definedName>
    <definedName name="Z_F60B7BF4_B470_11D2_A851_00805F2505DF_.wvu.PrintArea" localSheetId="12" hidden="1">Straddle!$A$120:$M$238</definedName>
    <definedName name="Z_F60B7BF4_B470_11D2_A851_00805F2505DF_.wvu.PrintTitles" localSheetId="12" hidden="1">Straddle!$1:$5</definedName>
    <definedName name="Z_F60B7BF5_B470_11D2_A851_00805F2505DF_.wvu.PrintArea" localSheetId="18" hidden="1">'US $'!$A$120:$M$238</definedName>
    <definedName name="Z_F60B7BF5_B470_11D2_A851_00805F2505DF_.wvu.PrintTitles" localSheetId="18" hidden="1">'US $'!$1:$5</definedName>
    <definedName name="Z_F947EA28_ABF3_11D2_A84C_00805F2505DF_.wvu.PrintArea" localSheetId="5" hidden="1">AlbertaIndex!$A$6:$R$39</definedName>
    <definedName name="Z_F947EA28_ABF3_11D2_A84C_00805F2505DF_.wvu.PrintArea" localSheetId="7" hidden="1">BCIndex!$A$6:$R$39</definedName>
    <definedName name="Z_F947EA28_ABF3_11D2_A84C_00805F2505DF_.wvu.PrintTitles" localSheetId="5" hidden="1">AlbertaIndex!$1:$5</definedName>
    <definedName name="Z_F947EA28_ABF3_11D2_A84C_00805F2505DF_.wvu.PrintTitles" localSheetId="7" hidden="1">BCIndex!$1:$5</definedName>
    <definedName name="Z_F947EA29_ABF3_11D2_A84C_00805F2505DF_.wvu.PrintArea" localSheetId="10" hidden="1">Options!$A$6:$R$39</definedName>
    <definedName name="Z_F947EA29_ABF3_11D2_A84C_00805F2505DF_.wvu.PrintArea" localSheetId="13" hidden="1">OptionsProp!$A$6:$R$39</definedName>
    <definedName name="Z_F947EA29_ABF3_11D2_A84C_00805F2505DF_.wvu.PrintTitles" localSheetId="10" hidden="1">Options!$1:$5</definedName>
    <definedName name="Z_F947EA29_ABF3_11D2_A84C_00805F2505DF_.wvu.PrintTitles" localSheetId="13" hidden="1">OptionsProp!$1:$5</definedName>
    <definedName name="Z_F947EA2A_ABF3_11D2_A84C_00805F2505DF_.wvu.PrintArea" localSheetId="20" hidden="1">'Price - East '!$A$6:$R$39</definedName>
    <definedName name="Z_F947EA2A_ABF3_11D2_A84C_00805F2505DF_.wvu.PrintTitles" localSheetId="20" hidden="1">'Price - East '!$1:$5</definedName>
    <definedName name="Z_F947EA2B_ABF3_11D2_A84C_00805F2505DF_.wvu.PrintArea" localSheetId="4" hidden="1">PriceAlberta!$A$6:$R$39</definedName>
    <definedName name="Z_F947EA2B_ABF3_11D2_A84C_00805F2505DF_.wvu.PrintArea" localSheetId="6" hidden="1">PriceBC!$A$6:$R$39</definedName>
    <definedName name="Z_F947EA2B_ABF3_11D2_A84C_00805F2505DF_.wvu.PrintTitles" localSheetId="4" hidden="1">PriceAlberta!$1:$5</definedName>
    <definedName name="Z_F947EA2B_ABF3_11D2_A84C_00805F2505DF_.wvu.PrintTitles" localSheetId="6" hidden="1">PriceBC!$1:$5</definedName>
    <definedName name="Z_F947EA2C_ABF3_11D2_A84C_00805F2505DF_.wvu.PrintArea" localSheetId="8" hidden="1">PriceEOL!$A$6:$R$39</definedName>
    <definedName name="Z_F947EA2C_ABF3_11D2_A84C_00805F2505DF_.wvu.PrintTitles" localSheetId="8" hidden="1">PriceEOL!$1:$5</definedName>
    <definedName name="Z_F947EA2D_ABF3_11D2_A84C_00805F2505DF_.wvu.PrintArea" localSheetId="9" hidden="1">EOLIndex!$A$6:$R$39</definedName>
    <definedName name="Z_F947EA2D_ABF3_11D2_A84C_00805F2505DF_.wvu.PrintTitles" localSheetId="9" hidden="1">EOLIndex!$1:$5</definedName>
    <definedName name="Z_F947EA2E_ABF3_11D2_A84C_00805F2505DF_.wvu.PrintArea" localSheetId="11" hidden="1">OptionsIndex!$A$6:$R$39</definedName>
    <definedName name="Z_F947EA2E_ABF3_11D2_A84C_00805F2505DF_.wvu.PrintTitles" localSheetId="11" hidden="1">OptionsIndex!$1:$5</definedName>
    <definedName name="Z_F947EA2F_ABF3_11D2_A84C_00805F2505DF_.wvu.PrintArea" localSheetId="12" hidden="1">Straddle!$A$6:$R$39</definedName>
    <definedName name="Z_F947EA2F_ABF3_11D2_A84C_00805F2505DF_.wvu.PrintTitles" localSheetId="12" hidden="1">Straddle!$1:$5</definedName>
    <definedName name="Z_F947EA30_ABF3_11D2_A84C_00805F2505DF_.wvu.PrintArea" localSheetId="18" hidden="1">'US $'!$A$6:$R$39</definedName>
    <definedName name="Z_F947EA30_ABF3_11D2_A84C_00805F2505DF_.wvu.PrintTitles" localSheetId="18" hidden="1">'US $'!$1:$5</definedName>
    <definedName name="Z_F947EA31_ABF3_11D2_A84C_00805F2505DF_.wvu.PrintArea" localSheetId="5" hidden="1">AlbertaIndex!$A$40:$AG$118</definedName>
    <definedName name="Z_F947EA31_ABF3_11D2_A84C_00805F2505DF_.wvu.PrintArea" localSheetId="7" hidden="1">BCIndex!$A$40:$AG$118</definedName>
    <definedName name="Z_F947EA31_ABF3_11D2_A84C_00805F2505DF_.wvu.PrintTitles" localSheetId="5" hidden="1">AlbertaIndex!$1:$5</definedName>
    <definedName name="Z_F947EA31_ABF3_11D2_A84C_00805F2505DF_.wvu.PrintTitles" localSheetId="7" hidden="1">BCIndex!$1:$5</definedName>
    <definedName name="Z_F947EA32_ABF3_11D2_A84C_00805F2505DF_.wvu.PrintArea" localSheetId="10" hidden="1">Options!$A$40:$AG$118</definedName>
    <definedName name="Z_F947EA32_ABF3_11D2_A84C_00805F2505DF_.wvu.PrintArea" localSheetId="13" hidden="1">OptionsProp!$A$40:$AG$118</definedName>
    <definedName name="Z_F947EA32_ABF3_11D2_A84C_00805F2505DF_.wvu.PrintTitles" localSheetId="10" hidden="1">Options!$1:$5</definedName>
    <definedName name="Z_F947EA32_ABF3_11D2_A84C_00805F2505DF_.wvu.PrintTitles" localSheetId="13" hidden="1">OptionsProp!$1:$5</definedName>
    <definedName name="Z_F947EA33_ABF3_11D2_A84C_00805F2505DF_.wvu.PrintArea" localSheetId="20" hidden="1">'Price - East '!$A$40:$AG$118</definedName>
    <definedName name="Z_F947EA33_ABF3_11D2_A84C_00805F2505DF_.wvu.PrintTitles" localSheetId="20" hidden="1">'Price - East '!$1:$5</definedName>
    <definedName name="Z_F947EA34_ABF3_11D2_A84C_00805F2505DF_.wvu.PrintArea" localSheetId="4" hidden="1">PriceAlberta!$A$40:$AG$118</definedName>
    <definedName name="Z_F947EA34_ABF3_11D2_A84C_00805F2505DF_.wvu.PrintArea" localSheetId="6" hidden="1">PriceBC!$A$40:$AG$118</definedName>
    <definedName name="Z_F947EA34_ABF3_11D2_A84C_00805F2505DF_.wvu.PrintTitles" localSheetId="4" hidden="1">PriceAlberta!$1:$5</definedName>
    <definedName name="Z_F947EA34_ABF3_11D2_A84C_00805F2505DF_.wvu.PrintTitles" localSheetId="6" hidden="1">PriceBC!$1:$5</definedName>
    <definedName name="Z_F947EA35_ABF3_11D2_A84C_00805F2505DF_.wvu.PrintArea" localSheetId="8" hidden="1">PriceEOL!$A$40:$AG$118</definedName>
    <definedName name="Z_F947EA35_ABF3_11D2_A84C_00805F2505DF_.wvu.PrintTitles" localSheetId="8" hidden="1">PriceEOL!$1:$5</definedName>
    <definedName name="Z_F947EA36_ABF3_11D2_A84C_00805F2505DF_.wvu.PrintArea" localSheetId="9" hidden="1">EOLIndex!$A$40:$AG$118</definedName>
    <definedName name="Z_F947EA36_ABF3_11D2_A84C_00805F2505DF_.wvu.PrintTitles" localSheetId="9" hidden="1">EOLIndex!$1:$5</definedName>
    <definedName name="Z_F947EA37_ABF3_11D2_A84C_00805F2505DF_.wvu.PrintArea" localSheetId="11" hidden="1">OptionsIndex!$A$40:$AG$118</definedName>
    <definedName name="Z_F947EA37_ABF3_11D2_A84C_00805F2505DF_.wvu.PrintTitles" localSheetId="11" hidden="1">OptionsIndex!$1:$5</definedName>
    <definedName name="Z_F947EA38_ABF3_11D2_A84C_00805F2505DF_.wvu.PrintArea" localSheetId="12" hidden="1">Straddle!$A$40:$AG$118</definedName>
    <definedName name="Z_F947EA38_ABF3_11D2_A84C_00805F2505DF_.wvu.PrintTitles" localSheetId="12" hidden="1">Straddle!$1:$5</definedName>
    <definedName name="Z_F947EA39_ABF3_11D2_A84C_00805F2505DF_.wvu.PrintArea" localSheetId="18" hidden="1">'US $'!$A$40:$AG$118</definedName>
    <definedName name="Z_F947EA39_ABF3_11D2_A84C_00805F2505DF_.wvu.PrintTitles" localSheetId="18" hidden="1">'US $'!$1:$5</definedName>
    <definedName name="Z_F947EA3A_ABF3_11D2_A84C_00805F2505DF_.wvu.PrintArea" localSheetId="5" hidden="1">AlbertaIndex!$A$120:$M$238</definedName>
    <definedName name="Z_F947EA3A_ABF3_11D2_A84C_00805F2505DF_.wvu.PrintArea" localSheetId="7" hidden="1">BCIndex!$A$120:$M$238</definedName>
    <definedName name="Z_F947EA3A_ABF3_11D2_A84C_00805F2505DF_.wvu.PrintTitles" localSheetId="5" hidden="1">AlbertaIndex!$1:$5</definedName>
    <definedName name="Z_F947EA3A_ABF3_11D2_A84C_00805F2505DF_.wvu.PrintTitles" localSheetId="7" hidden="1">BCIndex!$1:$5</definedName>
    <definedName name="Z_F947EA3B_ABF3_11D2_A84C_00805F2505DF_.wvu.PrintArea" localSheetId="10" hidden="1">Options!$A$120:$M$238</definedName>
    <definedName name="Z_F947EA3B_ABF3_11D2_A84C_00805F2505DF_.wvu.PrintArea" localSheetId="13" hidden="1">OptionsProp!$A$120:$M$238</definedName>
    <definedName name="Z_F947EA3B_ABF3_11D2_A84C_00805F2505DF_.wvu.PrintTitles" localSheetId="10" hidden="1">Options!$1:$5</definedName>
    <definedName name="Z_F947EA3B_ABF3_11D2_A84C_00805F2505DF_.wvu.PrintTitles" localSheetId="13" hidden="1">OptionsProp!$1:$5</definedName>
    <definedName name="Z_F947EA3C_ABF3_11D2_A84C_00805F2505DF_.wvu.PrintArea" localSheetId="20" hidden="1">'Price - East '!$A$120:$M$238</definedName>
    <definedName name="Z_F947EA3C_ABF3_11D2_A84C_00805F2505DF_.wvu.PrintTitles" localSheetId="20" hidden="1">'Price - East '!$1:$5</definedName>
    <definedName name="Z_F947EA3D_ABF3_11D2_A84C_00805F2505DF_.wvu.PrintArea" localSheetId="4" hidden="1">PriceAlberta!$A$120:$M$237</definedName>
    <definedName name="Z_F947EA3D_ABF3_11D2_A84C_00805F2505DF_.wvu.PrintArea" localSheetId="6" hidden="1">PriceBC!$A$120:$M$237</definedName>
    <definedName name="Z_F947EA3D_ABF3_11D2_A84C_00805F2505DF_.wvu.PrintTitles" localSheetId="4" hidden="1">PriceAlberta!$1:$5</definedName>
    <definedName name="Z_F947EA3D_ABF3_11D2_A84C_00805F2505DF_.wvu.PrintTitles" localSheetId="6" hidden="1">PriceBC!$1:$5</definedName>
    <definedName name="Z_F947EA3E_ABF3_11D2_A84C_00805F2505DF_.wvu.PrintArea" localSheetId="8" hidden="1">PriceEOL!$A$120:$M$238</definedName>
    <definedName name="Z_F947EA3E_ABF3_11D2_A84C_00805F2505DF_.wvu.PrintTitles" localSheetId="8" hidden="1">PriceEOL!$1:$5</definedName>
    <definedName name="Z_F947EA3F_ABF3_11D2_A84C_00805F2505DF_.wvu.PrintArea" localSheetId="9" hidden="1">EOLIndex!$A$120:$M$238</definedName>
    <definedName name="Z_F947EA3F_ABF3_11D2_A84C_00805F2505DF_.wvu.PrintTitles" localSheetId="9" hidden="1">EOLIndex!$1:$5</definedName>
    <definedName name="Z_F947EA40_ABF3_11D2_A84C_00805F2505DF_.wvu.PrintArea" localSheetId="11" hidden="1">OptionsIndex!$A$120:$M$238</definedName>
    <definedName name="Z_F947EA40_ABF3_11D2_A84C_00805F2505DF_.wvu.PrintTitles" localSheetId="11" hidden="1">OptionsIndex!$1:$5</definedName>
    <definedName name="Z_F947EA41_ABF3_11D2_A84C_00805F2505DF_.wvu.PrintArea" localSheetId="12" hidden="1">Straddle!$A$120:$M$238</definedName>
    <definedName name="Z_F947EA41_ABF3_11D2_A84C_00805F2505DF_.wvu.PrintTitles" localSheetId="12" hidden="1">Straddle!$1:$5</definedName>
    <definedName name="Z_F947EA42_ABF3_11D2_A84C_00805F2505DF_.wvu.PrintArea" localSheetId="18" hidden="1">'US $'!$A$120:$M$238</definedName>
    <definedName name="Z_F947EA42_ABF3_11D2_A84C_00805F2505DF_.wvu.PrintTitles" localSheetId="18" hidden="1">'US $'!$1:$5</definedName>
  </definedNames>
  <calcPr calcId="0" calcMode="manual" fullCalcOnLoad="1" calcOnSave="0"/>
  <customWorkbookViews>
    <customWorkbookView name="Schedules (US $)" guid="{535643D6-B9EE-11D2-A857-00805F2505DF}" maximized="1" xWindow="2" yWindow="13" windowWidth="636" windowHeight="329" tabRatio="717" activeSheetId="8"/>
    <customWorkbookView name="Schedules (Roll-8)" guid="{535643D5-B9EE-11D2-A857-00805F2505DF}" maximized="1" xWindow="2" yWindow="13" windowWidth="636" windowHeight="329" tabRatio="717" activeSheetId="13"/>
    <customWorkbookView name="Schedules (Roll-7)" guid="{535643D4-B9EE-11D2-A857-00805F2505DF}" maximized="1" xWindow="2" yWindow="13" windowWidth="636" windowHeight="329" tabRatio="717" activeSheetId="12"/>
    <customWorkbookView name="Schedules (Roll-6)" guid="{535643D3-B9EE-11D2-A857-00805F2505DF}" maximized="1" xWindow="2" yWindow="13" windowWidth="636" windowHeight="329" tabRatio="717" activeSheetId="11"/>
    <customWorkbookView name="Schedules (Roll-5)" guid="{535643D2-B9EE-11D2-A857-00805F2505DF}" maximized="1" xWindow="2" yWindow="13" windowWidth="636" windowHeight="329" tabRatio="717" activeSheetId="10"/>
    <customWorkbookView name="Schedules (Price - West)" guid="{535643D1-B9EE-11D2-A857-00805F2505DF}" maximized="1" xWindow="2" yWindow="13" windowWidth="636" windowHeight="329" tabRatio="717" activeSheetId="3"/>
    <customWorkbookView name="Schedules (Price - East )" guid="{535643D0-B9EE-11D2-A857-00805F2505DF}" maximized="1" xWindow="2" yWindow="13" windowWidth="636" windowHeight="329" tabRatio="717" activeSheetId="2"/>
    <customWorkbookView name="Schedules (Options)" guid="{535643CF-B9EE-11D2-A857-00805F2505DF}" maximized="1" xWindow="2" yWindow="13" windowWidth="636" windowHeight="329" tabRatio="717" activeSheetId="4"/>
    <customWorkbookView name="Schedules (Index)" guid="{535643CE-B9EE-11D2-A857-00805F2505DF}" maximized="1" xWindow="2" yWindow="13" windowWidth="636" windowHeight="329" tabRatio="717" activeSheetId="5"/>
    <customWorkbookView name="DailyChange (US $)" guid="{535643CD-B9EE-11D2-A857-00805F2505DF}" maximized="1" xWindow="2" yWindow="13" windowWidth="636" windowHeight="329" tabRatio="717" activeSheetId="8"/>
    <customWorkbookView name="DailyChange (Roll-8)" guid="{535643CC-B9EE-11D2-A857-00805F2505DF}" maximized="1" xWindow="2" yWindow="13" windowWidth="636" windowHeight="329" tabRatio="717" activeSheetId="13"/>
    <customWorkbookView name="DailyChange (Roll-7)" guid="{535643CB-B9EE-11D2-A857-00805F2505DF}" maximized="1" xWindow="2" yWindow="13" windowWidth="636" windowHeight="329" tabRatio="717" activeSheetId="12"/>
    <customWorkbookView name="DailyChange (Roll-6)" guid="{535643CA-B9EE-11D2-A857-00805F2505DF}" maximized="1" xWindow="2" yWindow="13" windowWidth="636" windowHeight="329" tabRatio="717" activeSheetId="11"/>
    <customWorkbookView name="DailyChange (Roll-5)" guid="{535643C9-B9EE-11D2-A857-00805F2505DF}" maximized="1" xWindow="2" yWindow="13" windowWidth="636" windowHeight="329" tabRatio="717" activeSheetId="10"/>
    <customWorkbookView name="DailyChange (Price - West)" guid="{535643C8-B9EE-11D2-A857-00805F2505DF}" maximized="1" xWindow="2" yWindow="13" windowWidth="636" windowHeight="329" tabRatio="717" activeSheetId="3"/>
    <customWorkbookView name="DailyChange (Price - East )" guid="{535643C7-B9EE-11D2-A857-00805F2505DF}" maximized="1" xWindow="2" yWindow="13" windowWidth="636" windowHeight="329" tabRatio="717" activeSheetId="2"/>
    <customWorkbookView name="DailyChange (Options)" guid="{535643C6-B9EE-11D2-A857-00805F2505DF}" maximized="1" xWindow="2" yWindow="13" windowWidth="636" windowHeight="329" tabRatio="717" activeSheetId="4"/>
    <customWorkbookView name="DailyChange (Index)" guid="{535643C5-B9EE-11D2-A857-00805F2505DF}" maximized="1" xWindow="2" yWindow="13" windowWidth="636" windowHeight="329" tabRatio="717" activeSheetId="5"/>
    <customWorkbookView name="BookBal (US $)" guid="{535643C4-B9EE-11D2-A857-00805F2505DF}" maximized="1" xWindow="2" yWindow="13" windowWidth="636" windowHeight="329" tabRatio="717" activeSheetId="8"/>
    <customWorkbookView name="BookBal (Roll-8)" guid="{535643C3-B9EE-11D2-A857-00805F2505DF}" maximized="1" xWindow="2" yWindow="13" windowWidth="636" windowHeight="329" tabRatio="717" activeSheetId="13"/>
    <customWorkbookView name="BookBal (Roll-7)" guid="{535643C2-B9EE-11D2-A857-00805F2505DF}" maximized="1" xWindow="2" yWindow="13" windowWidth="636" windowHeight="329" tabRatio="717" activeSheetId="12"/>
    <customWorkbookView name="BookBal (Roll-6)" guid="{535643C1-B9EE-11D2-A857-00805F2505DF}" maximized="1" xWindow="2" yWindow="13" windowWidth="636" windowHeight="329" tabRatio="717" activeSheetId="11"/>
    <customWorkbookView name="BookBal (Roll-5)" guid="{535643C0-B9EE-11D2-A857-00805F2505DF}" maximized="1" xWindow="2" yWindow="13" windowWidth="636" windowHeight="329" tabRatio="717" activeSheetId="10"/>
    <customWorkbookView name="BookBal (Price - West)" guid="{535643BF-B9EE-11D2-A857-00805F2505DF}" maximized="1" xWindow="2" yWindow="13" windowWidth="636" windowHeight="329" tabRatio="717" activeSheetId="3"/>
    <customWorkbookView name="BookBal (Price - East )" guid="{535643BE-B9EE-11D2-A857-00805F2505DF}" maximized="1" xWindow="2" yWindow="13" windowWidth="636" windowHeight="329" tabRatio="717" activeSheetId="2"/>
    <customWorkbookView name="BookBal (Options)" guid="{535643BD-B9EE-11D2-A857-00805F2505DF}" maximized="1" xWindow="2" yWindow="13" windowWidth="636" windowHeight="329" tabRatio="717" activeSheetId="4"/>
    <customWorkbookView name="BookBal (Index)" guid="{535643BC-B9EE-11D2-A857-00805F2505DF}" maximized="1" xWindow="2" yWindow="13" windowWidth="636" windowHeight="329" tabRatio="717" activeSheetId="5"/>
  </customWorkbookViews>
</workbook>
</file>

<file path=xl/calcChain.xml><?xml version="1.0" encoding="utf-8"?>
<calcChain xmlns="http://schemas.openxmlformats.org/spreadsheetml/2006/main">
  <c r="B1" i="5" l="1"/>
  <c r="B4" i="5"/>
  <c r="B5" i="5"/>
  <c r="B6" i="5"/>
  <c r="R9" i="5"/>
  <c r="S9" i="5"/>
  <c r="T9" i="5"/>
  <c r="R10" i="5"/>
  <c r="S10" i="5"/>
  <c r="T10" i="5"/>
  <c r="R11" i="5"/>
  <c r="S11" i="5"/>
  <c r="T11" i="5"/>
  <c r="R12" i="5"/>
  <c r="S12" i="5"/>
  <c r="T12" i="5"/>
  <c r="E14" i="5"/>
  <c r="L14" i="5"/>
  <c r="M14" i="5"/>
  <c r="N14" i="5"/>
  <c r="O14" i="5"/>
  <c r="P14" i="5"/>
  <c r="Q14" i="5"/>
  <c r="R14" i="5"/>
  <c r="S14" i="5"/>
  <c r="T14" i="5"/>
  <c r="E15" i="5"/>
  <c r="R15" i="5"/>
  <c r="S15" i="5"/>
  <c r="E16" i="5"/>
  <c r="R16" i="5"/>
  <c r="Y16" i="5"/>
  <c r="L17" i="5"/>
  <c r="M17" i="5"/>
  <c r="N17" i="5"/>
  <c r="O17" i="5"/>
  <c r="P17" i="5"/>
  <c r="Q17" i="5"/>
  <c r="R17" i="5"/>
  <c r="Y17" i="5"/>
  <c r="W18" i="5"/>
  <c r="X18" i="5"/>
  <c r="Y18" i="5"/>
  <c r="E19" i="5"/>
  <c r="R19" i="5"/>
  <c r="S19" i="5"/>
  <c r="T19" i="5"/>
  <c r="R20" i="5"/>
  <c r="S20" i="5"/>
  <c r="T20" i="5"/>
  <c r="Z20" i="5"/>
  <c r="R21" i="5"/>
  <c r="S21" i="5"/>
  <c r="T21" i="5"/>
  <c r="R22" i="5"/>
  <c r="S22" i="5"/>
  <c r="T22" i="5"/>
  <c r="E23" i="5"/>
  <c r="E24" i="5"/>
  <c r="L24" i="5"/>
  <c r="M24" i="5"/>
  <c r="N24" i="5"/>
  <c r="O24" i="5"/>
  <c r="P24" i="5"/>
  <c r="Q24" i="5"/>
  <c r="R24" i="5"/>
  <c r="S24" i="5"/>
  <c r="T24" i="5"/>
  <c r="E25" i="5"/>
  <c r="E26" i="5"/>
  <c r="E30" i="5"/>
  <c r="E31" i="5"/>
  <c r="N31" i="5"/>
  <c r="E32" i="5"/>
  <c r="E33" i="5"/>
  <c r="E34" i="5"/>
  <c r="M34" i="5"/>
  <c r="N34" i="5"/>
  <c r="E35" i="5"/>
  <c r="E36" i="5"/>
  <c r="M36" i="5"/>
  <c r="N36" i="5"/>
  <c r="E38" i="5"/>
  <c r="M38" i="5"/>
  <c r="N38" i="5"/>
  <c r="C43" i="5"/>
  <c r="D43" i="5"/>
  <c r="E43" i="5"/>
  <c r="F43" i="5"/>
  <c r="G43" i="5"/>
  <c r="H43" i="5"/>
  <c r="I43" i="5"/>
  <c r="J43" i="5"/>
  <c r="K43" i="5"/>
  <c r="L43" i="5"/>
  <c r="M43" i="5"/>
  <c r="N43" i="5"/>
  <c r="O43" i="5"/>
  <c r="P43" i="5"/>
  <c r="Q43" i="5"/>
  <c r="R43" i="5"/>
  <c r="S43" i="5"/>
  <c r="T43" i="5"/>
  <c r="U43" i="5"/>
  <c r="V43" i="5"/>
  <c r="W43" i="5"/>
  <c r="X43" i="5"/>
  <c r="Y43" i="5"/>
  <c r="Z43" i="5"/>
  <c r="AA43" i="5"/>
  <c r="AB43" i="5"/>
  <c r="AC43" i="5"/>
  <c r="AD43" i="5"/>
  <c r="AE43" i="5"/>
  <c r="AF43" i="5"/>
  <c r="AG43" i="5"/>
  <c r="B44" i="5"/>
  <c r="C44" i="5"/>
  <c r="D44" i="5"/>
  <c r="E44" i="5"/>
  <c r="F44" i="5"/>
  <c r="G44" i="5"/>
  <c r="H44" i="5"/>
  <c r="I44" i="5"/>
  <c r="J44" i="5"/>
  <c r="K44" i="5"/>
  <c r="L44" i="5"/>
  <c r="M44" i="5"/>
  <c r="N44" i="5"/>
  <c r="O44" i="5"/>
  <c r="P44" i="5"/>
  <c r="Q44" i="5"/>
  <c r="R44" i="5"/>
  <c r="S44" i="5"/>
  <c r="T44" i="5"/>
  <c r="U44" i="5"/>
  <c r="V44" i="5"/>
  <c r="W44" i="5"/>
  <c r="X44" i="5"/>
  <c r="Y44" i="5"/>
  <c r="Z44" i="5"/>
  <c r="AA44" i="5"/>
  <c r="AB44" i="5"/>
  <c r="AC44" i="5"/>
  <c r="AD44" i="5"/>
  <c r="AE44" i="5"/>
  <c r="AF44" i="5"/>
  <c r="AG44" i="5"/>
  <c r="C45" i="5"/>
  <c r="D45" i="5"/>
  <c r="E45" i="5"/>
  <c r="F45" i="5"/>
  <c r="G45" i="5"/>
  <c r="H45" i="5"/>
  <c r="I45" i="5"/>
  <c r="J45" i="5"/>
  <c r="K45" i="5"/>
  <c r="L45" i="5"/>
  <c r="M45" i="5"/>
  <c r="N45" i="5"/>
  <c r="O45" i="5"/>
  <c r="P45" i="5"/>
  <c r="Q45" i="5"/>
  <c r="R45" i="5"/>
  <c r="S45" i="5"/>
  <c r="T45" i="5"/>
  <c r="U45" i="5"/>
  <c r="V45" i="5"/>
  <c r="W45" i="5"/>
  <c r="X45" i="5"/>
  <c r="Y45" i="5"/>
  <c r="Z45" i="5"/>
  <c r="AA45" i="5"/>
  <c r="AB45" i="5"/>
  <c r="AC45" i="5"/>
  <c r="AD45" i="5"/>
  <c r="AE45" i="5"/>
  <c r="AF45" i="5"/>
  <c r="AG45" i="5"/>
  <c r="B47" i="5"/>
  <c r="B48" i="5"/>
  <c r="B49" i="5"/>
  <c r="B50" i="5"/>
  <c r="B51" i="5"/>
  <c r="B52" i="5"/>
  <c r="B53" i="5"/>
  <c r="B54" i="5"/>
  <c r="B55" i="5"/>
  <c r="B56" i="5"/>
  <c r="B57" i="5"/>
  <c r="B58" i="5"/>
  <c r="B59" i="5"/>
  <c r="B60" i="5"/>
  <c r="B61" i="5"/>
  <c r="B62" i="5"/>
  <c r="C62" i="5"/>
  <c r="D62" i="5"/>
  <c r="E62" i="5"/>
  <c r="I62" i="5"/>
  <c r="J62" i="5"/>
  <c r="K62" i="5"/>
  <c r="O62" i="5"/>
  <c r="P62" i="5"/>
  <c r="Q62" i="5"/>
  <c r="R62" i="5"/>
  <c r="S62" i="5"/>
  <c r="B63" i="5"/>
  <c r="B64" i="5"/>
  <c r="B65" i="5"/>
  <c r="B66" i="5"/>
  <c r="B67" i="5"/>
  <c r="B68" i="5"/>
  <c r="B69" i="5"/>
  <c r="B70" i="5"/>
  <c r="B76" i="5"/>
  <c r="C78" i="5"/>
  <c r="C81" i="5"/>
  <c r="D81" i="5"/>
  <c r="E81" i="5"/>
  <c r="F81" i="5"/>
  <c r="G81" i="5"/>
  <c r="H81" i="5"/>
  <c r="I81" i="5"/>
  <c r="J81" i="5"/>
  <c r="K81" i="5"/>
  <c r="L81" i="5"/>
  <c r="M81" i="5"/>
  <c r="N81" i="5"/>
  <c r="O81" i="5"/>
  <c r="P81" i="5"/>
  <c r="Q81" i="5"/>
  <c r="R81" i="5"/>
  <c r="S81" i="5"/>
  <c r="T81" i="5"/>
  <c r="U81" i="5"/>
  <c r="V81" i="5"/>
  <c r="W81" i="5"/>
  <c r="X81" i="5"/>
  <c r="Y81" i="5"/>
  <c r="Z81" i="5"/>
  <c r="AA81" i="5"/>
  <c r="AB81" i="5"/>
  <c r="AC81" i="5"/>
  <c r="AD81" i="5"/>
  <c r="AE81" i="5"/>
  <c r="AF81" i="5"/>
  <c r="AG81" i="5"/>
  <c r="B82" i="5"/>
  <c r="C82" i="5"/>
  <c r="D82" i="5"/>
  <c r="E82" i="5"/>
  <c r="F82" i="5"/>
  <c r="G82" i="5"/>
  <c r="H82" i="5"/>
  <c r="I82" i="5"/>
  <c r="J82" i="5"/>
  <c r="K82" i="5"/>
  <c r="L82" i="5"/>
  <c r="M82" i="5"/>
  <c r="N82" i="5"/>
  <c r="O82" i="5"/>
  <c r="P82" i="5"/>
  <c r="Q82" i="5"/>
  <c r="R82" i="5"/>
  <c r="S82" i="5"/>
  <c r="T82" i="5"/>
  <c r="U82" i="5"/>
  <c r="V82" i="5"/>
  <c r="W82" i="5"/>
  <c r="X82" i="5"/>
  <c r="Y82" i="5"/>
  <c r="Z82" i="5"/>
  <c r="AA82" i="5"/>
  <c r="AB82" i="5"/>
  <c r="AC82" i="5"/>
  <c r="AD82" i="5"/>
  <c r="AE82" i="5"/>
  <c r="AF82" i="5"/>
  <c r="AG82" i="5"/>
  <c r="C83" i="5"/>
  <c r="D83" i="5"/>
  <c r="E83" i="5"/>
  <c r="F83" i="5"/>
  <c r="G83" i="5"/>
  <c r="H83" i="5"/>
  <c r="I83" i="5"/>
  <c r="J83" i="5"/>
  <c r="K83" i="5"/>
  <c r="L83" i="5"/>
  <c r="M83" i="5"/>
  <c r="N83" i="5"/>
  <c r="O83" i="5"/>
  <c r="P83" i="5"/>
  <c r="Q83" i="5"/>
  <c r="R83" i="5"/>
  <c r="S83" i="5"/>
  <c r="T83" i="5"/>
  <c r="U83" i="5"/>
  <c r="V83" i="5"/>
  <c r="W83" i="5"/>
  <c r="X83" i="5"/>
  <c r="Y83" i="5"/>
  <c r="Z83" i="5"/>
  <c r="AA83" i="5"/>
  <c r="AB83" i="5"/>
  <c r="AC83" i="5"/>
  <c r="AD83" i="5"/>
  <c r="AE83" i="5"/>
  <c r="AF83" i="5"/>
  <c r="AG83" i="5"/>
  <c r="B85" i="5"/>
  <c r="B86" i="5"/>
  <c r="B87" i="5"/>
  <c r="B88" i="5"/>
  <c r="B89" i="5"/>
  <c r="B90" i="5"/>
  <c r="B91" i="5"/>
  <c r="B92" i="5"/>
  <c r="B93" i="5"/>
  <c r="B94" i="5"/>
  <c r="B95" i="5"/>
  <c r="B96" i="5"/>
  <c r="B97" i="5"/>
  <c r="B102" i="5"/>
  <c r="C104" i="5"/>
  <c r="D104" i="5"/>
  <c r="E104" i="5"/>
  <c r="F104" i="5"/>
  <c r="G104" i="5"/>
  <c r="H104" i="5"/>
  <c r="I104" i="5"/>
  <c r="J104" i="5"/>
  <c r="K104" i="5"/>
  <c r="L104" i="5"/>
  <c r="M104" i="5"/>
  <c r="N104" i="5"/>
  <c r="O104" i="5"/>
  <c r="P104" i="5"/>
  <c r="Q104" i="5"/>
  <c r="R104" i="5"/>
  <c r="S104" i="5"/>
  <c r="T104" i="5"/>
  <c r="U104" i="5"/>
  <c r="V104" i="5"/>
  <c r="W104" i="5"/>
  <c r="X104" i="5"/>
  <c r="Y104" i="5"/>
  <c r="Z104" i="5"/>
  <c r="AA104" i="5"/>
  <c r="AB104" i="5"/>
  <c r="AC104" i="5"/>
  <c r="AD104" i="5"/>
  <c r="AE104" i="5"/>
  <c r="AF104" i="5"/>
  <c r="AG104" i="5"/>
  <c r="B105" i="5"/>
  <c r="C105" i="5"/>
  <c r="D105" i="5"/>
  <c r="E105" i="5"/>
  <c r="F105" i="5"/>
  <c r="G105" i="5"/>
  <c r="H105" i="5"/>
  <c r="I105" i="5"/>
  <c r="J105" i="5"/>
  <c r="K105" i="5"/>
  <c r="L105" i="5"/>
  <c r="M105" i="5"/>
  <c r="N105" i="5"/>
  <c r="O105" i="5"/>
  <c r="P105" i="5"/>
  <c r="Q105" i="5"/>
  <c r="R105" i="5"/>
  <c r="S105" i="5"/>
  <c r="T105" i="5"/>
  <c r="U105" i="5"/>
  <c r="V105" i="5"/>
  <c r="W105" i="5"/>
  <c r="X105" i="5"/>
  <c r="Y105" i="5"/>
  <c r="Z105" i="5"/>
  <c r="AA105" i="5"/>
  <c r="AB105" i="5"/>
  <c r="AC105" i="5"/>
  <c r="AD105" i="5"/>
  <c r="AE105" i="5"/>
  <c r="AF105" i="5"/>
  <c r="AG105" i="5"/>
  <c r="C106" i="5"/>
  <c r="D106" i="5"/>
  <c r="E106" i="5"/>
  <c r="F106" i="5"/>
  <c r="G106" i="5"/>
  <c r="H106" i="5"/>
  <c r="I106" i="5"/>
  <c r="J106" i="5"/>
  <c r="K106" i="5"/>
  <c r="L106" i="5"/>
  <c r="M106" i="5"/>
  <c r="N106" i="5"/>
  <c r="O106" i="5"/>
  <c r="P106" i="5"/>
  <c r="Q106" i="5"/>
  <c r="R106" i="5"/>
  <c r="S106" i="5"/>
  <c r="T106" i="5"/>
  <c r="U106" i="5"/>
  <c r="V106" i="5"/>
  <c r="W106" i="5"/>
  <c r="X106" i="5"/>
  <c r="Y106" i="5"/>
  <c r="Z106" i="5"/>
  <c r="AA106" i="5"/>
  <c r="AB106" i="5"/>
  <c r="AC106" i="5"/>
  <c r="AD106" i="5"/>
  <c r="AE106" i="5"/>
  <c r="AF106" i="5"/>
  <c r="AG106" i="5"/>
  <c r="B108" i="5"/>
  <c r="B109" i="5"/>
  <c r="B110" i="5"/>
  <c r="B111" i="5"/>
  <c r="B112" i="5"/>
  <c r="B113" i="5"/>
  <c r="B118" i="5"/>
  <c r="E129" i="5"/>
  <c r="E130" i="5"/>
  <c r="E131" i="5"/>
  <c r="E132" i="5"/>
  <c r="E133" i="5"/>
  <c r="E134" i="5"/>
  <c r="E135" i="5"/>
  <c r="E136" i="5"/>
  <c r="E137" i="5"/>
  <c r="E138" i="5"/>
  <c r="E159" i="5"/>
  <c r="L159" i="5"/>
  <c r="E185" i="5"/>
  <c r="M214" i="5"/>
  <c r="F238" i="5"/>
  <c r="B1" i="23"/>
  <c r="B4" i="23"/>
  <c r="B5" i="23"/>
  <c r="B6" i="23"/>
  <c r="R9" i="23"/>
  <c r="S9" i="23"/>
  <c r="T9" i="23"/>
  <c r="R10" i="23"/>
  <c r="S10" i="23"/>
  <c r="T10" i="23"/>
  <c r="R11" i="23"/>
  <c r="S11" i="23"/>
  <c r="T11" i="23"/>
  <c r="R12" i="23"/>
  <c r="S12" i="23"/>
  <c r="T12" i="23"/>
  <c r="E14" i="23"/>
  <c r="L14" i="23"/>
  <c r="M14" i="23"/>
  <c r="N14" i="23"/>
  <c r="O14" i="23"/>
  <c r="P14" i="23"/>
  <c r="Q14" i="23"/>
  <c r="R14" i="23"/>
  <c r="S14" i="23"/>
  <c r="T14" i="23"/>
  <c r="E15" i="23"/>
  <c r="R15" i="23"/>
  <c r="S15" i="23"/>
  <c r="E16" i="23"/>
  <c r="R16" i="23"/>
  <c r="Y16" i="23"/>
  <c r="L17" i="23"/>
  <c r="M17" i="23"/>
  <c r="N17" i="23"/>
  <c r="O17" i="23"/>
  <c r="P17" i="23"/>
  <c r="Q17" i="23"/>
  <c r="R17" i="23"/>
  <c r="Y17" i="23"/>
  <c r="W18" i="23"/>
  <c r="X18" i="23"/>
  <c r="Y18" i="23"/>
  <c r="E19" i="23"/>
  <c r="R19" i="23"/>
  <c r="S19" i="23"/>
  <c r="T19" i="23"/>
  <c r="R20" i="23"/>
  <c r="S20" i="23"/>
  <c r="T20" i="23"/>
  <c r="Z20" i="23"/>
  <c r="R21" i="23"/>
  <c r="S21" i="23"/>
  <c r="T21" i="23"/>
  <c r="R22" i="23"/>
  <c r="S22" i="23"/>
  <c r="T22" i="23"/>
  <c r="E23" i="23"/>
  <c r="E24" i="23"/>
  <c r="L24" i="23"/>
  <c r="M24" i="23"/>
  <c r="N24" i="23"/>
  <c r="O24" i="23"/>
  <c r="P24" i="23"/>
  <c r="Q24" i="23"/>
  <c r="R24" i="23"/>
  <c r="S24" i="23"/>
  <c r="T24" i="23"/>
  <c r="E25" i="23"/>
  <c r="E26" i="23"/>
  <c r="E30" i="23"/>
  <c r="E31" i="23"/>
  <c r="N31" i="23"/>
  <c r="E32" i="23"/>
  <c r="E33" i="23"/>
  <c r="E34" i="23"/>
  <c r="M34" i="23"/>
  <c r="N34" i="23"/>
  <c r="E35" i="23"/>
  <c r="E36" i="23"/>
  <c r="M36" i="23"/>
  <c r="N36" i="23"/>
  <c r="E38" i="23"/>
  <c r="M38" i="23"/>
  <c r="N38" i="23"/>
  <c r="C43" i="23"/>
  <c r="D43" i="23"/>
  <c r="E43" i="23"/>
  <c r="F43" i="23"/>
  <c r="G43" i="23"/>
  <c r="H43" i="23"/>
  <c r="I43" i="23"/>
  <c r="J43" i="23"/>
  <c r="K43" i="23"/>
  <c r="L43" i="23"/>
  <c r="M43" i="23"/>
  <c r="N43" i="23"/>
  <c r="O43" i="23"/>
  <c r="P43" i="23"/>
  <c r="Q43" i="23"/>
  <c r="R43" i="23"/>
  <c r="S43" i="23"/>
  <c r="T43" i="23"/>
  <c r="U43" i="23"/>
  <c r="V43" i="23"/>
  <c r="W43" i="23"/>
  <c r="X43" i="23"/>
  <c r="Y43" i="23"/>
  <c r="Z43" i="23"/>
  <c r="AA43" i="23"/>
  <c r="AB43" i="23"/>
  <c r="AC43" i="23"/>
  <c r="AD43" i="23"/>
  <c r="AE43" i="23"/>
  <c r="AF43" i="23"/>
  <c r="AG43" i="23"/>
  <c r="B44" i="23"/>
  <c r="C44" i="23"/>
  <c r="D44" i="23"/>
  <c r="E44" i="23"/>
  <c r="F44" i="23"/>
  <c r="G44" i="23"/>
  <c r="H44" i="23"/>
  <c r="I44" i="23"/>
  <c r="J44" i="23"/>
  <c r="K44" i="23"/>
  <c r="L44" i="23"/>
  <c r="M44" i="23"/>
  <c r="N44" i="23"/>
  <c r="O44" i="23"/>
  <c r="P44" i="23"/>
  <c r="Q44" i="23"/>
  <c r="R44" i="23"/>
  <c r="S44" i="23"/>
  <c r="T44" i="23"/>
  <c r="U44" i="23"/>
  <c r="V44" i="23"/>
  <c r="W44" i="23"/>
  <c r="X44" i="23"/>
  <c r="Y44" i="23"/>
  <c r="Z44" i="23"/>
  <c r="AA44" i="23"/>
  <c r="AB44" i="23"/>
  <c r="AC44" i="23"/>
  <c r="AD44" i="23"/>
  <c r="AE44" i="23"/>
  <c r="AF44" i="23"/>
  <c r="AG44" i="23"/>
  <c r="C45" i="23"/>
  <c r="D45" i="23"/>
  <c r="E45" i="23"/>
  <c r="F45" i="23"/>
  <c r="G45" i="23"/>
  <c r="H45" i="23"/>
  <c r="I45" i="23"/>
  <c r="J45" i="23"/>
  <c r="K45" i="23"/>
  <c r="L45" i="23"/>
  <c r="M45" i="23"/>
  <c r="N45" i="23"/>
  <c r="O45" i="23"/>
  <c r="P45" i="23"/>
  <c r="Q45" i="23"/>
  <c r="R45" i="23"/>
  <c r="S45" i="23"/>
  <c r="T45" i="23"/>
  <c r="U45" i="23"/>
  <c r="V45" i="23"/>
  <c r="W45" i="23"/>
  <c r="X45" i="23"/>
  <c r="Y45" i="23"/>
  <c r="Z45" i="23"/>
  <c r="AA45" i="23"/>
  <c r="AB45" i="23"/>
  <c r="AC45" i="23"/>
  <c r="AD45" i="23"/>
  <c r="AE45" i="23"/>
  <c r="AF45" i="23"/>
  <c r="AG45" i="23"/>
  <c r="B47" i="23"/>
  <c r="B48" i="23"/>
  <c r="B49" i="23"/>
  <c r="B50" i="23"/>
  <c r="B51" i="23"/>
  <c r="B52" i="23"/>
  <c r="B53" i="23"/>
  <c r="B54" i="23"/>
  <c r="B55" i="23"/>
  <c r="B56" i="23"/>
  <c r="B57" i="23"/>
  <c r="B58" i="23"/>
  <c r="B59" i="23"/>
  <c r="B60" i="23"/>
  <c r="B61" i="23"/>
  <c r="B62" i="23"/>
  <c r="C62" i="23"/>
  <c r="D62" i="23"/>
  <c r="H62" i="23"/>
  <c r="J62" i="23"/>
  <c r="K62" i="23"/>
  <c r="L62" i="23"/>
  <c r="O62" i="23"/>
  <c r="Q62" i="23"/>
  <c r="S62" i="23"/>
  <c r="B63" i="23"/>
  <c r="B64" i="23"/>
  <c r="B65" i="23"/>
  <c r="B66" i="23"/>
  <c r="B67" i="23"/>
  <c r="B68" i="23"/>
  <c r="B69" i="23"/>
  <c r="B70" i="23"/>
  <c r="B76" i="23"/>
  <c r="C78" i="23"/>
  <c r="C81" i="23"/>
  <c r="D81" i="23"/>
  <c r="E81" i="23"/>
  <c r="F81" i="23"/>
  <c r="G81" i="23"/>
  <c r="H81" i="23"/>
  <c r="I81" i="23"/>
  <c r="J81" i="23"/>
  <c r="K81" i="23"/>
  <c r="L81" i="23"/>
  <c r="M81" i="23"/>
  <c r="N81" i="23"/>
  <c r="O81" i="23"/>
  <c r="P81" i="23"/>
  <c r="Q81" i="23"/>
  <c r="R81" i="23"/>
  <c r="S81" i="23"/>
  <c r="T81" i="23"/>
  <c r="U81" i="23"/>
  <c r="V81" i="23"/>
  <c r="W81" i="23"/>
  <c r="X81" i="23"/>
  <c r="Y81" i="23"/>
  <c r="Z81" i="23"/>
  <c r="AA81" i="23"/>
  <c r="AB81" i="23"/>
  <c r="AC81" i="23"/>
  <c r="AD81" i="23"/>
  <c r="AE81" i="23"/>
  <c r="AF81" i="23"/>
  <c r="AG81" i="23"/>
  <c r="B82" i="23"/>
  <c r="C82" i="23"/>
  <c r="D82" i="23"/>
  <c r="E82" i="23"/>
  <c r="F82" i="23"/>
  <c r="G82" i="23"/>
  <c r="H82" i="23"/>
  <c r="I82" i="23"/>
  <c r="J82" i="23"/>
  <c r="K82" i="23"/>
  <c r="L82" i="23"/>
  <c r="M82" i="23"/>
  <c r="N82" i="23"/>
  <c r="O82" i="23"/>
  <c r="P82" i="23"/>
  <c r="Q82" i="23"/>
  <c r="R82" i="23"/>
  <c r="S82" i="23"/>
  <c r="T82" i="23"/>
  <c r="U82" i="23"/>
  <c r="V82" i="23"/>
  <c r="W82" i="23"/>
  <c r="X82" i="23"/>
  <c r="Y82" i="23"/>
  <c r="Z82" i="23"/>
  <c r="AA82" i="23"/>
  <c r="AB82" i="23"/>
  <c r="AC82" i="23"/>
  <c r="AD82" i="23"/>
  <c r="AE82" i="23"/>
  <c r="AF82" i="23"/>
  <c r="AG82" i="23"/>
  <c r="C83" i="23"/>
  <c r="D83" i="23"/>
  <c r="E83" i="23"/>
  <c r="F83" i="23"/>
  <c r="G83" i="23"/>
  <c r="H83" i="23"/>
  <c r="I83" i="23"/>
  <c r="J83" i="23"/>
  <c r="K83" i="23"/>
  <c r="L83" i="23"/>
  <c r="M83" i="23"/>
  <c r="N83" i="23"/>
  <c r="O83" i="23"/>
  <c r="P83" i="23"/>
  <c r="Q83" i="23"/>
  <c r="R83" i="23"/>
  <c r="S83" i="23"/>
  <c r="T83" i="23"/>
  <c r="U83" i="23"/>
  <c r="V83" i="23"/>
  <c r="W83" i="23"/>
  <c r="X83" i="23"/>
  <c r="Y83" i="23"/>
  <c r="Z83" i="23"/>
  <c r="AA83" i="23"/>
  <c r="AB83" i="23"/>
  <c r="AC83" i="23"/>
  <c r="AD83" i="23"/>
  <c r="AE83" i="23"/>
  <c r="AF83" i="23"/>
  <c r="AG83" i="23"/>
  <c r="B85" i="23"/>
  <c r="B86" i="23"/>
  <c r="B87" i="23"/>
  <c r="B88" i="23"/>
  <c r="B89" i="23"/>
  <c r="B90" i="23"/>
  <c r="B91" i="23"/>
  <c r="B92" i="23"/>
  <c r="B93" i="23"/>
  <c r="B94" i="23"/>
  <c r="B95" i="23"/>
  <c r="B96" i="23"/>
  <c r="B97" i="23"/>
  <c r="B102" i="23"/>
  <c r="C104" i="23"/>
  <c r="D104" i="23"/>
  <c r="E104" i="23"/>
  <c r="F104" i="23"/>
  <c r="G104" i="23"/>
  <c r="H104" i="23"/>
  <c r="I104" i="23"/>
  <c r="J104" i="23"/>
  <c r="K104" i="23"/>
  <c r="L104" i="23"/>
  <c r="M104" i="23"/>
  <c r="N104" i="23"/>
  <c r="O104" i="23"/>
  <c r="P104" i="23"/>
  <c r="Q104" i="23"/>
  <c r="R104" i="23"/>
  <c r="S104" i="23"/>
  <c r="T104" i="23"/>
  <c r="U104" i="23"/>
  <c r="V104" i="23"/>
  <c r="W104" i="23"/>
  <c r="X104" i="23"/>
  <c r="Y104" i="23"/>
  <c r="Z104" i="23"/>
  <c r="AA104" i="23"/>
  <c r="AB104" i="23"/>
  <c r="AC104" i="23"/>
  <c r="AD104" i="23"/>
  <c r="AE104" i="23"/>
  <c r="AF104" i="23"/>
  <c r="AG104" i="23"/>
  <c r="B105" i="23"/>
  <c r="C105" i="23"/>
  <c r="D105" i="23"/>
  <c r="E105" i="23"/>
  <c r="F105" i="23"/>
  <c r="G105" i="23"/>
  <c r="H105" i="23"/>
  <c r="I105" i="23"/>
  <c r="J105" i="23"/>
  <c r="K105" i="23"/>
  <c r="L105" i="23"/>
  <c r="M105" i="23"/>
  <c r="N105" i="23"/>
  <c r="O105" i="23"/>
  <c r="P105" i="23"/>
  <c r="Q105" i="23"/>
  <c r="R105" i="23"/>
  <c r="S105" i="23"/>
  <c r="T105" i="23"/>
  <c r="U105" i="23"/>
  <c r="V105" i="23"/>
  <c r="W105" i="23"/>
  <c r="X105" i="23"/>
  <c r="Y105" i="23"/>
  <c r="Z105" i="23"/>
  <c r="AA105" i="23"/>
  <c r="AB105" i="23"/>
  <c r="AC105" i="23"/>
  <c r="AD105" i="23"/>
  <c r="AE105" i="23"/>
  <c r="AF105" i="23"/>
  <c r="AG105" i="23"/>
  <c r="C106" i="23"/>
  <c r="D106" i="23"/>
  <c r="E106" i="23"/>
  <c r="F106" i="23"/>
  <c r="G106" i="23"/>
  <c r="H106" i="23"/>
  <c r="I106" i="23"/>
  <c r="J106" i="23"/>
  <c r="K106" i="23"/>
  <c r="L106" i="23"/>
  <c r="M106" i="23"/>
  <c r="N106" i="23"/>
  <c r="O106" i="23"/>
  <c r="P106" i="23"/>
  <c r="Q106" i="23"/>
  <c r="R106" i="23"/>
  <c r="S106" i="23"/>
  <c r="T106" i="23"/>
  <c r="U106" i="23"/>
  <c r="V106" i="23"/>
  <c r="W106" i="23"/>
  <c r="X106" i="23"/>
  <c r="Y106" i="23"/>
  <c r="Z106" i="23"/>
  <c r="AA106" i="23"/>
  <c r="AB106" i="23"/>
  <c r="AC106" i="23"/>
  <c r="AD106" i="23"/>
  <c r="AE106" i="23"/>
  <c r="AF106" i="23"/>
  <c r="AG106" i="23"/>
  <c r="B108" i="23"/>
  <c r="B109" i="23"/>
  <c r="B110" i="23"/>
  <c r="B111" i="23"/>
  <c r="B112" i="23"/>
  <c r="B113" i="23"/>
  <c r="B118" i="23"/>
  <c r="E159" i="23"/>
  <c r="L159" i="23"/>
  <c r="E185" i="23"/>
  <c r="M214" i="23"/>
  <c r="F238" i="23"/>
  <c r="B1" i="11"/>
  <c r="B4" i="11"/>
  <c r="B5" i="11"/>
  <c r="B6" i="11"/>
  <c r="R9" i="11"/>
  <c r="S9" i="11"/>
  <c r="T9" i="11"/>
  <c r="R10" i="11"/>
  <c r="S10" i="11"/>
  <c r="T10" i="11"/>
  <c r="R11" i="11"/>
  <c r="S11" i="11"/>
  <c r="T11" i="11"/>
  <c r="R12" i="11"/>
  <c r="S12" i="11"/>
  <c r="T12" i="11"/>
  <c r="E14" i="11"/>
  <c r="L14" i="11"/>
  <c r="M14" i="11"/>
  <c r="N14" i="11"/>
  <c r="O14" i="11"/>
  <c r="P14" i="11"/>
  <c r="Q14" i="11"/>
  <c r="R14" i="11"/>
  <c r="S14" i="11"/>
  <c r="T14" i="11"/>
  <c r="E15" i="11"/>
  <c r="R15" i="11"/>
  <c r="S15" i="11"/>
  <c r="E16" i="11"/>
  <c r="R16" i="11"/>
  <c r="Y16" i="11"/>
  <c r="L17" i="11"/>
  <c r="M17" i="11"/>
  <c r="N17" i="11"/>
  <c r="O17" i="11"/>
  <c r="P17" i="11"/>
  <c r="Q17" i="11"/>
  <c r="R17" i="11"/>
  <c r="Y17" i="11"/>
  <c r="W18" i="11"/>
  <c r="X18" i="11"/>
  <c r="Y18" i="11"/>
  <c r="E19" i="11"/>
  <c r="R19" i="11"/>
  <c r="S19" i="11"/>
  <c r="T19" i="11"/>
  <c r="R20" i="11"/>
  <c r="S20" i="11"/>
  <c r="T20" i="11"/>
  <c r="Z20" i="11"/>
  <c r="R21" i="11"/>
  <c r="S21" i="11"/>
  <c r="T21" i="11"/>
  <c r="R22" i="11"/>
  <c r="S22" i="11"/>
  <c r="T22" i="11"/>
  <c r="E24" i="11"/>
  <c r="L24" i="11"/>
  <c r="M24" i="11"/>
  <c r="N24" i="11"/>
  <c r="O24" i="11"/>
  <c r="P24" i="11"/>
  <c r="Q24" i="11"/>
  <c r="R24" i="11"/>
  <c r="S24" i="11"/>
  <c r="T24" i="11"/>
  <c r="E25" i="11"/>
  <c r="E26" i="11"/>
  <c r="E30" i="11"/>
  <c r="E31" i="11"/>
  <c r="N31" i="11"/>
  <c r="E32" i="11"/>
  <c r="E33" i="11"/>
  <c r="E34" i="11"/>
  <c r="M34" i="11"/>
  <c r="N34" i="11"/>
  <c r="E35" i="11"/>
  <c r="E36" i="11"/>
  <c r="M36" i="11"/>
  <c r="N36" i="11"/>
  <c r="E38" i="11"/>
  <c r="M38" i="11"/>
  <c r="N38" i="11"/>
  <c r="C43" i="11"/>
  <c r="D43" i="11"/>
  <c r="E43" i="11"/>
  <c r="F43" i="11"/>
  <c r="G43" i="11"/>
  <c r="H43" i="11"/>
  <c r="I43" i="11"/>
  <c r="J43" i="11"/>
  <c r="K43" i="11"/>
  <c r="L43" i="11"/>
  <c r="M43" i="11"/>
  <c r="N43" i="11"/>
  <c r="O43" i="11"/>
  <c r="P43" i="11"/>
  <c r="Q43" i="11"/>
  <c r="R43" i="11"/>
  <c r="S43" i="11"/>
  <c r="T43" i="11"/>
  <c r="U43" i="11"/>
  <c r="V43" i="11"/>
  <c r="W43" i="11"/>
  <c r="X43" i="11"/>
  <c r="Y43" i="11"/>
  <c r="Z43" i="11"/>
  <c r="AA43" i="11"/>
  <c r="AB43" i="11"/>
  <c r="AC43" i="11"/>
  <c r="AD43" i="11"/>
  <c r="AE43" i="11"/>
  <c r="AF43" i="11"/>
  <c r="AG43" i="11"/>
  <c r="B44" i="11"/>
  <c r="C44" i="11"/>
  <c r="D44" i="11"/>
  <c r="E44" i="11"/>
  <c r="F44" i="11"/>
  <c r="G44" i="11"/>
  <c r="H44" i="11"/>
  <c r="I44" i="11"/>
  <c r="J44" i="11"/>
  <c r="K44" i="11"/>
  <c r="L44" i="11"/>
  <c r="M44" i="11"/>
  <c r="N44" i="11"/>
  <c r="O44" i="11"/>
  <c r="P44" i="11"/>
  <c r="Q44" i="11"/>
  <c r="R44" i="11"/>
  <c r="S44" i="11"/>
  <c r="T44" i="11"/>
  <c r="U44" i="11"/>
  <c r="V44" i="11"/>
  <c r="W44" i="11"/>
  <c r="X44" i="11"/>
  <c r="Y44" i="11"/>
  <c r="Z44" i="11"/>
  <c r="AA44" i="11"/>
  <c r="AB44" i="11"/>
  <c r="AC44" i="11"/>
  <c r="AD44" i="11"/>
  <c r="AE44" i="11"/>
  <c r="AF44" i="11"/>
  <c r="AG44" i="11"/>
  <c r="C45" i="11"/>
  <c r="D45" i="11"/>
  <c r="E45" i="11"/>
  <c r="F45" i="11"/>
  <c r="G45" i="11"/>
  <c r="H45" i="11"/>
  <c r="I45" i="11"/>
  <c r="J45" i="11"/>
  <c r="K45" i="11"/>
  <c r="L45" i="11"/>
  <c r="M45" i="11"/>
  <c r="N45" i="11"/>
  <c r="O45" i="11"/>
  <c r="P45" i="11"/>
  <c r="Q45" i="11"/>
  <c r="R45" i="11"/>
  <c r="S45" i="11"/>
  <c r="T45" i="11"/>
  <c r="U45" i="11"/>
  <c r="V45" i="11"/>
  <c r="W45" i="11"/>
  <c r="X45" i="11"/>
  <c r="Y45" i="11"/>
  <c r="Z45" i="11"/>
  <c r="AA45" i="11"/>
  <c r="AB45" i="11"/>
  <c r="AC45" i="11"/>
  <c r="AD45" i="11"/>
  <c r="AE45" i="11"/>
  <c r="AF45" i="11"/>
  <c r="AG45" i="11"/>
  <c r="B47" i="11"/>
  <c r="B48" i="11"/>
  <c r="B49" i="11"/>
  <c r="B50" i="11"/>
  <c r="B51" i="11"/>
  <c r="B52" i="11"/>
  <c r="B53" i="11"/>
  <c r="D53" i="11"/>
  <c r="L53" i="11"/>
  <c r="B54" i="11"/>
  <c r="B55" i="11"/>
  <c r="B56" i="11"/>
  <c r="B57" i="11"/>
  <c r="B58" i="11"/>
  <c r="D58" i="11"/>
  <c r="B59" i="11"/>
  <c r="B60" i="11"/>
  <c r="B61" i="11"/>
  <c r="B62" i="11"/>
  <c r="C62" i="11"/>
  <c r="D62" i="11"/>
  <c r="H62" i="11"/>
  <c r="I62" i="11"/>
  <c r="J62" i="11"/>
  <c r="P62" i="11"/>
  <c r="R62" i="11"/>
  <c r="B63" i="11"/>
  <c r="B64" i="11"/>
  <c r="B65" i="11"/>
  <c r="B66" i="11"/>
  <c r="B67" i="11"/>
  <c r="B68" i="11"/>
  <c r="B69" i="11"/>
  <c r="B70" i="11"/>
  <c r="B76" i="11"/>
  <c r="C81" i="11"/>
  <c r="D81" i="11"/>
  <c r="E81" i="11"/>
  <c r="F81" i="11"/>
  <c r="G81" i="11"/>
  <c r="H81" i="11"/>
  <c r="I81" i="11"/>
  <c r="J81" i="11"/>
  <c r="K81" i="11"/>
  <c r="L81" i="11"/>
  <c r="M81" i="11"/>
  <c r="N81" i="11"/>
  <c r="O81" i="11"/>
  <c r="P81" i="11"/>
  <c r="Q81" i="11"/>
  <c r="R81" i="11"/>
  <c r="S81" i="11"/>
  <c r="T81" i="11"/>
  <c r="U81" i="11"/>
  <c r="V81" i="11"/>
  <c r="W81" i="11"/>
  <c r="X81" i="11"/>
  <c r="Y81" i="11"/>
  <c r="Z81" i="11"/>
  <c r="AA81" i="11"/>
  <c r="AB81" i="11"/>
  <c r="AC81" i="11"/>
  <c r="AD81" i="11"/>
  <c r="AE81" i="11"/>
  <c r="AF81" i="11"/>
  <c r="AG81" i="11"/>
  <c r="B82" i="11"/>
  <c r="C82" i="11"/>
  <c r="D82" i="11"/>
  <c r="E82" i="11"/>
  <c r="F82" i="11"/>
  <c r="G82" i="11"/>
  <c r="H82" i="11"/>
  <c r="I82" i="11"/>
  <c r="J82" i="11"/>
  <c r="K82" i="11"/>
  <c r="L82" i="11"/>
  <c r="M82" i="11"/>
  <c r="N82" i="11"/>
  <c r="O82" i="11"/>
  <c r="P82" i="11"/>
  <c r="Q82" i="11"/>
  <c r="R82" i="11"/>
  <c r="S82" i="11"/>
  <c r="T82" i="11"/>
  <c r="U82" i="11"/>
  <c r="V82" i="11"/>
  <c r="W82" i="11"/>
  <c r="X82" i="11"/>
  <c r="Y82" i="11"/>
  <c r="Z82" i="11"/>
  <c r="AA82" i="11"/>
  <c r="AB82" i="11"/>
  <c r="AC82" i="11"/>
  <c r="AD82" i="11"/>
  <c r="AE82" i="11"/>
  <c r="AF82" i="11"/>
  <c r="AG82" i="11"/>
  <c r="C83" i="11"/>
  <c r="D83" i="11"/>
  <c r="E83" i="11"/>
  <c r="F83" i="11"/>
  <c r="G83" i="11"/>
  <c r="H83" i="11"/>
  <c r="I83" i="11"/>
  <c r="J83" i="11"/>
  <c r="K83" i="11"/>
  <c r="L83" i="11"/>
  <c r="M83" i="11"/>
  <c r="N83" i="11"/>
  <c r="O83" i="11"/>
  <c r="P83" i="11"/>
  <c r="Q83" i="11"/>
  <c r="R83" i="11"/>
  <c r="S83" i="11"/>
  <c r="T83" i="11"/>
  <c r="U83" i="11"/>
  <c r="V83" i="11"/>
  <c r="W83" i="11"/>
  <c r="X83" i="11"/>
  <c r="Y83" i="11"/>
  <c r="Z83" i="11"/>
  <c r="AA83" i="11"/>
  <c r="AB83" i="11"/>
  <c r="AC83" i="11"/>
  <c r="AD83" i="11"/>
  <c r="AE83" i="11"/>
  <c r="AF83" i="11"/>
  <c r="AG83" i="11"/>
  <c r="B85" i="11"/>
  <c r="B86" i="11"/>
  <c r="B87" i="11"/>
  <c r="B88" i="11"/>
  <c r="B89" i="11"/>
  <c r="B90" i="11"/>
  <c r="B91" i="11"/>
  <c r="B92" i="11"/>
  <c r="B93" i="11"/>
  <c r="B94" i="11"/>
  <c r="B95" i="11"/>
  <c r="B96" i="11"/>
  <c r="B97" i="11"/>
  <c r="B102" i="11"/>
  <c r="C104" i="11"/>
  <c r="D104" i="11"/>
  <c r="E104" i="11"/>
  <c r="F104" i="11"/>
  <c r="G104" i="11"/>
  <c r="H104" i="11"/>
  <c r="I104" i="11"/>
  <c r="J104" i="11"/>
  <c r="K104" i="11"/>
  <c r="L104" i="11"/>
  <c r="M104" i="11"/>
  <c r="N104" i="11"/>
  <c r="O104" i="11"/>
  <c r="P104" i="11"/>
  <c r="Q104" i="11"/>
  <c r="R104" i="11"/>
  <c r="S104" i="11"/>
  <c r="T104" i="11"/>
  <c r="U104" i="11"/>
  <c r="V104" i="11"/>
  <c r="W104" i="11"/>
  <c r="X104" i="11"/>
  <c r="Y104" i="11"/>
  <c r="Z104" i="11"/>
  <c r="AA104" i="11"/>
  <c r="AB104" i="11"/>
  <c r="AC104" i="11"/>
  <c r="AD104" i="11"/>
  <c r="AE104" i="11"/>
  <c r="AF104" i="11"/>
  <c r="AG104" i="11"/>
  <c r="B105" i="11"/>
  <c r="C105" i="11"/>
  <c r="D105" i="11"/>
  <c r="E105" i="11"/>
  <c r="F105" i="11"/>
  <c r="G105" i="11"/>
  <c r="H105" i="11"/>
  <c r="I105" i="11"/>
  <c r="J105" i="11"/>
  <c r="K105" i="11"/>
  <c r="L105" i="11"/>
  <c r="M105" i="11"/>
  <c r="N105" i="11"/>
  <c r="O105" i="11"/>
  <c r="P105" i="11"/>
  <c r="Q105" i="11"/>
  <c r="R105" i="11"/>
  <c r="S105" i="11"/>
  <c r="T105" i="11"/>
  <c r="U105" i="11"/>
  <c r="V105" i="11"/>
  <c r="W105" i="11"/>
  <c r="X105" i="11"/>
  <c r="Y105" i="11"/>
  <c r="Z105" i="11"/>
  <c r="AA105" i="11"/>
  <c r="AB105" i="11"/>
  <c r="AC105" i="11"/>
  <c r="AD105" i="11"/>
  <c r="AE105" i="11"/>
  <c r="AF105" i="11"/>
  <c r="AG105" i="11"/>
  <c r="C106" i="11"/>
  <c r="D106" i="11"/>
  <c r="E106" i="11"/>
  <c r="F106" i="11"/>
  <c r="G106" i="11"/>
  <c r="H106" i="11"/>
  <c r="I106" i="11"/>
  <c r="J106" i="11"/>
  <c r="K106" i="11"/>
  <c r="L106" i="11"/>
  <c r="M106" i="11"/>
  <c r="N106" i="11"/>
  <c r="O106" i="11"/>
  <c r="P106" i="11"/>
  <c r="Q106" i="11"/>
  <c r="R106" i="11"/>
  <c r="S106" i="11"/>
  <c r="T106" i="11"/>
  <c r="U106" i="11"/>
  <c r="V106" i="11"/>
  <c r="W106" i="11"/>
  <c r="X106" i="11"/>
  <c r="Y106" i="11"/>
  <c r="Z106" i="11"/>
  <c r="AA106" i="11"/>
  <c r="AB106" i="11"/>
  <c r="AC106" i="11"/>
  <c r="AD106" i="11"/>
  <c r="AE106" i="11"/>
  <c r="AF106" i="11"/>
  <c r="AG106" i="11"/>
  <c r="B108" i="11"/>
  <c r="B109" i="11"/>
  <c r="B110" i="11"/>
  <c r="B111" i="11"/>
  <c r="B112" i="11"/>
  <c r="B113" i="11"/>
  <c r="B118" i="11"/>
  <c r="E159" i="11"/>
  <c r="L159" i="11"/>
  <c r="E185" i="11"/>
  <c r="M214" i="11"/>
  <c r="F238" i="11"/>
  <c r="F4" i="21"/>
  <c r="B10" i="21"/>
  <c r="C10" i="21"/>
  <c r="D10" i="21"/>
  <c r="E10" i="21"/>
  <c r="F10" i="21"/>
  <c r="G10" i="21"/>
  <c r="H10" i="21"/>
  <c r="I10" i="21"/>
  <c r="J10" i="21"/>
  <c r="K10" i="21"/>
  <c r="L10" i="21"/>
  <c r="B22" i="21"/>
  <c r="B23" i="21"/>
  <c r="B24" i="21"/>
  <c r="A3" i="20"/>
  <c r="H12" i="20"/>
  <c r="H15" i="20"/>
  <c r="G19" i="20"/>
  <c r="G20" i="20"/>
  <c r="H23" i="20"/>
  <c r="H24" i="20"/>
  <c r="H28" i="20"/>
  <c r="H35" i="20"/>
  <c r="H37" i="20"/>
  <c r="H39" i="20"/>
  <c r="B1" i="4"/>
  <c r="B4" i="4"/>
  <c r="B5" i="4"/>
  <c r="B6" i="4"/>
  <c r="R9" i="4"/>
  <c r="S9" i="4"/>
  <c r="T9" i="4"/>
  <c r="R10" i="4"/>
  <c r="S10" i="4"/>
  <c r="T10" i="4"/>
  <c r="R11" i="4"/>
  <c r="S11" i="4"/>
  <c r="T11" i="4"/>
  <c r="R12" i="4"/>
  <c r="S12" i="4"/>
  <c r="T12" i="4"/>
  <c r="E14" i="4"/>
  <c r="L14" i="4"/>
  <c r="M14" i="4"/>
  <c r="N14" i="4"/>
  <c r="O14" i="4"/>
  <c r="P14" i="4"/>
  <c r="Q14" i="4"/>
  <c r="R14" i="4"/>
  <c r="S14" i="4"/>
  <c r="T14" i="4"/>
  <c r="E15" i="4"/>
  <c r="R15" i="4"/>
  <c r="S15" i="4"/>
  <c r="E16" i="4"/>
  <c r="R16" i="4"/>
  <c r="Y16" i="4"/>
  <c r="L17" i="4"/>
  <c r="M17" i="4"/>
  <c r="N17" i="4"/>
  <c r="O17" i="4"/>
  <c r="P17" i="4"/>
  <c r="Q17" i="4"/>
  <c r="R17" i="4"/>
  <c r="Y17" i="4"/>
  <c r="W18" i="4"/>
  <c r="X18" i="4"/>
  <c r="Y18" i="4"/>
  <c r="E19" i="4"/>
  <c r="R19" i="4"/>
  <c r="S19" i="4"/>
  <c r="T19" i="4"/>
  <c r="R20" i="4"/>
  <c r="S20" i="4"/>
  <c r="T20" i="4"/>
  <c r="Z20" i="4"/>
  <c r="R21" i="4"/>
  <c r="S21" i="4"/>
  <c r="T21" i="4"/>
  <c r="R22" i="4"/>
  <c r="S22" i="4"/>
  <c r="T22" i="4"/>
  <c r="E23" i="4"/>
  <c r="E24" i="4"/>
  <c r="L24" i="4"/>
  <c r="M24" i="4"/>
  <c r="N24" i="4"/>
  <c r="O24" i="4"/>
  <c r="P24" i="4"/>
  <c r="Q24" i="4"/>
  <c r="R24" i="4"/>
  <c r="S24" i="4"/>
  <c r="T24" i="4"/>
  <c r="E25" i="4"/>
  <c r="E26" i="4"/>
  <c r="E30" i="4"/>
  <c r="E31" i="4"/>
  <c r="N31" i="4"/>
  <c r="E32" i="4"/>
  <c r="E33" i="4"/>
  <c r="E34" i="4"/>
  <c r="M34" i="4"/>
  <c r="N34" i="4"/>
  <c r="E35" i="4"/>
  <c r="E36" i="4"/>
  <c r="M36" i="4"/>
  <c r="N36" i="4"/>
  <c r="E38" i="4"/>
  <c r="M38" i="4"/>
  <c r="N38" i="4"/>
  <c r="C43" i="4"/>
  <c r="D43" i="4"/>
  <c r="E43" i="4"/>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AG43" i="4"/>
  <c r="B44" i="4"/>
  <c r="C44" i="4"/>
  <c r="D44" i="4"/>
  <c r="E44" i="4"/>
  <c r="F44" i="4"/>
  <c r="G44" i="4"/>
  <c r="H44" i="4"/>
  <c r="I44" i="4"/>
  <c r="J44" i="4"/>
  <c r="K44" i="4"/>
  <c r="L44" i="4"/>
  <c r="M44" i="4"/>
  <c r="N44" i="4"/>
  <c r="O44" i="4"/>
  <c r="P44" i="4"/>
  <c r="Q44" i="4"/>
  <c r="R44" i="4"/>
  <c r="S44" i="4"/>
  <c r="T44" i="4"/>
  <c r="U44" i="4"/>
  <c r="V44" i="4"/>
  <c r="W44" i="4"/>
  <c r="X44" i="4"/>
  <c r="Y44" i="4"/>
  <c r="Z44" i="4"/>
  <c r="AA44" i="4"/>
  <c r="AB44" i="4"/>
  <c r="AC44" i="4"/>
  <c r="AD44" i="4"/>
  <c r="AE44" i="4"/>
  <c r="AF44" i="4"/>
  <c r="AG44" i="4"/>
  <c r="C45" i="4"/>
  <c r="D45" i="4"/>
  <c r="E45" i="4"/>
  <c r="F45" i="4"/>
  <c r="G45" i="4"/>
  <c r="H45" i="4"/>
  <c r="I45" i="4"/>
  <c r="J45" i="4"/>
  <c r="K45" i="4"/>
  <c r="L45" i="4"/>
  <c r="M45" i="4"/>
  <c r="N45" i="4"/>
  <c r="O45" i="4"/>
  <c r="P45" i="4"/>
  <c r="Q45" i="4"/>
  <c r="R45" i="4"/>
  <c r="S45" i="4"/>
  <c r="T45" i="4"/>
  <c r="U45" i="4"/>
  <c r="V45" i="4"/>
  <c r="W45" i="4"/>
  <c r="X45" i="4"/>
  <c r="Y45" i="4"/>
  <c r="Z45" i="4"/>
  <c r="AA45" i="4"/>
  <c r="AB45" i="4"/>
  <c r="AC45" i="4"/>
  <c r="AD45" i="4"/>
  <c r="AE45" i="4"/>
  <c r="AF45" i="4"/>
  <c r="AG45" i="4"/>
  <c r="B47" i="4"/>
  <c r="C47" i="4"/>
  <c r="D47" i="4"/>
  <c r="H47" i="4"/>
  <c r="R47" i="4"/>
  <c r="B48" i="4"/>
  <c r="B49" i="4"/>
  <c r="B50" i="4"/>
  <c r="B51" i="4"/>
  <c r="B52" i="4"/>
  <c r="B53" i="4"/>
  <c r="H53" i="4"/>
  <c r="K53" i="4"/>
  <c r="R53" i="4"/>
  <c r="S53" i="4"/>
  <c r="B54" i="4"/>
  <c r="B55" i="4"/>
  <c r="B56" i="4"/>
  <c r="B57" i="4"/>
  <c r="B58" i="4"/>
  <c r="B59" i="4"/>
  <c r="B60" i="4"/>
  <c r="H60" i="4"/>
  <c r="B61" i="4"/>
  <c r="B62" i="4"/>
  <c r="C62" i="4"/>
  <c r="D62" i="4"/>
  <c r="E62" i="4"/>
  <c r="H62" i="4"/>
  <c r="I62" i="4"/>
  <c r="J62" i="4"/>
  <c r="K62" i="4"/>
  <c r="L62" i="4"/>
  <c r="O62" i="4"/>
  <c r="P62" i="4"/>
  <c r="Q62" i="4"/>
  <c r="R62" i="4"/>
  <c r="S62" i="4"/>
  <c r="B63" i="4"/>
  <c r="B64" i="4"/>
  <c r="B65" i="4"/>
  <c r="B66" i="4"/>
  <c r="B67" i="4"/>
  <c r="B68" i="4"/>
  <c r="B69" i="4"/>
  <c r="B70" i="4"/>
  <c r="B73" i="4"/>
  <c r="B74" i="4"/>
  <c r="B76" i="4"/>
  <c r="C81" i="4"/>
  <c r="D81" i="4"/>
  <c r="E81" i="4"/>
  <c r="F81" i="4"/>
  <c r="G81" i="4"/>
  <c r="H81" i="4"/>
  <c r="I81" i="4"/>
  <c r="J81" i="4"/>
  <c r="K81" i="4"/>
  <c r="L81" i="4"/>
  <c r="M81" i="4"/>
  <c r="N81" i="4"/>
  <c r="O81" i="4"/>
  <c r="P81" i="4"/>
  <c r="Q81" i="4"/>
  <c r="R81" i="4"/>
  <c r="S81" i="4"/>
  <c r="T81" i="4"/>
  <c r="U81" i="4"/>
  <c r="V81" i="4"/>
  <c r="W81" i="4"/>
  <c r="X81" i="4"/>
  <c r="Y81" i="4"/>
  <c r="Z81" i="4"/>
  <c r="AA81" i="4"/>
  <c r="AB81" i="4"/>
  <c r="AC81" i="4"/>
  <c r="AD81" i="4"/>
  <c r="AE81" i="4"/>
  <c r="AF81" i="4"/>
  <c r="AG81" i="4"/>
  <c r="B82" i="4"/>
  <c r="C82" i="4"/>
  <c r="D82" i="4"/>
  <c r="E82" i="4"/>
  <c r="F82" i="4"/>
  <c r="G82" i="4"/>
  <c r="H82" i="4"/>
  <c r="I82" i="4"/>
  <c r="J82" i="4"/>
  <c r="K82" i="4"/>
  <c r="L82" i="4"/>
  <c r="M82" i="4"/>
  <c r="N82" i="4"/>
  <c r="O82" i="4"/>
  <c r="P82" i="4"/>
  <c r="Q82" i="4"/>
  <c r="R82" i="4"/>
  <c r="S82" i="4"/>
  <c r="T82" i="4"/>
  <c r="U82" i="4"/>
  <c r="V82" i="4"/>
  <c r="W82" i="4"/>
  <c r="X82" i="4"/>
  <c r="Y82" i="4"/>
  <c r="Z82" i="4"/>
  <c r="AA82" i="4"/>
  <c r="AB82" i="4"/>
  <c r="AC82" i="4"/>
  <c r="AD82" i="4"/>
  <c r="AE82" i="4"/>
  <c r="AF82" i="4"/>
  <c r="AG82" i="4"/>
  <c r="C83" i="4"/>
  <c r="D83" i="4"/>
  <c r="E83" i="4"/>
  <c r="F83" i="4"/>
  <c r="G83" i="4"/>
  <c r="H83" i="4"/>
  <c r="I83" i="4"/>
  <c r="J83" i="4"/>
  <c r="K83" i="4"/>
  <c r="L83" i="4"/>
  <c r="M83" i="4"/>
  <c r="N83" i="4"/>
  <c r="O83" i="4"/>
  <c r="P83" i="4"/>
  <c r="Q83" i="4"/>
  <c r="R83" i="4"/>
  <c r="S83" i="4"/>
  <c r="T83" i="4"/>
  <c r="U83" i="4"/>
  <c r="V83" i="4"/>
  <c r="W83" i="4"/>
  <c r="X83" i="4"/>
  <c r="Y83" i="4"/>
  <c r="Z83" i="4"/>
  <c r="AA83" i="4"/>
  <c r="AB83" i="4"/>
  <c r="AC83" i="4"/>
  <c r="AD83" i="4"/>
  <c r="AE83" i="4"/>
  <c r="AF83" i="4"/>
  <c r="AG83" i="4"/>
  <c r="B85" i="4"/>
  <c r="B86" i="4"/>
  <c r="B87" i="4"/>
  <c r="B88" i="4"/>
  <c r="B89" i="4"/>
  <c r="B90" i="4"/>
  <c r="B91" i="4"/>
  <c r="B92" i="4"/>
  <c r="B93" i="4"/>
  <c r="B94" i="4"/>
  <c r="B95" i="4"/>
  <c r="B96" i="4"/>
  <c r="B97" i="4"/>
  <c r="B102" i="4"/>
  <c r="C104" i="4"/>
  <c r="D104" i="4"/>
  <c r="E104" i="4"/>
  <c r="F104" i="4"/>
  <c r="G104" i="4"/>
  <c r="H104" i="4"/>
  <c r="I104" i="4"/>
  <c r="J104" i="4"/>
  <c r="K104" i="4"/>
  <c r="L104" i="4"/>
  <c r="M104" i="4"/>
  <c r="N104" i="4"/>
  <c r="O104" i="4"/>
  <c r="P104" i="4"/>
  <c r="Q104" i="4"/>
  <c r="R104" i="4"/>
  <c r="S104" i="4"/>
  <c r="T104" i="4"/>
  <c r="U104" i="4"/>
  <c r="V104" i="4"/>
  <c r="W104" i="4"/>
  <c r="X104" i="4"/>
  <c r="Y104" i="4"/>
  <c r="Z104" i="4"/>
  <c r="AA104" i="4"/>
  <c r="AB104" i="4"/>
  <c r="AC104" i="4"/>
  <c r="AD104" i="4"/>
  <c r="AE104" i="4"/>
  <c r="AF104" i="4"/>
  <c r="AG104" i="4"/>
  <c r="B105" i="4"/>
  <c r="C105" i="4"/>
  <c r="D105" i="4"/>
  <c r="E105" i="4"/>
  <c r="F105" i="4"/>
  <c r="G105" i="4"/>
  <c r="H105" i="4"/>
  <c r="I105" i="4"/>
  <c r="J105" i="4"/>
  <c r="K105" i="4"/>
  <c r="L105" i="4"/>
  <c r="M105" i="4"/>
  <c r="N105" i="4"/>
  <c r="O105" i="4"/>
  <c r="P105" i="4"/>
  <c r="Q105" i="4"/>
  <c r="R105" i="4"/>
  <c r="S105" i="4"/>
  <c r="T105" i="4"/>
  <c r="U105" i="4"/>
  <c r="V105" i="4"/>
  <c r="W105" i="4"/>
  <c r="X105" i="4"/>
  <c r="Y105" i="4"/>
  <c r="Z105" i="4"/>
  <c r="AA105" i="4"/>
  <c r="AB105" i="4"/>
  <c r="AC105" i="4"/>
  <c r="AD105" i="4"/>
  <c r="AE105" i="4"/>
  <c r="AF105" i="4"/>
  <c r="AG105" i="4"/>
  <c r="C106" i="4"/>
  <c r="D106" i="4"/>
  <c r="E106" i="4"/>
  <c r="F106" i="4"/>
  <c r="G106" i="4"/>
  <c r="H106" i="4"/>
  <c r="I106" i="4"/>
  <c r="J106" i="4"/>
  <c r="K106" i="4"/>
  <c r="L106" i="4"/>
  <c r="M106" i="4"/>
  <c r="N106" i="4"/>
  <c r="O106" i="4"/>
  <c r="P106" i="4"/>
  <c r="Q106" i="4"/>
  <c r="R106" i="4"/>
  <c r="S106" i="4"/>
  <c r="T106" i="4"/>
  <c r="U106" i="4"/>
  <c r="V106" i="4"/>
  <c r="W106" i="4"/>
  <c r="X106" i="4"/>
  <c r="Y106" i="4"/>
  <c r="Z106" i="4"/>
  <c r="AA106" i="4"/>
  <c r="AB106" i="4"/>
  <c r="AC106" i="4"/>
  <c r="AD106" i="4"/>
  <c r="AE106" i="4"/>
  <c r="AF106" i="4"/>
  <c r="AG106" i="4"/>
  <c r="B108" i="4"/>
  <c r="B109" i="4"/>
  <c r="B110" i="4"/>
  <c r="B111" i="4"/>
  <c r="B112" i="4"/>
  <c r="B113" i="4"/>
  <c r="B118" i="4"/>
  <c r="E127" i="4"/>
  <c r="E128" i="4"/>
  <c r="E129" i="4"/>
  <c r="E130" i="4"/>
  <c r="E131" i="4"/>
  <c r="E132" i="4"/>
  <c r="E133" i="4"/>
  <c r="E134" i="4"/>
  <c r="E135" i="4"/>
  <c r="E136" i="4"/>
  <c r="E137" i="4"/>
  <c r="L137" i="4"/>
  <c r="E140" i="4"/>
  <c r="E159" i="4"/>
  <c r="E185" i="4"/>
  <c r="M214" i="4"/>
  <c r="F238" i="4"/>
  <c r="B1" i="12"/>
  <c r="B4" i="12"/>
  <c r="B5" i="12"/>
  <c r="B6" i="12"/>
  <c r="R9" i="12"/>
  <c r="S9" i="12"/>
  <c r="T9" i="12"/>
  <c r="R10" i="12"/>
  <c r="S10" i="12"/>
  <c r="T10" i="12"/>
  <c r="R11" i="12"/>
  <c r="S11" i="12"/>
  <c r="T11" i="12"/>
  <c r="R12" i="12"/>
  <c r="S12" i="12"/>
  <c r="T12" i="12"/>
  <c r="E14" i="12"/>
  <c r="L14" i="12"/>
  <c r="M14" i="12"/>
  <c r="N14" i="12"/>
  <c r="O14" i="12"/>
  <c r="P14" i="12"/>
  <c r="Q14" i="12"/>
  <c r="R14" i="12"/>
  <c r="S14" i="12"/>
  <c r="T14" i="12"/>
  <c r="E15" i="12"/>
  <c r="R15" i="12"/>
  <c r="S15" i="12"/>
  <c r="E16" i="12"/>
  <c r="R16" i="12"/>
  <c r="Y16" i="12"/>
  <c r="L17" i="12"/>
  <c r="M17" i="12"/>
  <c r="N17" i="12"/>
  <c r="O17" i="12"/>
  <c r="P17" i="12"/>
  <c r="Q17" i="12"/>
  <c r="R17" i="12"/>
  <c r="Y17" i="12"/>
  <c r="W18" i="12"/>
  <c r="X18" i="12"/>
  <c r="Y18" i="12"/>
  <c r="E19" i="12"/>
  <c r="R19" i="12"/>
  <c r="S19" i="12"/>
  <c r="T19" i="12"/>
  <c r="R20" i="12"/>
  <c r="S20" i="12"/>
  <c r="T20" i="12"/>
  <c r="Z20" i="12"/>
  <c r="R21" i="12"/>
  <c r="S21" i="12"/>
  <c r="T21" i="12"/>
  <c r="R22" i="12"/>
  <c r="S22" i="12"/>
  <c r="T22" i="12"/>
  <c r="E24" i="12"/>
  <c r="L24" i="12"/>
  <c r="M24" i="12"/>
  <c r="N24" i="12"/>
  <c r="O24" i="12"/>
  <c r="P24" i="12"/>
  <c r="Q24" i="12"/>
  <c r="R24" i="12"/>
  <c r="S24" i="12"/>
  <c r="T24" i="12"/>
  <c r="E25" i="12"/>
  <c r="E26" i="12"/>
  <c r="E30" i="12"/>
  <c r="E31" i="12"/>
  <c r="N31" i="12"/>
  <c r="E32" i="12"/>
  <c r="E33" i="12"/>
  <c r="E34" i="12"/>
  <c r="M34" i="12"/>
  <c r="N34" i="12"/>
  <c r="E35" i="12"/>
  <c r="E36" i="12"/>
  <c r="M36" i="12"/>
  <c r="N36" i="12"/>
  <c r="E38" i="12"/>
  <c r="M38" i="12"/>
  <c r="N38" i="12"/>
  <c r="C43" i="12"/>
  <c r="D43" i="12"/>
  <c r="E43" i="12"/>
  <c r="F43" i="12"/>
  <c r="G43" i="12"/>
  <c r="H43" i="12"/>
  <c r="I43" i="12"/>
  <c r="J43" i="12"/>
  <c r="K43" i="12"/>
  <c r="L43" i="12"/>
  <c r="M43" i="12"/>
  <c r="N43" i="12"/>
  <c r="O43" i="12"/>
  <c r="P43" i="12"/>
  <c r="Q43" i="12"/>
  <c r="R43" i="12"/>
  <c r="S43" i="12"/>
  <c r="T43" i="12"/>
  <c r="U43" i="12"/>
  <c r="V43" i="12"/>
  <c r="W43" i="12"/>
  <c r="X43" i="12"/>
  <c r="Y43" i="12"/>
  <c r="Z43" i="12"/>
  <c r="AA43" i="12"/>
  <c r="AB43" i="12"/>
  <c r="AC43" i="12"/>
  <c r="AD43" i="12"/>
  <c r="AE43" i="12"/>
  <c r="AF43" i="12"/>
  <c r="AG43" i="12"/>
  <c r="B44" i="12"/>
  <c r="C44" i="12"/>
  <c r="D44" i="12"/>
  <c r="E44" i="12"/>
  <c r="F44" i="12"/>
  <c r="G44" i="12"/>
  <c r="H44" i="12"/>
  <c r="I44" i="12"/>
  <c r="J44" i="12"/>
  <c r="K44" i="12"/>
  <c r="L44" i="12"/>
  <c r="M44" i="12"/>
  <c r="N44" i="12"/>
  <c r="O44" i="12"/>
  <c r="P44" i="12"/>
  <c r="Q44" i="12"/>
  <c r="R44" i="12"/>
  <c r="S44" i="12"/>
  <c r="T44" i="12"/>
  <c r="U44" i="12"/>
  <c r="V44" i="12"/>
  <c r="W44" i="12"/>
  <c r="X44" i="12"/>
  <c r="Y44" i="12"/>
  <c r="Z44" i="12"/>
  <c r="AA44" i="12"/>
  <c r="AB44" i="12"/>
  <c r="AC44" i="12"/>
  <c r="AD44" i="12"/>
  <c r="AE44" i="12"/>
  <c r="AF44" i="12"/>
  <c r="AG44" i="12"/>
  <c r="C45" i="12"/>
  <c r="D45" i="12"/>
  <c r="E45" i="12"/>
  <c r="F45" i="12"/>
  <c r="G45" i="12"/>
  <c r="H45" i="12"/>
  <c r="I45" i="12"/>
  <c r="J45" i="12"/>
  <c r="K45" i="12"/>
  <c r="L45" i="12"/>
  <c r="M45" i="12"/>
  <c r="N45" i="12"/>
  <c r="O45" i="12"/>
  <c r="P45" i="12"/>
  <c r="Q45" i="12"/>
  <c r="R45" i="12"/>
  <c r="S45" i="12"/>
  <c r="T45" i="12"/>
  <c r="U45" i="12"/>
  <c r="V45" i="12"/>
  <c r="W45" i="12"/>
  <c r="X45" i="12"/>
  <c r="Y45" i="12"/>
  <c r="Z45" i="12"/>
  <c r="AA45" i="12"/>
  <c r="AB45" i="12"/>
  <c r="AC45" i="12"/>
  <c r="AD45" i="12"/>
  <c r="AE45" i="12"/>
  <c r="AF45" i="12"/>
  <c r="AG45" i="12"/>
  <c r="B47" i="12"/>
  <c r="B48" i="12"/>
  <c r="B49" i="12"/>
  <c r="B50" i="12"/>
  <c r="B51" i="12"/>
  <c r="B52" i="12"/>
  <c r="B53" i="12"/>
  <c r="B54" i="12"/>
  <c r="B55" i="12"/>
  <c r="B56" i="12"/>
  <c r="B57" i="12"/>
  <c r="B58" i="12"/>
  <c r="B59" i="12"/>
  <c r="B60" i="12"/>
  <c r="B61" i="12"/>
  <c r="B62" i="12"/>
  <c r="C62" i="12"/>
  <c r="D62" i="12"/>
  <c r="I62" i="12"/>
  <c r="R62" i="12"/>
  <c r="B63" i="12"/>
  <c r="B64" i="12"/>
  <c r="B65" i="12"/>
  <c r="B66" i="12"/>
  <c r="B67" i="12"/>
  <c r="B68" i="12"/>
  <c r="B69" i="12"/>
  <c r="B70" i="12"/>
  <c r="B76" i="12"/>
  <c r="C81" i="12"/>
  <c r="D81" i="12"/>
  <c r="E81" i="12"/>
  <c r="F81" i="12"/>
  <c r="G81" i="12"/>
  <c r="H81" i="12"/>
  <c r="I81" i="12"/>
  <c r="J81" i="12"/>
  <c r="K81" i="12"/>
  <c r="L81" i="12"/>
  <c r="M81" i="12"/>
  <c r="N81" i="12"/>
  <c r="O81" i="12"/>
  <c r="P81" i="12"/>
  <c r="Q81" i="12"/>
  <c r="R81" i="12"/>
  <c r="S81" i="12"/>
  <c r="T81" i="12"/>
  <c r="U81" i="12"/>
  <c r="V81" i="12"/>
  <c r="W81" i="12"/>
  <c r="X81" i="12"/>
  <c r="Y81" i="12"/>
  <c r="Z81" i="12"/>
  <c r="AA81" i="12"/>
  <c r="AB81" i="12"/>
  <c r="AC81" i="12"/>
  <c r="AD81" i="12"/>
  <c r="AE81" i="12"/>
  <c r="AF81" i="12"/>
  <c r="AG81" i="12"/>
  <c r="B82" i="12"/>
  <c r="C82" i="12"/>
  <c r="D82" i="12"/>
  <c r="E82" i="12"/>
  <c r="F82" i="12"/>
  <c r="G82" i="12"/>
  <c r="H82" i="12"/>
  <c r="I82" i="12"/>
  <c r="J82" i="12"/>
  <c r="K82" i="12"/>
  <c r="L82" i="12"/>
  <c r="M82" i="12"/>
  <c r="N82" i="12"/>
  <c r="O82" i="12"/>
  <c r="P82" i="12"/>
  <c r="Q82" i="12"/>
  <c r="R82" i="12"/>
  <c r="S82" i="12"/>
  <c r="T82" i="12"/>
  <c r="U82" i="12"/>
  <c r="V82" i="12"/>
  <c r="W82" i="12"/>
  <c r="X82" i="12"/>
  <c r="Y82" i="12"/>
  <c r="Z82" i="12"/>
  <c r="AA82" i="12"/>
  <c r="AB82" i="12"/>
  <c r="AC82" i="12"/>
  <c r="AD82" i="12"/>
  <c r="AE82" i="12"/>
  <c r="AF82" i="12"/>
  <c r="AG82" i="12"/>
  <c r="C83" i="12"/>
  <c r="D83" i="12"/>
  <c r="E83" i="12"/>
  <c r="F83" i="12"/>
  <c r="G83" i="12"/>
  <c r="H83" i="12"/>
  <c r="I83" i="12"/>
  <c r="J83" i="12"/>
  <c r="K83" i="12"/>
  <c r="L83" i="12"/>
  <c r="M83" i="12"/>
  <c r="N83" i="12"/>
  <c r="O83" i="12"/>
  <c r="P83" i="12"/>
  <c r="Q83" i="12"/>
  <c r="R83" i="12"/>
  <c r="S83" i="12"/>
  <c r="T83" i="12"/>
  <c r="U83" i="12"/>
  <c r="V83" i="12"/>
  <c r="W83" i="12"/>
  <c r="X83" i="12"/>
  <c r="Y83" i="12"/>
  <c r="Z83" i="12"/>
  <c r="AA83" i="12"/>
  <c r="AB83" i="12"/>
  <c r="AC83" i="12"/>
  <c r="AD83" i="12"/>
  <c r="AE83" i="12"/>
  <c r="AF83" i="12"/>
  <c r="AG83" i="12"/>
  <c r="B85" i="12"/>
  <c r="B86" i="12"/>
  <c r="B87" i="12"/>
  <c r="B88" i="12"/>
  <c r="B89" i="12"/>
  <c r="B90" i="12"/>
  <c r="B91" i="12"/>
  <c r="B92" i="12"/>
  <c r="B93" i="12"/>
  <c r="B94" i="12"/>
  <c r="B95" i="12"/>
  <c r="B96" i="12"/>
  <c r="B97" i="12"/>
  <c r="B102" i="12"/>
  <c r="C104" i="12"/>
  <c r="D104" i="12"/>
  <c r="E104" i="12"/>
  <c r="F104" i="12"/>
  <c r="G104" i="12"/>
  <c r="H104" i="12"/>
  <c r="I104" i="12"/>
  <c r="J104" i="12"/>
  <c r="K104" i="12"/>
  <c r="L104" i="12"/>
  <c r="M104" i="12"/>
  <c r="N104" i="12"/>
  <c r="O104" i="12"/>
  <c r="P104" i="12"/>
  <c r="Q104" i="12"/>
  <c r="R104" i="12"/>
  <c r="S104" i="12"/>
  <c r="T104" i="12"/>
  <c r="U104" i="12"/>
  <c r="V104" i="12"/>
  <c r="W104" i="12"/>
  <c r="X104" i="12"/>
  <c r="Y104" i="12"/>
  <c r="Z104" i="12"/>
  <c r="AA104" i="12"/>
  <c r="AB104" i="12"/>
  <c r="AC104" i="12"/>
  <c r="AD104" i="12"/>
  <c r="AE104" i="12"/>
  <c r="AF104" i="12"/>
  <c r="AG104" i="12"/>
  <c r="B105" i="12"/>
  <c r="C105" i="12"/>
  <c r="D105" i="12"/>
  <c r="E105" i="12"/>
  <c r="F105" i="12"/>
  <c r="G105" i="12"/>
  <c r="H105" i="12"/>
  <c r="I105" i="12"/>
  <c r="J105" i="12"/>
  <c r="K105" i="12"/>
  <c r="L105" i="12"/>
  <c r="M105" i="12"/>
  <c r="N105" i="12"/>
  <c r="O105" i="12"/>
  <c r="P105" i="12"/>
  <c r="Q105" i="12"/>
  <c r="R105" i="12"/>
  <c r="S105" i="12"/>
  <c r="T105" i="12"/>
  <c r="U105" i="12"/>
  <c r="V105" i="12"/>
  <c r="W105" i="12"/>
  <c r="X105" i="12"/>
  <c r="Y105" i="12"/>
  <c r="Z105" i="12"/>
  <c r="AA105" i="12"/>
  <c r="AB105" i="12"/>
  <c r="AC105" i="12"/>
  <c r="AD105" i="12"/>
  <c r="AE105" i="12"/>
  <c r="AF105" i="12"/>
  <c r="AG105" i="12"/>
  <c r="C106" i="12"/>
  <c r="D106" i="12"/>
  <c r="E106" i="12"/>
  <c r="F106" i="12"/>
  <c r="G106" i="12"/>
  <c r="H106" i="12"/>
  <c r="I106" i="12"/>
  <c r="J106" i="12"/>
  <c r="K106" i="12"/>
  <c r="L106" i="12"/>
  <c r="M106" i="12"/>
  <c r="N106" i="12"/>
  <c r="O106" i="12"/>
  <c r="P106" i="12"/>
  <c r="Q106" i="12"/>
  <c r="R106" i="12"/>
  <c r="S106" i="12"/>
  <c r="T106" i="12"/>
  <c r="U106" i="12"/>
  <c r="V106" i="12"/>
  <c r="W106" i="12"/>
  <c r="X106" i="12"/>
  <c r="Y106" i="12"/>
  <c r="Z106" i="12"/>
  <c r="AA106" i="12"/>
  <c r="AB106" i="12"/>
  <c r="AC106" i="12"/>
  <c r="AD106" i="12"/>
  <c r="AE106" i="12"/>
  <c r="AF106" i="12"/>
  <c r="AG106" i="12"/>
  <c r="B108" i="12"/>
  <c r="B109" i="12"/>
  <c r="B110" i="12"/>
  <c r="B111" i="12"/>
  <c r="B112" i="12"/>
  <c r="B113" i="12"/>
  <c r="B118" i="12"/>
  <c r="E127" i="12"/>
  <c r="E128" i="12"/>
  <c r="E129" i="12"/>
  <c r="E130" i="12"/>
  <c r="E131" i="12"/>
  <c r="E132" i="12"/>
  <c r="E159" i="12"/>
  <c r="L159" i="12"/>
  <c r="E185" i="12"/>
  <c r="M214" i="12"/>
  <c r="F238" i="12"/>
  <c r="B1" i="19"/>
  <c r="B4" i="19"/>
  <c r="B5" i="19"/>
  <c r="R9" i="19"/>
  <c r="S9" i="19"/>
  <c r="T9" i="19"/>
  <c r="R10" i="19"/>
  <c r="S10" i="19"/>
  <c r="T10" i="19"/>
  <c r="R11" i="19"/>
  <c r="S11" i="19"/>
  <c r="T11" i="19"/>
  <c r="R12" i="19"/>
  <c r="S12" i="19"/>
  <c r="T12" i="19"/>
  <c r="E14" i="19"/>
  <c r="L14" i="19"/>
  <c r="M14" i="19"/>
  <c r="N14" i="19"/>
  <c r="O14" i="19"/>
  <c r="P14" i="19"/>
  <c r="Q14" i="19"/>
  <c r="R14" i="19"/>
  <c r="S14" i="19"/>
  <c r="T14" i="19"/>
  <c r="R15" i="19"/>
  <c r="S15" i="19"/>
  <c r="E16" i="19"/>
  <c r="R16" i="19"/>
  <c r="Y16" i="19"/>
  <c r="L17" i="19"/>
  <c r="M17" i="19"/>
  <c r="N17" i="19"/>
  <c r="O17" i="19"/>
  <c r="P17" i="19"/>
  <c r="Q17" i="19"/>
  <c r="R17" i="19"/>
  <c r="Y17" i="19"/>
  <c r="W18" i="19"/>
  <c r="X18" i="19"/>
  <c r="Y18" i="19"/>
  <c r="E19" i="19"/>
  <c r="R19" i="19"/>
  <c r="S19" i="19"/>
  <c r="T19" i="19"/>
  <c r="R20" i="19"/>
  <c r="S20" i="19"/>
  <c r="T20" i="19"/>
  <c r="Z20" i="19"/>
  <c r="R21" i="19"/>
  <c r="S21" i="19"/>
  <c r="T21" i="19"/>
  <c r="R22" i="19"/>
  <c r="S22" i="19"/>
  <c r="T22" i="19"/>
  <c r="E23" i="19"/>
  <c r="E24" i="19"/>
  <c r="L24" i="19"/>
  <c r="M24" i="19"/>
  <c r="N24" i="19"/>
  <c r="O24" i="19"/>
  <c r="P24" i="19"/>
  <c r="Q24" i="19"/>
  <c r="R24" i="19"/>
  <c r="S24" i="19"/>
  <c r="T24" i="19"/>
  <c r="E25" i="19"/>
  <c r="E26" i="19"/>
  <c r="E30" i="19"/>
  <c r="E31" i="19"/>
  <c r="N31" i="19"/>
  <c r="E32" i="19"/>
  <c r="E33" i="19"/>
  <c r="E34" i="19"/>
  <c r="M34" i="19"/>
  <c r="N34" i="19"/>
  <c r="E35" i="19"/>
  <c r="E36" i="19"/>
  <c r="M36" i="19"/>
  <c r="N36" i="19"/>
  <c r="E38" i="19"/>
  <c r="M38" i="19"/>
  <c r="N38" i="19"/>
  <c r="C43" i="19"/>
  <c r="D43" i="19"/>
  <c r="E43" i="19"/>
  <c r="F43" i="19"/>
  <c r="G43" i="19"/>
  <c r="H43" i="19"/>
  <c r="I43" i="19"/>
  <c r="J43" i="19"/>
  <c r="K43" i="19"/>
  <c r="L43" i="19"/>
  <c r="M43" i="19"/>
  <c r="N43" i="19"/>
  <c r="O43" i="19"/>
  <c r="P43" i="19"/>
  <c r="Q43" i="19"/>
  <c r="R43" i="19"/>
  <c r="S43" i="19"/>
  <c r="T43" i="19"/>
  <c r="U43" i="19"/>
  <c r="V43" i="19"/>
  <c r="W43" i="19"/>
  <c r="X43" i="19"/>
  <c r="Y43" i="19"/>
  <c r="Z43" i="19"/>
  <c r="AA43" i="19"/>
  <c r="AB43" i="19"/>
  <c r="AC43" i="19"/>
  <c r="AD43" i="19"/>
  <c r="AE43" i="19"/>
  <c r="AF43" i="19"/>
  <c r="AG43" i="19"/>
  <c r="B44" i="19"/>
  <c r="C44" i="19"/>
  <c r="D44" i="19"/>
  <c r="E44" i="19"/>
  <c r="F44" i="19"/>
  <c r="G44" i="19"/>
  <c r="H44" i="19"/>
  <c r="I44" i="19"/>
  <c r="J44" i="19"/>
  <c r="K44" i="19"/>
  <c r="L44" i="19"/>
  <c r="M44" i="19"/>
  <c r="N44" i="19"/>
  <c r="O44" i="19"/>
  <c r="P44" i="19"/>
  <c r="Q44" i="19"/>
  <c r="R44" i="19"/>
  <c r="S44" i="19"/>
  <c r="T44" i="19"/>
  <c r="U44" i="19"/>
  <c r="V44" i="19"/>
  <c r="W44" i="19"/>
  <c r="X44" i="19"/>
  <c r="Y44" i="19"/>
  <c r="Z44" i="19"/>
  <c r="AA44" i="19"/>
  <c r="AB44" i="19"/>
  <c r="AC44" i="19"/>
  <c r="AD44" i="19"/>
  <c r="AE44" i="19"/>
  <c r="AF44" i="19"/>
  <c r="AG44" i="19"/>
  <c r="C45" i="19"/>
  <c r="D45" i="19"/>
  <c r="E45" i="19"/>
  <c r="F45" i="19"/>
  <c r="G45" i="19"/>
  <c r="H45" i="19"/>
  <c r="I45" i="19"/>
  <c r="J45" i="19"/>
  <c r="K45" i="19"/>
  <c r="L45" i="19"/>
  <c r="M45" i="19"/>
  <c r="N45" i="19"/>
  <c r="O45" i="19"/>
  <c r="P45" i="19"/>
  <c r="Q45" i="19"/>
  <c r="R45" i="19"/>
  <c r="S45" i="19"/>
  <c r="T45" i="19"/>
  <c r="U45" i="19"/>
  <c r="V45" i="19"/>
  <c r="W45" i="19"/>
  <c r="X45" i="19"/>
  <c r="Y45" i="19"/>
  <c r="Z45" i="19"/>
  <c r="AA45" i="19"/>
  <c r="AB45" i="19"/>
  <c r="AC45" i="19"/>
  <c r="AD45" i="19"/>
  <c r="AE45" i="19"/>
  <c r="AF45" i="19"/>
  <c r="AG45" i="19"/>
  <c r="B47" i="19"/>
  <c r="B48" i="19"/>
  <c r="B49" i="19"/>
  <c r="B50" i="19"/>
  <c r="B51" i="19"/>
  <c r="B52" i="19"/>
  <c r="B53" i="19"/>
  <c r="B54" i="19"/>
  <c r="B55" i="19"/>
  <c r="B56" i="19"/>
  <c r="B57" i="19"/>
  <c r="B58" i="19"/>
  <c r="B59" i="19"/>
  <c r="B60" i="19"/>
  <c r="B61" i="19"/>
  <c r="B62" i="19"/>
  <c r="B63" i="19"/>
  <c r="B64" i="19"/>
  <c r="B65" i="19"/>
  <c r="B66" i="19"/>
  <c r="B67" i="19"/>
  <c r="B68" i="19"/>
  <c r="B69" i="19"/>
  <c r="B70" i="19"/>
  <c r="B73" i="19"/>
  <c r="B74" i="19"/>
  <c r="B76" i="19"/>
  <c r="C81" i="19"/>
  <c r="D81" i="19"/>
  <c r="E81" i="19"/>
  <c r="F81" i="19"/>
  <c r="G81" i="19"/>
  <c r="H81" i="19"/>
  <c r="I81" i="19"/>
  <c r="J81" i="19"/>
  <c r="K81" i="19"/>
  <c r="L81" i="19"/>
  <c r="M81" i="19"/>
  <c r="N81" i="19"/>
  <c r="O81" i="19"/>
  <c r="P81" i="19"/>
  <c r="Q81" i="19"/>
  <c r="R81" i="19"/>
  <c r="S81" i="19"/>
  <c r="T81" i="19"/>
  <c r="U81" i="19"/>
  <c r="V81" i="19"/>
  <c r="W81" i="19"/>
  <c r="X81" i="19"/>
  <c r="Y81" i="19"/>
  <c r="Z81" i="19"/>
  <c r="AA81" i="19"/>
  <c r="AB81" i="19"/>
  <c r="AC81" i="19"/>
  <c r="AD81" i="19"/>
  <c r="AE81" i="19"/>
  <c r="AF81" i="19"/>
  <c r="AG81" i="19"/>
  <c r="B82" i="19"/>
  <c r="C82" i="19"/>
  <c r="D82" i="19"/>
  <c r="E82" i="19"/>
  <c r="F82" i="19"/>
  <c r="G82" i="19"/>
  <c r="H82" i="19"/>
  <c r="I82" i="19"/>
  <c r="J82" i="19"/>
  <c r="K82" i="19"/>
  <c r="L82" i="19"/>
  <c r="M82" i="19"/>
  <c r="N82" i="19"/>
  <c r="O82" i="19"/>
  <c r="P82" i="19"/>
  <c r="Q82" i="19"/>
  <c r="R82" i="19"/>
  <c r="S82" i="19"/>
  <c r="T82" i="19"/>
  <c r="U82" i="19"/>
  <c r="V82" i="19"/>
  <c r="W82" i="19"/>
  <c r="X82" i="19"/>
  <c r="Y82" i="19"/>
  <c r="Z82" i="19"/>
  <c r="AA82" i="19"/>
  <c r="AB82" i="19"/>
  <c r="AC82" i="19"/>
  <c r="AD82" i="19"/>
  <c r="AE82" i="19"/>
  <c r="AF82" i="19"/>
  <c r="AG82" i="19"/>
  <c r="C83" i="19"/>
  <c r="D83" i="19"/>
  <c r="E83" i="19"/>
  <c r="F83" i="19"/>
  <c r="G83" i="19"/>
  <c r="H83" i="19"/>
  <c r="I83" i="19"/>
  <c r="J83" i="19"/>
  <c r="K83" i="19"/>
  <c r="L83" i="19"/>
  <c r="M83" i="19"/>
  <c r="N83" i="19"/>
  <c r="O83" i="19"/>
  <c r="P83" i="19"/>
  <c r="Q83" i="19"/>
  <c r="R83" i="19"/>
  <c r="S83" i="19"/>
  <c r="T83" i="19"/>
  <c r="U83" i="19"/>
  <c r="V83" i="19"/>
  <c r="W83" i="19"/>
  <c r="X83" i="19"/>
  <c r="Y83" i="19"/>
  <c r="Z83" i="19"/>
  <c r="AA83" i="19"/>
  <c r="AB83" i="19"/>
  <c r="AC83" i="19"/>
  <c r="AD83" i="19"/>
  <c r="AE83" i="19"/>
  <c r="AF83" i="19"/>
  <c r="AG83" i="19"/>
  <c r="B85" i="19"/>
  <c r="B86" i="19"/>
  <c r="B87" i="19"/>
  <c r="B88" i="19"/>
  <c r="B89" i="19"/>
  <c r="B90" i="19"/>
  <c r="B91" i="19"/>
  <c r="B92" i="19"/>
  <c r="B93" i="19"/>
  <c r="B94" i="19"/>
  <c r="B95" i="19"/>
  <c r="B96" i="19"/>
  <c r="B97" i="19"/>
  <c r="B102" i="19"/>
  <c r="C104" i="19"/>
  <c r="D104" i="19"/>
  <c r="E104" i="19"/>
  <c r="F104" i="19"/>
  <c r="G104" i="19"/>
  <c r="H104" i="19"/>
  <c r="I104" i="19"/>
  <c r="J104" i="19"/>
  <c r="K104" i="19"/>
  <c r="L104" i="19"/>
  <c r="M104" i="19"/>
  <c r="N104" i="19"/>
  <c r="O104" i="19"/>
  <c r="P104" i="19"/>
  <c r="Q104" i="19"/>
  <c r="R104" i="19"/>
  <c r="S104" i="19"/>
  <c r="T104" i="19"/>
  <c r="U104" i="19"/>
  <c r="V104" i="19"/>
  <c r="W104" i="19"/>
  <c r="X104" i="19"/>
  <c r="Y104" i="19"/>
  <c r="Z104" i="19"/>
  <c r="AA104" i="19"/>
  <c r="AB104" i="19"/>
  <c r="AC104" i="19"/>
  <c r="AD104" i="19"/>
  <c r="AE104" i="19"/>
  <c r="AF104" i="19"/>
  <c r="AG104" i="19"/>
  <c r="B105" i="19"/>
  <c r="C105" i="19"/>
  <c r="D105" i="19"/>
  <c r="E105" i="19"/>
  <c r="F105" i="19"/>
  <c r="G105" i="19"/>
  <c r="H105" i="19"/>
  <c r="I105" i="19"/>
  <c r="J105" i="19"/>
  <c r="K105" i="19"/>
  <c r="L105" i="19"/>
  <c r="M105" i="19"/>
  <c r="N105" i="19"/>
  <c r="O105" i="19"/>
  <c r="P105" i="19"/>
  <c r="Q105" i="19"/>
  <c r="R105" i="19"/>
  <c r="S105" i="19"/>
  <c r="T105" i="19"/>
  <c r="U105" i="19"/>
  <c r="V105" i="19"/>
  <c r="W105" i="19"/>
  <c r="X105" i="19"/>
  <c r="Y105" i="19"/>
  <c r="Z105" i="19"/>
  <c r="AA105" i="19"/>
  <c r="AB105" i="19"/>
  <c r="AC105" i="19"/>
  <c r="AD105" i="19"/>
  <c r="AE105" i="19"/>
  <c r="AF105" i="19"/>
  <c r="AG105" i="19"/>
  <c r="C106" i="19"/>
  <c r="D106" i="19"/>
  <c r="E106" i="19"/>
  <c r="F106" i="19"/>
  <c r="G106" i="19"/>
  <c r="H106" i="19"/>
  <c r="I106" i="19"/>
  <c r="J106" i="19"/>
  <c r="K106" i="19"/>
  <c r="L106" i="19"/>
  <c r="M106" i="19"/>
  <c r="N106" i="19"/>
  <c r="O106" i="19"/>
  <c r="P106" i="19"/>
  <c r="Q106" i="19"/>
  <c r="R106" i="19"/>
  <c r="S106" i="19"/>
  <c r="T106" i="19"/>
  <c r="U106" i="19"/>
  <c r="V106" i="19"/>
  <c r="W106" i="19"/>
  <c r="X106" i="19"/>
  <c r="Y106" i="19"/>
  <c r="Z106" i="19"/>
  <c r="AA106" i="19"/>
  <c r="AB106" i="19"/>
  <c r="AC106" i="19"/>
  <c r="AD106" i="19"/>
  <c r="AE106" i="19"/>
  <c r="AF106" i="19"/>
  <c r="AG106" i="19"/>
  <c r="B108" i="19"/>
  <c r="B109" i="19"/>
  <c r="B110" i="19"/>
  <c r="B111" i="19"/>
  <c r="B112" i="19"/>
  <c r="B113" i="19"/>
  <c r="B118" i="19"/>
  <c r="E140" i="19"/>
  <c r="E159" i="19"/>
  <c r="L160" i="19"/>
  <c r="E185" i="19"/>
  <c r="M214" i="19"/>
  <c r="F238" i="19"/>
  <c r="G2" i="9"/>
  <c r="G3" i="9"/>
  <c r="O9" i="9"/>
  <c r="Q9" i="9"/>
  <c r="R9" i="9"/>
  <c r="S9" i="9"/>
  <c r="Q10" i="9"/>
  <c r="O12" i="9"/>
  <c r="Q12" i="9"/>
  <c r="R12" i="9"/>
  <c r="S12" i="9"/>
  <c r="Q13" i="9"/>
  <c r="O15" i="9"/>
  <c r="Q15" i="9"/>
  <c r="R15" i="9"/>
  <c r="S15" i="9"/>
  <c r="Q16" i="9"/>
  <c r="O18" i="9"/>
  <c r="Q18" i="9"/>
  <c r="R18" i="9"/>
  <c r="S18" i="9"/>
  <c r="Q19" i="9"/>
  <c r="O21" i="9"/>
  <c r="Q21" i="9"/>
  <c r="R21" i="9"/>
  <c r="S21" i="9"/>
  <c r="Q22" i="9"/>
  <c r="Q24" i="9"/>
  <c r="R24" i="9"/>
  <c r="S24" i="9"/>
  <c r="Q25" i="9"/>
  <c r="O27" i="9"/>
  <c r="Q27" i="9"/>
  <c r="R27" i="9"/>
  <c r="S27" i="9"/>
  <c r="Q28" i="9"/>
  <c r="O30" i="9"/>
  <c r="Q30" i="9"/>
  <c r="R30" i="9"/>
  <c r="S30" i="9"/>
  <c r="Q31" i="9"/>
  <c r="O33" i="9"/>
  <c r="Q33" i="9"/>
  <c r="R33" i="9"/>
  <c r="S33" i="9"/>
  <c r="Q34" i="9"/>
  <c r="O36" i="9"/>
  <c r="Q36" i="9"/>
  <c r="R36" i="9"/>
  <c r="S36" i="9"/>
  <c r="Q37" i="9"/>
  <c r="Q39" i="9"/>
  <c r="R39" i="9"/>
  <c r="S39" i="9"/>
  <c r="O40" i="9"/>
  <c r="Q40" i="9"/>
  <c r="O42" i="9"/>
  <c r="Q42" i="9"/>
  <c r="R42" i="9"/>
  <c r="S42" i="9"/>
  <c r="Q43" i="9"/>
  <c r="O45" i="9"/>
  <c r="Q45" i="9"/>
  <c r="R45" i="9"/>
  <c r="S45" i="9"/>
  <c r="Q46" i="9"/>
  <c r="O48" i="9"/>
  <c r="Q48" i="9"/>
  <c r="R48" i="9"/>
  <c r="S48" i="9"/>
  <c r="Q49" i="9"/>
  <c r="O51" i="9"/>
  <c r="Q51" i="9"/>
  <c r="R51" i="9"/>
  <c r="S51" i="9"/>
  <c r="Q52" i="9"/>
  <c r="O54" i="9"/>
  <c r="Q54" i="9"/>
  <c r="R54" i="9"/>
  <c r="S54" i="9"/>
  <c r="Q55" i="9"/>
  <c r="O57" i="9"/>
  <c r="Q57" i="9"/>
  <c r="R57" i="9"/>
  <c r="S57" i="9"/>
  <c r="Q58" i="9"/>
  <c r="O60" i="9"/>
  <c r="Q60" i="9"/>
  <c r="R60" i="9"/>
  <c r="S60" i="9"/>
  <c r="Q61" i="9"/>
  <c r="O63" i="9"/>
  <c r="Q63" i="9"/>
  <c r="R63" i="9"/>
  <c r="S63" i="9"/>
  <c r="Q64" i="9"/>
  <c r="O66" i="9"/>
  <c r="Q66" i="9"/>
  <c r="R66" i="9"/>
  <c r="S66" i="9"/>
  <c r="Q67" i="9"/>
  <c r="O69" i="9"/>
  <c r="Q69" i="9"/>
  <c r="R69" i="9"/>
  <c r="S69" i="9"/>
  <c r="Q70" i="9"/>
  <c r="O72" i="9"/>
  <c r="Q72" i="9"/>
  <c r="R72" i="9"/>
  <c r="S72" i="9"/>
  <c r="Q73" i="9"/>
  <c r="O75" i="9"/>
  <c r="Q75" i="9"/>
  <c r="R75" i="9"/>
  <c r="S75" i="9"/>
  <c r="Q76" i="9"/>
  <c r="O78" i="9"/>
  <c r="Q78" i="9"/>
  <c r="R78" i="9"/>
  <c r="S78" i="9"/>
  <c r="Q79" i="9"/>
  <c r="O81" i="9"/>
  <c r="Q81" i="9"/>
  <c r="R81" i="9"/>
  <c r="S81" i="9"/>
  <c r="Q82" i="9"/>
  <c r="O84" i="9"/>
  <c r="Q84" i="9"/>
  <c r="R84" i="9"/>
  <c r="S84" i="9"/>
  <c r="Q85" i="9"/>
  <c r="O87" i="9"/>
  <c r="Q87" i="9"/>
  <c r="R87" i="9"/>
  <c r="S87" i="9"/>
  <c r="Q88" i="9"/>
  <c r="O90" i="9"/>
  <c r="Q90" i="9"/>
  <c r="R90" i="9"/>
  <c r="S90" i="9"/>
  <c r="Q91" i="9"/>
  <c r="O93" i="9"/>
  <c r="Q93" i="9"/>
  <c r="R93" i="9"/>
  <c r="S93" i="9"/>
  <c r="Q94" i="9"/>
  <c r="O96" i="9"/>
  <c r="Q96" i="9"/>
  <c r="R96" i="9"/>
  <c r="S96" i="9"/>
  <c r="Q97" i="9"/>
  <c r="Q99" i="9"/>
  <c r="R99" i="9"/>
  <c r="S99" i="9"/>
  <c r="Q100" i="9"/>
  <c r="Q102" i="9"/>
  <c r="R102" i="9"/>
  <c r="S102" i="9"/>
  <c r="Q103" i="9"/>
  <c r="Q105" i="9"/>
  <c r="R105" i="9"/>
  <c r="S105" i="9"/>
  <c r="Q106" i="9"/>
  <c r="Q108" i="9"/>
  <c r="R108" i="9"/>
  <c r="S108" i="9"/>
  <c r="Q109" i="9"/>
  <c r="Q111" i="9"/>
  <c r="R111" i="9"/>
  <c r="S111" i="9"/>
  <c r="Q112" i="9"/>
  <c r="Q114" i="9"/>
  <c r="R114" i="9"/>
  <c r="S114" i="9"/>
  <c r="Q115" i="9"/>
  <c r="Q117" i="9"/>
  <c r="R117" i="9"/>
  <c r="S117" i="9"/>
  <c r="Q118" i="9"/>
  <c r="Q120" i="9"/>
  <c r="R120" i="9"/>
  <c r="S120" i="9"/>
  <c r="Q121" i="9"/>
  <c r="Q123" i="9"/>
  <c r="R123" i="9"/>
  <c r="S123" i="9"/>
  <c r="Q124" i="9"/>
  <c r="Q126" i="9"/>
  <c r="R126" i="9"/>
  <c r="S126" i="9"/>
  <c r="Q127" i="9"/>
  <c r="Q129" i="9"/>
  <c r="R129" i="9"/>
  <c r="S129" i="9"/>
  <c r="Q130" i="9"/>
  <c r="Q132" i="9"/>
  <c r="R132" i="9"/>
  <c r="S132" i="9"/>
  <c r="Q133" i="9"/>
  <c r="Q135" i="9"/>
  <c r="R135" i="9"/>
  <c r="S135" i="9"/>
  <c r="Q136" i="9"/>
  <c r="Q138" i="9"/>
  <c r="R138" i="9"/>
  <c r="S138" i="9"/>
  <c r="Q139" i="9"/>
  <c r="Q141" i="9"/>
  <c r="R141" i="9"/>
  <c r="S141" i="9"/>
  <c r="Q142" i="9"/>
  <c r="Q144" i="9"/>
  <c r="R144" i="9"/>
  <c r="S144" i="9"/>
  <c r="Q145" i="9"/>
  <c r="Q147" i="9"/>
  <c r="R147" i="9"/>
  <c r="S147" i="9"/>
  <c r="Q148" i="9"/>
  <c r="Q150" i="9"/>
  <c r="R150" i="9"/>
  <c r="S150" i="9"/>
  <c r="Q151" i="9"/>
  <c r="Q153" i="9"/>
  <c r="R153" i="9"/>
  <c r="S153" i="9"/>
  <c r="Q154" i="9"/>
  <c r="Q156" i="9"/>
  <c r="R156" i="9"/>
  <c r="S156" i="9"/>
  <c r="Q157" i="9"/>
  <c r="Q159" i="9"/>
  <c r="R159" i="9"/>
  <c r="S159" i="9"/>
  <c r="Q160" i="9"/>
  <c r="Q162" i="9"/>
  <c r="R162" i="9"/>
  <c r="S162" i="9"/>
  <c r="Q163" i="9"/>
  <c r="Q165" i="9"/>
  <c r="R165" i="9"/>
  <c r="S165" i="9"/>
  <c r="Q166" i="9"/>
  <c r="R168" i="9"/>
  <c r="S168" i="9"/>
  <c r="Q171" i="9"/>
  <c r="R171" i="9"/>
  <c r="S171" i="9"/>
  <c r="Q172" i="9"/>
  <c r="Q174" i="9"/>
  <c r="R174" i="9"/>
  <c r="S174" i="9"/>
  <c r="Q175" i="9"/>
  <c r="Q177" i="9"/>
  <c r="R177" i="9"/>
  <c r="S177" i="9"/>
  <c r="Q178" i="9"/>
  <c r="K181" i="9"/>
  <c r="M181" i="9"/>
  <c r="O181" i="9"/>
  <c r="Q181" i="9"/>
  <c r="S181" i="9"/>
  <c r="A4" i="24"/>
  <c r="R6" i="24"/>
  <c r="A12" i="24"/>
  <c r="C13" i="24"/>
  <c r="E13" i="24"/>
  <c r="G13" i="24"/>
  <c r="I13" i="24"/>
  <c r="K13" i="24"/>
  <c r="R13" i="24"/>
  <c r="C14" i="24"/>
  <c r="E14" i="24"/>
  <c r="G14" i="24"/>
  <c r="I14" i="24"/>
  <c r="K14" i="24"/>
  <c r="R14" i="24"/>
  <c r="C15" i="24"/>
  <c r="E15" i="24"/>
  <c r="I15" i="24"/>
  <c r="K15" i="24"/>
  <c r="C16" i="24"/>
  <c r="E16" i="24"/>
  <c r="I16" i="24"/>
  <c r="K16" i="24"/>
  <c r="C17" i="24"/>
  <c r="E17" i="24"/>
  <c r="I17" i="24"/>
  <c r="K17" i="24"/>
  <c r="C18" i="24"/>
  <c r="E18" i="24"/>
  <c r="G18" i="24"/>
  <c r="I18" i="24"/>
  <c r="K18" i="24"/>
  <c r="R18" i="24"/>
  <c r="C20" i="24"/>
  <c r="E20" i="24"/>
  <c r="G20" i="24"/>
  <c r="I20" i="24"/>
  <c r="K20" i="24"/>
  <c r="R20" i="24"/>
  <c r="C21" i="24"/>
  <c r="E21" i="24"/>
  <c r="G21" i="24"/>
  <c r="I21" i="24"/>
  <c r="K21" i="24"/>
  <c r="R21" i="24"/>
  <c r="C22" i="24"/>
  <c r="E22" i="24"/>
  <c r="G22" i="24"/>
  <c r="I22" i="24"/>
  <c r="K22" i="24"/>
  <c r="R22" i="24"/>
  <c r="C25" i="24"/>
  <c r="E25" i="24"/>
  <c r="G25" i="24"/>
  <c r="I25" i="24"/>
  <c r="K25" i="24"/>
  <c r="R25" i="24"/>
  <c r="C26" i="24"/>
  <c r="E26" i="24"/>
  <c r="G26" i="24"/>
  <c r="I26" i="24"/>
  <c r="K26" i="24"/>
  <c r="R26" i="24"/>
  <c r="C27" i="24"/>
  <c r="E27" i="24"/>
  <c r="G27" i="24"/>
  <c r="I27" i="24"/>
  <c r="K27" i="24"/>
  <c r="R27" i="24"/>
  <c r="C29" i="24"/>
  <c r="E29" i="24"/>
  <c r="G29" i="24"/>
  <c r="I29" i="24"/>
  <c r="K29" i="24"/>
  <c r="R29" i="24"/>
  <c r="C34" i="24"/>
  <c r="E34" i="24"/>
  <c r="G34" i="24"/>
  <c r="I34" i="24"/>
  <c r="K34" i="24"/>
  <c r="R34" i="24"/>
  <c r="C35" i="24"/>
  <c r="E35" i="24"/>
  <c r="G35" i="24"/>
  <c r="I35" i="24"/>
  <c r="K35" i="24"/>
  <c r="R35" i="24"/>
  <c r="C36" i="24"/>
  <c r="E36" i="24"/>
  <c r="G36" i="24"/>
  <c r="I36" i="24"/>
  <c r="K36" i="24"/>
  <c r="R36" i="24"/>
  <c r="C37" i="24"/>
  <c r="E37" i="24"/>
  <c r="G37" i="24"/>
  <c r="I37" i="24"/>
  <c r="K37" i="24"/>
  <c r="R37" i="24"/>
  <c r="A39" i="24"/>
  <c r="C40" i="24"/>
  <c r="E40" i="24"/>
  <c r="G40" i="24"/>
  <c r="I40" i="24"/>
  <c r="K40" i="24"/>
  <c r="Q40" i="24"/>
  <c r="R40" i="24"/>
  <c r="V41" i="24"/>
  <c r="C42" i="24"/>
  <c r="E42" i="24"/>
  <c r="G42" i="24"/>
  <c r="I42" i="24"/>
  <c r="K42" i="24"/>
  <c r="V42" i="24"/>
  <c r="C43" i="24"/>
  <c r="E43" i="24"/>
  <c r="G43" i="24"/>
  <c r="I43" i="24"/>
  <c r="K43" i="24"/>
  <c r="R43" i="24"/>
  <c r="V43" i="24"/>
  <c r="C44" i="24"/>
  <c r="E44" i="24"/>
  <c r="G44" i="24"/>
  <c r="I44" i="24"/>
  <c r="K44" i="24"/>
  <c r="R44" i="24"/>
  <c r="C45" i="24"/>
  <c r="E45" i="24"/>
  <c r="G45" i="24"/>
  <c r="I45" i="24"/>
  <c r="K45" i="24"/>
  <c r="R45" i="24"/>
  <c r="C46" i="24"/>
  <c r="E46" i="24"/>
  <c r="G46" i="24"/>
  <c r="I46" i="24"/>
  <c r="K46" i="24"/>
  <c r="C47" i="24"/>
  <c r="E47" i="24"/>
  <c r="G47" i="24"/>
  <c r="I47" i="24"/>
  <c r="K47" i="24"/>
  <c r="R47" i="24"/>
  <c r="C48" i="24"/>
  <c r="E48" i="24"/>
  <c r="G48" i="24"/>
  <c r="I48" i="24"/>
  <c r="K48" i="24"/>
  <c r="R48" i="24"/>
  <c r="C49" i="24"/>
  <c r="E49" i="24"/>
  <c r="G49" i="24"/>
  <c r="I49" i="24"/>
  <c r="K49" i="24"/>
  <c r="R49" i="24"/>
  <c r="C50" i="24"/>
  <c r="E50" i="24"/>
  <c r="G50" i="24"/>
  <c r="I50" i="24"/>
  <c r="K50" i="24"/>
  <c r="R50" i="24"/>
  <c r="C51" i="24"/>
  <c r="E51" i="24"/>
  <c r="G51" i="24"/>
  <c r="I51" i="24"/>
  <c r="K51" i="24"/>
  <c r="R51" i="24"/>
  <c r="C52" i="24"/>
  <c r="E52" i="24"/>
  <c r="G52" i="24"/>
  <c r="I52" i="24"/>
  <c r="K52" i="24"/>
  <c r="R52" i="24"/>
  <c r="C53" i="24"/>
  <c r="E53" i="24"/>
  <c r="G53" i="24"/>
  <c r="I53" i="24"/>
  <c r="K53" i="24"/>
  <c r="R53" i="24"/>
  <c r="U53" i="24"/>
  <c r="C54" i="24"/>
  <c r="E54" i="24"/>
  <c r="G54" i="24"/>
  <c r="I54" i="24"/>
  <c r="K54" i="24"/>
  <c r="R54" i="24"/>
  <c r="C55" i="24"/>
  <c r="E55" i="24"/>
  <c r="G55" i="24"/>
  <c r="I55" i="24"/>
  <c r="K55" i="24"/>
  <c r="R55" i="24"/>
  <c r="I56" i="24"/>
  <c r="A60" i="24"/>
  <c r="C61" i="24"/>
  <c r="E61" i="24"/>
  <c r="G61" i="24"/>
  <c r="I61" i="24"/>
  <c r="K61" i="24"/>
  <c r="R61" i="24"/>
  <c r="C62" i="24"/>
  <c r="E62" i="24"/>
  <c r="G62" i="24"/>
  <c r="I62" i="24"/>
  <c r="K62" i="24"/>
  <c r="R62" i="24"/>
  <c r="C63" i="24"/>
  <c r="E63" i="24"/>
  <c r="G63" i="24"/>
  <c r="I63" i="24"/>
  <c r="K63" i="24"/>
  <c r="R63" i="24"/>
  <c r="C65" i="24"/>
  <c r="E65" i="24"/>
  <c r="G65" i="24"/>
  <c r="I65" i="24"/>
  <c r="K65" i="24"/>
  <c r="R65" i="24"/>
  <c r="C66" i="24"/>
  <c r="E66" i="24"/>
  <c r="G66" i="24"/>
  <c r="I66" i="24"/>
  <c r="K66" i="24"/>
  <c r="O66" i="24"/>
  <c r="Q66" i="24"/>
  <c r="R66" i="24"/>
  <c r="U66" i="24"/>
  <c r="C67" i="24"/>
  <c r="E67" i="24"/>
  <c r="G67" i="24"/>
  <c r="I67" i="24"/>
  <c r="K67" i="24"/>
  <c r="R67" i="24"/>
  <c r="Z67" i="24"/>
  <c r="C68" i="24"/>
  <c r="E68" i="24"/>
  <c r="G68" i="24"/>
  <c r="I68" i="24"/>
  <c r="K68" i="24"/>
  <c r="O68" i="24"/>
  <c r="Q68" i="24"/>
  <c r="R68" i="24"/>
  <c r="C71" i="24"/>
  <c r="E71" i="24"/>
  <c r="G71" i="24"/>
  <c r="I71" i="24"/>
  <c r="K71" i="24"/>
  <c r="R71" i="24"/>
  <c r="O72" i="24"/>
  <c r="Q72" i="24"/>
  <c r="A73" i="24"/>
  <c r="C74" i="24"/>
  <c r="E74" i="24"/>
  <c r="G74" i="24"/>
  <c r="I74" i="24"/>
  <c r="K74" i="24"/>
  <c r="R74" i="24"/>
  <c r="C75" i="24"/>
  <c r="E75" i="24"/>
  <c r="G75" i="24"/>
  <c r="I75" i="24"/>
  <c r="K75" i="24"/>
  <c r="R75" i="24"/>
  <c r="C76" i="24"/>
  <c r="E76" i="24"/>
  <c r="G76" i="24"/>
  <c r="I76" i="24"/>
  <c r="K76" i="24"/>
  <c r="R76" i="24"/>
  <c r="C77" i="24"/>
  <c r="E77" i="24"/>
  <c r="G77" i="24"/>
  <c r="I77" i="24"/>
  <c r="K77" i="24"/>
  <c r="R77" i="24"/>
  <c r="I78" i="24"/>
  <c r="I79" i="24"/>
  <c r="I80" i="24"/>
  <c r="C83" i="24"/>
  <c r="E83" i="24"/>
  <c r="G83" i="24"/>
  <c r="I83" i="24"/>
  <c r="K83" i="24"/>
  <c r="R83" i="24"/>
  <c r="C85" i="24"/>
  <c r="E85" i="24"/>
  <c r="G85" i="24"/>
  <c r="I85" i="24"/>
  <c r="K85" i="24"/>
  <c r="C86" i="24"/>
  <c r="E86" i="24"/>
  <c r="G86" i="24"/>
  <c r="I86" i="24"/>
  <c r="K86" i="24"/>
  <c r="R86" i="24"/>
  <c r="C87" i="24"/>
  <c r="E87" i="24"/>
  <c r="G87" i="24"/>
  <c r="I87" i="24"/>
  <c r="K87" i="24"/>
  <c r="R87" i="24"/>
  <c r="C88" i="24"/>
  <c r="E88" i="24"/>
  <c r="G88" i="24"/>
  <c r="I88" i="24"/>
  <c r="K88" i="24"/>
  <c r="R88" i="24"/>
  <c r="C89" i="24"/>
  <c r="E89" i="24"/>
  <c r="G89" i="24"/>
  <c r="I89" i="24"/>
  <c r="K89" i="24"/>
  <c r="C90" i="24"/>
  <c r="E90" i="24"/>
  <c r="G90" i="24"/>
  <c r="I90" i="24"/>
  <c r="K90" i="24"/>
  <c r="R90" i="24"/>
  <c r="C91" i="24"/>
  <c r="E91" i="24"/>
  <c r="G91" i="24"/>
  <c r="I91" i="24"/>
  <c r="K91" i="24"/>
  <c r="R91" i="24"/>
  <c r="C92" i="24"/>
  <c r="E92" i="24"/>
  <c r="G92" i="24"/>
  <c r="I92" i="24"/>
  <c r="K92" i="24"/>
  <c r="R92" i="24"/>
  <c r="C93" i="24"/>
  <c r="E93" i="24"/>
  <c r="G93" i="24"/>
  <c r="I93" i="24"/>
  <c r="K93" i="24"/>
  <c r="R93" i="24"/>
  <c r="C94" i="24"/>
  <c r="E94" i="24"/>
  <c r="G94" i="24"/>
  <c r="I94" i="24"/>
  <c r="K94" i="24"/>
  <c r="R94" i="24"/>
  <c r="C95" i="24"/>
  <c r="E95" i="24"/>
  <c r="G95" i="24"/>
  <c r="I95" i="24"/>
  <c r="K95" i="24"/>
  <c r="R95" i="24"/>
  <c r="C96" i="24"/>
  <c r="E96" i="24"/>
  <c r="G96" i="24"/>
  <c r="I96" i="24"/>
  <c r="K96" i="24"/>
  <c r="R96" i="24"/>
  <c r="C97" i="24"/>
  <c r="E97" i="24"/>
  <c r="G97" i="24"/>
  <c r="I97" i="24"/>
  <c r="K97" i="24"/>
  <c r="R97" i="24"/>
  <c r="C98" i="24"/>
  <c r="E98" i="24"/>
  <c r="G98" i="24"/>
  <c r="I98" i="24"/>
  <c r="K98" i="24"/>
  <c r="N98" i="24"/>
  <c r="O98" i="24"/>
  <c r="Q98" i="24"/>
  <c r="R98" i="24"/>
  <c r="I99" i="24"/>
  <c r="I100" i="24"/>
  <c r="I101" i="24"/>
  <c r="C103" i="24"/>
  <c r="E103" i="24"/>
  <c r="G103" i="24"/>
  <c r="I103" i="24"/>
  <c r="K103" i="24"/>
  <c r="C105" i="24"/>
  <c r="E105" i="24"/>
  <c r="G105" i="24"/>
  <c r="I105" i="24"/>
  <c r="K105" i="24"/>
  <c r="C107" i="24"/>
  <c r="E107" i="24"/>
  <c r="G107" i="24"/>
  <c r="I107" i="24"/>
  <c r="K107" i="24"/>
  <c r="C108" i="24"/>
  <c r="E108" i="24"/>
  <c r="G108" i="24"/>
  <c r="I108" i="24"/>
  <c r="K108" i="24"/>
  <c r="C109" i="24"/>
  <c r="E109" i="24"/>
  <c r="G109" i="24"/>
  <c r="I109" i="24"/>
  <c r="K109" i="24"/>
  <c r="C110" i="24"/>
  <c r="E110" i="24"/>
  <c r="G110" i="24"/>
  <c r="I110" i="24"/>
  <c r="K110" i="24"/>
  <c r="C111" i="24"/>
  <c r="E111" i="24"/>
  <c r="G111" i="24"/>
  <c r="I111" i="24"/>
  <c r="K111" i="24"/>
  <c r="C112" i="24"/>
  <c r="E112" i="24"/>
  <c r="G112" i="24"/>
  <c r="I112" i="24"/>
  <c r="K112" i="24"/>
  <c r="C113" i="24"/>
  <c r="E113" i="24"/>
  <c r="G113" i="24"/>
  <c r="I113" i="24"/>
  <c r="K113" i="24"/>
  <c r="C114" i="24"/>
  <c r="E114" i="24"/>
  <c r="G114" i="24"/>
  <c r="I114" i="24"/>
  <c r="K114" i="24"/>
  <c r="C115" i="24"/>
  <c r="E115" i="24"/>
  <c r="G115" i="24"/>
  <c r="I115" i="24"/>
  <c r="K115" i="24"/>
  <c r="C116" i="24"/>
  <c r="E116" i="24"/>
  <c r="G116" i="24"/>
  <c r="I116" i="24"/>
  <c r="K116" i="24"/>
  <c r="C117" i="24"/>
  <c r="E117" i="24"/>
  <c r="G117" i="24"/>
  <c r="I117" i="24"/>
  <c r="K117" i="24"/>
  <c r="C118" i="24"/>
  <c r="E118" i="24"/>
  <c r="G118" i="24"/>
  <c r="I118" i="24"/>
  <c r="K118" i="24"/>
  <c r="C119" i="24"/>
  <c r="E119" i="24"/>
  <c r="G119" i="24"/>
  <c r="I119" i="24"/>
  <c r="K119" i="24"/>
  <c r="B1" i="2"/>
  <c r="B4" i="2"/>
  <c r="B5" i="2"/>
  <c r="R9" i="2"/>
  <c r="S9" i="2"/>
  <c r="T9" i="2"/>
  <c r="R10" i="2"/>
  <c r="S10" i="2"/>
  <c r="T10" i="2"/>
  <c r="R11" i="2"/>
  <c r="S11" i="2"/>
  <c r="T11" i="2"/>
  <c r="R12" i="2"/>
  <c r="S12" i="2"/>
  <c r="T12" i="2"/>
  <c r="E14" i="2"/>
  <c r="L14" i="2"/>
  <c r="M14" i="2"/>
  <c r="N14" i="2"/>
  <c r="O14" i="2"/>
  <c r="P14" i="2"/>
  <c r="Q14" i="2"/>
  <c r="R14" i="2"/>
  <c r="S14" i="2"/>
  <c r="T14" i="2"/>
  <c r="E15" i="2"/>
  <c r="R15" i="2"/>
  <c r="S15" i="2"/>
  <c r="E16" i="2"/>
  <c r="R16" i="2"/>
  <c r="Y16" i="2"/>
  <c r="L17" i="2"/>
  <c r="M17" i="2"/>
  <c r="N17" i="2"/>
  <c r="O17" i="2"/>
  <c r="P17" i="2"/>
  <c r="Q17" i="2"/>
  <c r="R17" i="2"/>
  <c r="Y17" i="2"/>
  <c r="W18" i="2"/>
  <c r="X18" i="2"/>
  <c r="Y18" i="2"/>
  <c r="E19" i="2"/>
  <c r="R19" i="2"/>
  <c r="S19" i="2"/>
  <c r="T19" i="2"/>
  <c r="R20" i="2"/>
  <c r="S20" i="2"/>
  <c r="T20" i="2"/>
  <c r="Z20" i="2"/>
  <c r="R21" i="2"/>
  <c r="S21" i="2"/>
  <c r="T21" i="2"/>
  <c r="R22" i="2"/>
  <c r="S22" i="2"/>
  <c r="T22" i="2"/>
  <c r="E23" i="2"/>
  <c r="E24" i="2"/>
  <c r="L24" i="2"/>
  <c r="M24" i="2"/>
  <c r="N24" i="2"/>
  <c r="O24" i="2"/>
  <c r="P24" i="2"/>
  <c r="Q24" i="2"/>
  <c r="R24" i="2"/>
  <c r="S24" i="2"/>
  <c r="T24" i="2"/>
  <c r="E25" i="2"/>
  <c r="E26" i="2"/>
  <c r="E30" i="2"/>
  <c r="E31" i="2"/>
  <c r="N31" i="2"/>
  <c r="E32" i="2"/>
  <c r="E33" i="2"/>
  <c r="E34" i="2"/>
  <c r="M34" i="2"/>
  <c r="N34" i="2"/>
  <c r="E35" i="2"/>
  <c r="E36" i="2"/>
  <c r="M36" i="2"/>
  <c r="N36" i="2"/>
  <c r="E38" i="2"/>
  <c r="M38" i="2"/>
  <c r="N38" i="2"/>
  <c r="C43" i="2"/>
  <c r="D43"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B44" i="2"/>
  <c r="C44" i="2"/>
  <c r="D44"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C45" i="2"/>
  <c r="D45"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B47" i="2"/>
  <c r="B48" i="2"/>
  <c r="B49" i="2"/>
  <c r="B50" i="2"/>
  <c r="B51" i="2"/>
  <c r="B52" i="2"/>
  <c r="B53" i="2"/>
  <c r="B54" i="2"/>
  <c r="B55" i="2"/>
  <c r="B56" i="2"/>
  <c r="B57" i="2"/>
  <c r="B58" i="2"/>
  <c r="B59" i="2"/>
  <c r="B60" i="2"/>
  <c r="B61" i="2"/>
  <c r="B62" i="2"/>
  <c r="B63" i="2"/>
  <c r="B64" i="2"/>
  <c r="B65" i="2"/>
  <c r="B66" i="2"/>
  <c r="B67" i="2"/>
  <c r="B68" i="2"/>
  <c r="B69" i="2"/>
  <c r="B70" i="2"/>
  <c r="B76" i="2"/>
  <c r="C78" i="2"/>
  <c r="C82" i="2"/>
  <c r="D82"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B83" i="2"/>
  <c r="C83" i="2"/>
  <c r="D83"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C84" i="2"/>
  <c r="D84" i="2"/>
  <c r="E84" i="2"/>
  <c r="F84" i="2"/>
  <c r="G84" i="2"/>
  <c r="H84" i="2"/>
  <c r="I84" i="2"/>
  <c r="J84" i="2"/>
  <c r="K84" i="2"/>
  <c r="L84" i="2"/>
  <c r="M84" i="2"/>
  <c r="N84" i="2"/>
  <c r="O84" i="2"/>
  <c r="P84" i="2"/>
  <c r="Q84" i="2"/>
  <c r="R84" i="2"/>
  <c r="S84" i="2"/>
  <c r="T84" i="2"/>
  <c r="U84" i="2"/>
  <c r="V84" i="2"/>
  <c r="W84" i="2"/>
  <c r="X84" i="2"/>
  <c r="Y84" i="2"/>
  <c r="Z84" i="2"/>
  <c r="AA84" i="2"/>
  <c r="AB84" i="2"/>
  <c r="AC84" i="2"/>
  <c r="AD84" i="2"/>
  <c r="AE84" i="2"/>
  <c r="AF84" i="2"/>
  <c r="AG84" i="2"/>
  <c r="B86" i="2"/>
  <c r="B87" i="2"/>
  <c r="B88" i="2"/>
  <c r="B89" i="2"/>
  <c r="B90" i="2"/>
  <c r="B91" i="2"/>
  <c r="B92" i="2"/>
  <c r="B93" i="2"/>
  <c r="B94" i="2"/>
  <c r="B95" i="2"/>
  <c r="B96" i="2"/>
  <c r="B97" i="2"/>
  <c r="B98" i="2"/>
  <c r="B102" i="2"/>
  <c r="C104" i="2"/>
  <c r="D104" i="2"/>
  <c r="E104" i="2"/>
  <c r="F104" i="2"/>
  <c r="G104" i="2"/>
  <c r="H104" i="2"/>
  <c r="I104" i="2"/>
  <c r="J104" i="2"/>
  <c r="K104" i="2"/>
  <c r="L104" i="2"/>
  <c r="M104" i="2"/>
  <c r="N104" i="2"/>
  <c r="O104" i="2"/>
  <c r="P104" i="2"/>
  <c r="Q104" i="2"/>
  <c r="R104" i="2"/>
  <c r="S104" i="2"/>
  <c r="T104" i="2"/>
  <c r="U104" i="2"/>
  <c r="V104" i="2"/>
  <c r="W104" i="2"/>
  <c r="X104" i="2"/>
  <c r="Y104" i="2"/>
  <c r="Z104" i="2"/>
  <c r="AA104" i="2"/>
  <c r="AB104" i="2"/>
  <c r="AC104" i="2"/>
  <c r="AD104" i="2"/>
  <c r="AE104" i="2"/>
  <c r="AF104" i="2"/>
  <c r="AG104" i="2"/>
  <c r="B105" i="2"/>
  <c r="C105" i="2"/>
  <c r="D105" i="2"/>
  <c r="E105" i="2"/>
  <c r="F105" i="2"/>
  <c r="G105" i="2"/>
  <c r="H105" i="2"/>
  <c r="I105" i="2"/>
  <c r="J105" i="2"/>
  <c r="K105" i="2"/>
  <c r="L105" i="2"/>
  <c r="M105" i="2"/>
  <c r="N105" i="2"/>
  <c r="O105" i="2"/>
  <c r="P105" i="2"/>
  <c r="Q105" i="2"/>
  <c r="R105" i="2"/>
  <c r="S105" i="2"/>
  <c r="T105" i="2"/>
  <c r="U105" i="2"/>
  <c r="V105" i="2"/>
  <c r="W105" i="2"/>
  <c r="X105" i="2"/>
  <c r="Y105" i="2"/>
  <c r="Z105" i="2"/>
  <c r="AA105" i="2"/>
  <c r="AB105" i="2"/>
  <c r="AC105" i="2"/>
  <c r="AD105" i="2"/>
  <c r="AE105" i="2"/>
  <c r="AF105" i="2"/>
  <c r="AG105" i="2"/>
  <c r="C106" i="2"/>
  <c r="D106" i="2"/>
  <c r="E106" i="2"/>
  <c r="F106" i="2"/>
  <c r="G106" i="2"/>
  <c r="H106" i="2"/>
  <c r="I106" i="2"/>
  <c r="J106" i="2"/>
  <c r="K106" i="2"/>
  <c r="L106" i="2"/>
  <c r="M106" i="2"/>
  <c r="N106" i="2"/>
  <c r="O106" i="2"/>
  <c r="P106" i="2"/>
  <c r="Q106" i="2"/>
  <c r="R106" i="2"/>
  <c r="S106" i="2"/>
  <c r="T106" i="2"/>
  <c r="U106" i="2"/>
  <c r="V106" i="2"/>
  <c r="W106" i="2"/>
  <c r="X106" i="2"/>
  <c r="Y106" i="2"/>
  <c r="Z106" i="2"/>
  <c r="AA106" i="2"/>
  <c r="AB106" i="2"/>
  <c r="AC106" i="2"/>
  <c r="AD106" i="2"/>
  <c r="AE106" i="2"/>
  <c r="AF106" i="2"/>
  <c r="AG106" i="2"/>
  <c r="B108" i="2"/>
  <c r="B109" i="2"/>
  <c r="B110" i="2"/>
  <c r="B111" i="2"/>
  <c r="B112" i="2"/>
  <c r="B113" i="2"/>
  <c r="B118" i="2"/>
  <c r="E129" i="2"/>
  <c r="E130" i="2"/>
  <c r="E131" i="2"/>
  <c r="E159" i="2"/>
  <c r="L159" i="2"/>
  <c r="E185" i="2"/>
  <c r="M214" i="2"/>
  <c r="F238" i="2"/>
  <c r="B1" i="3"/>
  <c r="B4" i="3"/>
  <c r="B5" i="3"/>
  <c r="B6" i="3"/>
  <c r="R9" i="3"/>
  <c r="S9" i="3"/>
  <c r="T9" i="3"/>
  <c r="R10" i="3"/>
  <c r="S10" i="3"/>
  <c r="T10" i="3"/>
  <c r="R11" i="3"/>
  <c r="S11" i="3"/>
  <c r="T11" i="3"/>
  <c r="R12" i="3"/>
  <c r="S12" i="3"/>
  <c r="T12" i="3"/>
  <c r="E14" i="3"/>
  <c r="L14" i="3"/>
  <c r="M14" i="3"/>
  <c r="N14" i="3"/>
  <c r="O14" i="3"/>
  <c r="P14" i="3"/>
  <c r="Q14" i="3"/>
  <c r="R14" i="3"/>
  <c r="S14" i="3"/>
  <c r="T14" i="3"/>
  <c r="D15" i="3"/>
  <c r="E15" i="3"/>
  <c r="R15" i="3"/>
  <c r="S15" i="3"/>
  <c r="D16" i="3"/>
  <c r="E16" i="3"/>
  <c r="R16" i="3"/>
  <c r="Y16" i="3"/>
  <c r="L17" i="3"/>
  <c r="M17" i="3"/>
  <c r="N17" i="3"/>
  <c r="O17" i="3"/>
  <c r="P17" i="3"/>
  <c r="Q17" i="3"/>
  <c r="R17" i="3"/>
  <c r="Y17" i="3"/>
  <c r="W18" i="3"/>
  <c r="X18" i="3"/>
  <c r="Y18" i="3"/>
  <c r="E19" i="3"/>
  <c r="R19" i="3"/>
  <c r="S19" i="3"/>
  <c r="T19" i="3"/>
  <c r="R20" i="3"/>
  <c r="S20" i="3"/>
  <c r="T20" i="3"/>
  <c r="Z20" i="3"/>
  <c r="R21" i="3"/>
  <c r="S21" i="3"/>
  <c r="T21" i="3"/>
  <c r="R22" i="3"/>
  <c r="S22" i="3"/>
  <c r="T22" i="3"/>
  <c r="E23" i="3"/>
  <c r="E24" i="3"/>
  <c r="L24" i="3"/>
  <c r="M24" i="3"/>
  <c r="N24" i="3"/>
  <c r="O24" i="3"/>
  <c r="P24" i="3"/>
  <c r="Q24" i="3"/>
  <c r="R24" i="3"/>
  <c r="S24" i="3"/>
  <c r="T24" i="3"/>
  <c r="E25" i="3"/>
  <c r="E26" i="3"/>
  <c r="E30" i="3"/>
  <c r="E31" i="3"/>
  <c r="N31" i="3"/>
  <c r="E32" i="3"/>
  <c r="E33" i="3"/>
  <c r="E34" i="3"/>
  <c r="M34" i="3"/>
  <c r="N34" i="3"/>
  <c r="E35" i="3"/>
  <c r="E36" i="3"/>
  <c r="M36" i="3"/>
  <c r="N36" i="3"/>
  <c r="E38" i="3"/>
  <c r="M38" i="3"/>
  <c r="N38" i="3"/>
  <c r="C43" i="3"/>
  <c r="D43" i="3"/>
  <c r="E43" i="3"/>
  <c r="F43" i="3"/>
  <c r="G43" i="3"/>
  <c r="H43" i="3"/>
  <c r="I43" i="3"/>
  <c r="J43" i="3"/>
  <c r="K43" i="3"/>
  <c r="L43" i="3"/>
  <c r="M43" i="3"/>
  <c r="N43" i="3"/>
  <c r="O43" i="3"/>
  <c r="P43" i="3"/>
  <c r="Q43" i="3"/>
  <c r="R43" i="3"/>
  <c r="S43" i="3"/>
  <c r="T43" i="3"/>
  <c r="U43" i="3"/>
  <c r="V43" i="3"/>
  <c r="W43" i="3"/>
  <c r="X43" i="3"/>
  <c r="Y43" i="3"/>
  <c r="Z43" i="3"/>
  <c r="AA43" i="3"/>
  <c r="AB43" i="3"/>
  <c r="AC43" i="3"/>
  <c r="AD43" i="3"/>
  <c r="AE43" i="3"/>
  <c r="AF43" i="3"/>
  <c r="AG43" i="3"/>
  <c r="B44" i="3"/>
  <c r="C44" i="3"/>
  <c r="D44" i="3"/>
  <c r="E44" i="3"/>
  <c r="F44" i="3"/>
  <c r="G44" i="3"/>
  <c r="H44" i="3"/>
  <c r="I44" i="3"/>
  <c r="J44" i="3"/>
  <c r="K44" i="3"/>
  <c r="L44" i="3"/>
  <c r="M44" i="3"/>
  <c r="N44" i="3"/>
  <c r="O44" i="3"/>
  <c r="P44" i="3"/>
  <c r="Q44" i="3"/>
  <c r="R44" i="3"/>
  <c r="S44" i="3"/>
  <c r="T44" i="3"/>
  <c r="U44" i="3"/>
  <c r="V44" i="3"/>
  <c r="W44" i="3"/>
  <c r="X44" i="3"/>
  <c r="Y44" i="3"/>
  <c r="Z44" i="3"/>
  <c r="AA44" i="3"/>
  <c r="AB44" i="3"/>
  <c r="AC44" i="3"/>
  <c r="AD44" i="3"/>
  <c r="AE44" i="3"/>
  <c r="AF44" i="3"/>
  <c r="AG44" i="3"/>
  <c r="C45" i="3"/>
  <c r="D45" i="3"/>
  <c r="E45" i="3"/>
  <c r="F45" i="3"/>
  <c r="G45" i="3"/>
  <c r="H45" i="3"/>
  <c r="I45" i="3"/>
  <c r="J45" i="3"/>
  <c r="K45" i="3"/>
  <c r="L45" i="3"/>
  <c r="M45" i="3"/>
  <c r="N45" i="3"/>
  <c r="O45" i="3"/>
  <c r="P45" i="3"/>
  <c r="Q45" i="3"/>
  <c r="R45" i="3"/>
  <c r="S45" i="3"/>
  <c r="T45" i="3"/>
  <c r="U45" i="3"/>
  <c r="V45" i="3"/>
  <c r="W45" i="3"/>
  <c r="X45" i="3"/>
  <c r="Y45" i="3"/>
  <c r="Z45" i="3"/>
  <c r="AA45" i="3"/>
  <c r="AB45" i="3"/>
  <c r="AC45" i="3"/>
  <c r="AD45" i="3"/>
  <c r="AE45" i="3"/>
  <c r="AF45" i="3"/>
  <c r="AG45" i="3"/>
  <c r="B47" i="3"/>
  <c r="C47" i="3"/>
  <c r="D47" i="3"/>
  <c r="E47" i="3"/>
  <c r="H47" i="3"/>
  <c r="B48" i="3"/>
  <c r="P48" i="3"/>
  <c r="B49" i="3"/>
  <c r="B50" i="3"/>
  <c r="B51" i="3"/>
  <c r="B52" i="3"/>
  <c r="B53" i="3"/>
  <c r="C53" i="3"/>
  <c r="D53" i="3"/>
  <c r="E53" i="3"/>
  <c r="I53" i="3"/>
  <c r="J53" i="3"/>
  <c r="K53" i="3"/>
  <c r="L53" i="3"/>
  <c r="P53" i="3"/>
  <c r="Q53" i="3"/>
  <c r="R53" i="3"/>
  <c r="S53" i="3"/>
  <c r="B54" i="3"/>
  <c r="B55" i="3"/>
  <c r="S55" i="3"/>
  <c r="B56" i="3"/>
  <c r="B57" i="3"/>
  <c r="B58" i="3"/>
  <c r="B59" i="3"/>
  <c r="B60" i="3"/>
  <c r="I60" i="3"/>
  <c r="J60" i="3"/>
  <c r="K60" i="3"/>
  <c r="L60" i="3"/>
  <c r="R60" i="3"/>
  <c r="B61" i="3"/>
  <c r="B62" i="3"/>
  <c r="C62" i="3"/>
  <c r="D62" i="3"/>
  <c r="E62" i="3"/>
  <c r="H62" i="3"/>
  <c r="I62" i="3"/>
  <c r="J62" i="3"/>
  <c r="K62" i="3"/>
  <c r="L62" i="3"/>
  <c r="O62" i="3"/>
  <c r="P62" i="3"/>
  <c r="Q62" i="3"/>
  <c r="R62" i="3"/>
  <c r="S62" i="3"/>
  <c r="B63" i="3"/>
  <c r="B64" i="3"/>
  <c r="B65" i="3"/>
  <c r="B66" i="3"/>
  <c r="B67" i="3"/>
  <c r="B68" i="3"/>
  <c r="B69" i="3"/>
  <c r="B70" i="3"/>
  <c r="B76" i="3"/>
  <c r="C78" i="3"/>
  <c r="C82" i="3"/>
  <c r="D82" i="3"/>
  <c r="E82" i="3"/>
  <c r="F82" i="3"/>
  <c r="G82" i="3"/>
  <c r="H82" i="3"/>
  <c r="I82" i="3"/>
  <c r="J82" i="3"/>
  <c r="K82" i="3"/>
  <c r="L82" i="3"/>
  <c r="M82" i="3"/>
  <c r="N82" i="3"/>
  <c r="O82" i="3"/>
  <c r="P82" i="3"/>
  <c r="Q82" i="3"/>
  <c r="R82" i="3"/>
  <c r="S82" i="3"/>
  <c r="T82" i="3"/>
  <c r="U82" i="3"/>
  <c r="V82" i="3"/>
  <c r="W82" i="3"/>
  <c r="X82" i="3"/>
  <c r="Y82" i="3"/>
  <c r="Z82" i="3"/>
  <c r="AA82" i="3"/>
  <c r="AB82" i="3"/>
  <c r="AC82" i="3"/>
  <c r="AD82" i="3"/>
  <c r="AE82" i="3"/>
  <c r="AF82" i="3"/>
  <c r="AG82" i="3"/>
  <c r="B83" i="3"/>
  <c r="C83" i="3"/>
  <c r="D83" i="3"/>
  <c r="E83" i="3"/>
  <c r="F83" i="3"/>
  <c r="G83" i="3"/>
  <c r="H83" i="3"/>
  <c r="I83" i="3"/>
  <c r="J83" i="3"/>
  <c r="K83" i="3"/>
  <c r="L83" i="3"/>
  <c r="M83" i="3"/>
  <c r="N83" i="3"/>
  <c r="O83" i="3"/>
  <c r="P83" i="3"/>
  <c r="Q83" i="3"/>
  <c r="R83" i="3"/>
  <c r="S83" i="3"/>
  <c r="T83" i="3"/>
  <c r="U83" i="3"/>
  <c r="V83" i="3"/>
  <c r="W83" i="3"/>
  <c r="X83" i="3"/>
  <c r="Y83" i="3"/>
  <c r="Z83" i="3"/>
  <c r="AA83" i="3"/>
  <c r="AB83" i="3"/>
  <c r="AC83" i="3"/>
  <c r="AD83" i="3"/>
  <c r="AE83" i="3"/>
  <c r="AF83" i="3"/>
  <c r="AG83" i="3"/>
  <c r="C84" i="3"/>
  <c r="D84" i="3"/>
  <c r="E84" i="3"/>
  <c r="F84" i="3"/>
  <c r="G84" i="3"/>
  <c r="H84" i="3"/>
  <c r="I84" i="3"/>
  <c r="J84" i="3"/>
  <c r="K84" i="3"/>
  <c r="L84" i="3"/>
  <c r="M84" i="3"/>
  <c r="N84" i="3"/>
  <c r="O84" i="3"/>
  <c r="P84" i="3"/>
  <c r="Q84" i="3"/>
  <c r="R84" i="3"/>
  <c r="S84" i="3"/>
  <c r="T84" i="3"/>
  <c r="U84" i="3"/>
  <c r="V84" i="3"/>
  <c r="W84" i="3"/>
  <c r="X84" i="3"/>
  <c r="Y84" i="3"/>
  <c r="Z84" i="3"/>
  <c r="AA84" i="3"/>
  <c r="AB84" i="3"/>
  <c r="AC84" i="3"/>
  <c r="AD84" i="3"/>
  <c r="AE84" i="3"/>
  <c r="AF84" i="3"/>
  <c r="AG84" i="3"/>
  <c r="B86" i="3"/>
  <c r="B87" i="3"/>
  <c r="B88" i="3"/>
  <c r="B89" i="3"/>
  <c r="B90" i="3"/>
  <c r="B91" i="3"/>
  <c r="B92" i="3"/>
  <c r="B93" i="3"/>
  <c r="B94" i="3"/>
  <c r="B95" i="3"/>
  <c r="B96" i="3"/>
  <c r="B97" i="3"/>
  <c r="B98" i="3"/>
  <c r="B102" i="3"/>
  <c r="C104" i="3"/>
  <c r="D104" i="3"/>
  <c r="E104" i="3"/>
  <c r="F104" i="3"/>
  <c r="G104" i="3"/>
  <c r="H104" i="3"/>
  <c r="I104" i="3"/>
  <c r="J104" i="3"/>
  <c r="K104" i="3"/>
  <c r="L104" i="3"/>
  <c r="M104" i="3"/>
  <c r="N104" i="3"/>
  <c r="O104" i="3"/>
  <c r="P104" i="3"/>
  <c r="Q104" i="3"/>
  <c r="R104" i="3"/>
  <c r="S104" i="3"/>
  <c r="T104" i="3"/>
  <c r="U104" i="3"/>
  <c r="V104" i="3"/>
  <c r="W104" i="3"/>
  <c r="X104" i="3"/>
  <c r="Y104" i="3"/>
  <c r="Z104" i="3"/>
  <c r="AA104" i="3"/>
  <c r="AB104" i="3"/>
  <c r="AC104" i="3"/>
  <c r="AD104" i="3"/>
  <c r="AE104" i="3"/>
  <c r="AF104" i="3"/>
  <c r="AG104" i="3"/>
  <c r="B105" i="3"/>
  <c r="C105" i="3"/>
  <c r="D105" i="3"/>
  <c r="E105" i="3"/>
  <c r="F105" i="3"/>
  <c r="G105" i="3"/>
  <c r="H105" i="3"/>
  <c r="I105" i="3"/>
  <c r="J105" i="3"/>
  <c r="K105" i="3"/>
  <c r="L105" i="3"/>
  <c r="M105" i="3"/>
  <c r="N105" i="3"/>
  <c r="O105" i="3"/>
  <c r="P105" i="3"/>
  <c r="Q105" i="3"/>
  <c r="R105" i="3"/>
  <c r="S105" i="3"/>
  <c r="T105" i="3"/>
  <c r="U105" i="3"/>
  <c r="V105" i="3"/>
  <c r="W105" i="3"/>
  <c r="X105" i="3"/>
  <c r="Y105" i="3"/>
  <c r="Z105" i="3"/>
  <c r="AA105" i="3"/>
  <c r="AB105" i="3"/>
  <c r="AC105" i="3"/>
  <c r="AD105" i="3"/>
  <c r="AE105" i="3"/>
  <c r="AF105" i="3"/>
  <c r="AG105" i="3"/>
  <c r="C106" i="3"/>
  <c r="D106" i="3"/>
  <c r="E106" i="3"/>
  <c r="F106" i="3"/>
  <c r="G106" i="3"/>
  <c r="H106" i="3"/>
  <c r="I106" i="3"/>
  <c r="J106" i="3"/>
  <c r="K106" i="3"/>
  <c r="L106" i="3"/>
  <c r="M106" i="3"/>
  <c r="N106" i="3"/>
  <c r="O106" i="3"/>
  <c r="P106" i="3"/>
  <c r="Q106" i="3"/>
  <c r="R106" i="3"/>
  <c r="S106" i="3"/>
  <c r="T106" i="3"/>
  <c r="U106" i="3"/>
  <c r="V106" i="3"/>
  <c r="W106" i="3"/>
  <c r="X106" i="3"/>
  <c r="Y106" i="3"/>
  <c r="Z106" i="3"/>
  <c r="AA106" i="3"/>
  <c r="AB106" i="3"/>
  <c r="AC106" i="3"/>
  <c r="AD106" i="3"/>
  <c r="AE106" i="3"/>
  <c r="AF106" i="3"/>
  <c r="AG106" i="3"/>
  <c r="B108" i="3"/>
  <c r="B109" i="3"/>
  <c r="B110" i="3"/>
  <c r="B111" i="3"/>
  <c r="B112" i="3"/>
  <c r="B113" i="3"/>
  <c r="B118" i="3"/>
  <c r="E129" i="3"/>
  <c r="E130" i="3"/>
  <c r="E131" i="3"/>
  <c r="E132" i="3"/>
  <c r="E133" i="3"/>
  <c r="E134" i="3"/>
  <c r="E135" i="3"/>
  <c r="E136" i="3"/>
  <c r="E137" i="3"/>
  <c r="E138" i="3"/>
  <c r="E139" i="3"/>
  <c r="E142" i="3"/>
  <c r="L158" i="3"/>
  <c r="E159" i="3"/>
  <c r="E165" i="3"/>
  <c r="E166" i="3"/>
  <c r="E167" i="3"/>
  <c r="E168" i="3"/>
  <c r="E170" i="3"/>
  <c r="E171" i="3"/>
  <c r="E174" i="3"/>
  <c r="E177" i="3"/>
  <c r="E185" i="3"/>
  <c r="M213" i="3"/>
  <c r="F237" i="3"/>
  <c r="B1" i="22"/>
  <c r="B4" i="22"/>
  <c r="B5" i="22"/>
  <c r="B6" i="22"/>
  <c r="R9" i="22"/>
  <c r="S9" i="22"/>
  <c r="T9" i="22"/>
  <c r="R10" i="22"/>
  <c r="S10" i="22"/>
  <c r="T10" i="22"/>
  <c r="R11" i="22"/>
  <c r="S11" i="22"/>
  <c r="T11" i="22"/>
  <c r="R12" i="22"/>
  <c r="S12" i="22"/>
  <c r="T12" i="22"/>
  <c r="E14" i="22"/>
  <c r="L14" i="22"/>
  <c r="M14" i="22"/>
  <c r="N14" i="22"/>
  <c r="O14" i="22"/>
  <c r="P14" i="22"/>
  <c r="Q14" i="22"/>
  <c r="R14" i="22"/>
  <c r="S14" i="22"/>
  <c r="T14" i="22"/>
  <c r="E15" i="22"/>
  <c r="R15" i="22"/>
  <c r="S15" i="22"/>
  <c r="E16" i="22"/>
  <c r="R16" i="22"/>
  <c r="Y16" i="22"/>
  <c r="L17" i="22"/>
  <c r="M17" i="22"/>
  <c r="N17" i="22"/>
  <c r="O17" i="22"/>
  <c r="P17" i="22"/>
  <c r="Q17" i="22"/>
  <c r="R17" i="22"/>
  <c r="Y17" i="22"/>
  <c r="W18" i="22"/>
  <c r="X18" i="22"/>
  <c r="Y18" i="22"/>
  <c r="E19" i="22"/>
  <c r="R19" i="22"/>
  <c r="S19" i="22"/>
  <c r="T19" i="22"/>
  <c r="R20" i="22"/>
  <c r="S20" i="22"/>
  <c r="T20" i="22"/>
  <c r="Z20" i="22"/>
  <c r="R21" i="22"/>
  <c r="S21" i="22"/>
  <c r="T21" i="22"/>
  <c r="R22" i="22"/>
  <c r="S22" i="22"/>
  <c r="T22" i="22"/>
  <c r="E23" i="22"/>
  <c r="E24" i="22"/>
  <c r="L24" i="22"/>
  <c r="M24" i="22"/>
  <c r="N24" i="22"/>
  <c r="O24" i="22"/>
  <c r="P24" i="22"/>
  <c r="Q24" i="22"/>
  <c r="R24" i="22"/>
  <c r="S24" i="22"/>
  <c r="T24" i="22"/>
  <c r="E25" i="22"/>
  <c r="E26" i="22"/>
  <c r="E30" i="22"/>
  <c r="E31" i="22"/>
  <c r="N31" i="22"/>
  <c r="E32" i="22"/>
  <c r="E33" i="22"/>
  <c r="E34" i="22"/>
  <c r="M34" i="22"/>
  <c r="N34" i="22"/>
  <c r="E35" i="22"/>
  <c r="E36" i="22"/>
  <c r="M36" i="22"/>
  <c r="N36" i="22"/>
  <c r="E38" i="22"/>
  <c r="M38" i="22"/>
  <c r="N38" i="22"/>
  <c r="C43" i="22"/>
  <c r="D43" i="22"/>
  <c r="E43" i="22"/>
  <c r="F43" i="22"/>
  <c r="G43" i="22"/>
  <c r="H43" i="22"/>
  <c r="I43" i="22"/>
  <c r="J43" i="22"/>
  <c r="K43" i="22"/>
  <c r="L43" i="22"/>
  <c r="M43" i="22"/>
  <c r="N43" i="22"/>
  <c r="O43" i="22"/>
  <c r="P43" i="22"/>
  <c r="Q43" i="22"/>
  <c r="R43" i="22"/>
  <c r="S43" i="22"/>
  <c r="T43" i="22"/>
  <c r="U43" i="22"/>
  <c r="V43" i="22"/>
  <c r="W43" i="22"/>
  <c r="X43" i="22"/>
  <c r="Y43" i="22"/>
  <c r="Z43" i="22"/>
  <c r="AA43" i="22"/>
  <c r="AB43" i="22"/>
  <c r="AC43" i="22"/>
  <c r="AD43" i="22"/>
  <c r="AE43" i="22"/>
  <c r="AF43" i="22"/>
  <c r="AG43" i="22"/>
  <c r="B44" i="22"/>
  <c r="C44" i="22"/>
  <c r="D44" i="22"/>
  <c r="E44" i="22"/>
  <c r="F44" i="22"/>
  <c r="G44" i="22"/>
  <c r="H44" i="22"/>
  <c r="I44" i="22"/>
  <c r="J44" i="22"/>
  <c r="K44" i="22"/>
  <c r="L44" i="22"/>
  <c r="M44" i="22"/>
  <c r="N44" i="22"/>
  <c r="O44" i="22"/>
  <c r="P44" i="22"/>
  <c r="Q44" i="22"/>
  <c r="R44" i="22"/>
  <c r="S44" i="22"/>
  <c r="T44" i="22"/>
  <c r="U44" i="22"/>
  <c r="V44" i="22"/>
  <c r="W44" i="22"/>
  <c r="X44" i="22"/>
  <c r="Y44" i="22"/>
  <c r="Z44" i="22"/>
  <c r="AA44" i="22"/>
  <c r="AB44" i="22"/>
  <c r="AC44" i="22"/>
  <c r="AD44" i="22"/>
  <c r="AE44" i="22"/>
  <c r="AF44" i="22"/>
  <c r="AG44" i="22"/>
  <c r="C45" i="22"/>
  <c r="D45" i="22"/>
  <c r="E45" i="22"/>
  <c r="F45" i="22"/>
  <c r="G45" i="22"/>
  <c r="H45" i="22"/>
  <c r="I45" i="22"/>
  <c r="J45" i="22"/>
  <c r="K45" i="22"/>
  <c r="L45" i="22"/>
  <c r="M45" i="22"/>
  <c r="N45" i="22"/>
  <c r="O45" i="22"/>
  <c r="P45" i="22"/>
  <c r="Q45" i="22"/>
  <c r="R45" i="22"/>
  <c r="S45" i="22"/>
  <c r="T45" i="22"/>
  <c r="U45" i="22"/>
  <c r="V45" i="22"/>
  <c r="W45" i="22"/>
  <c r="X45" i="22"/>
  <c r="Y45" i="22"/>
  <c r="Z45" i="22"/>
  <c r="AA45" i="22"/>
  <c r="AB45" i="22"/>
  <c r="AC45" i="22"/>
  <c r="AD45" i="22"/>
  <c r="AE45" i="22"/>
  <c r="AF45" i="22"/>
  <c r="AG45" i="22"/>
  <c r="B47" i="22"/>
  <c r="C47" i="22"/>
  <c r="D47" i="22"/>
  <c r="P47" i="22"/>
  <c r="B48" i="22"/>
  <c r="B49" i="22"/>
  <c r="B50" i="22"/>
  <c r="B51" i="22"/>
  <c r="B52" i="22"/>
  <c r="B53" i="22"/>
  <c r="B54" i="22"/>
  <c r="B55" i="22"/>
  <c r="S55" i="22"/>
  <c r="B56" i="22"/>
  <c r="B57" i="22"/>
  <c r="B58" i="22"/>
  <c r="B59" i="22"/>
  <c r="B60" i="22"/>
  <c r="B61" i="22"/>
  <c r="B62" i="22"/>
  <c r="C62" i="22"/>
  <c r="D62" i="22"/>
  <c r="E62" i="22"/>
  <c r="H62" i="22"/>
  <c r="I62" i="22"/>
  <c r="J62" i="22"/>
  <c r="K62" i="22"/>
  <c r="L62" i="22"/>
  <c r="O62" i="22"/>
  <c r="P62" i="22"/>
  <c r="Q62" i="22"/>
  <c r="R62" i="22"/>
  <c r="S62" i="22"/>
  <c r="B63" i="22"/>
  <c r="B64" i="22"/>
  <c r="B65" i="22"/>
  <c r="B66" i="22"/>
  <c r="B67" i="22"/>
  <c r="B68" i="22"/>
  <c r="B69" i="22"/>
  <c r="B70" i="22"/>
  <c r="B76" i="22"/>
  <c r="C78" i="22"/>
  <c r="C82" i="22"/>
  <c r="D82" i="22"/>
  <c r="E82" i="22"/>
  <c r="F82" i="22"/>
  <c r="G82" i="22"/>
  <c r="H82" i="22"/>
  <c r="I82" i="22"/>
  <c r="J82" i="22"/>
  <c r="K82" i="22"/>
  <c r="L82" i="22"/>
  <c r="M82" i="22"/>
  <c r="N82" i="22"/>
  <c r="O82" i="22"/>
  <c r="P82" i="22"/>
  <c r="Q82" i="22"/>
  <c r="R82" i="22"/>
  <c r="S82" i="22"/>
  <c r="T82" i="22"/>
  <c r="U82" i="22"/>
  <c r="V82" i="22"/>
  <c r="W82" i="22"/>
  <c r="X82" i="22"/>
  <c r="Y82" i="22"/>
  <c r="Z82" i="22"/>
  <c r="AA82" i="22"/>
  <c r="AB82" i="22"/>
  <c r="AC82" i="22"/>
  <c r="AD82" i="22"/>
  <c r="AE82" i="22"/>
  <c r="AF82" i="22"/>
  <c r="AG82" i="22"/>
  <c r="B83" i="22"/>
  <c r="C83" i="22"/>
  <c r="D83" i="22"/>
  <c r="E83" i="22"/>
  <c r="F83" i="22"/>
  <c r="G83" i="22"/>
  <c r="H83" i="22"/>
  <c r="I83" i="22"/>
  <c r="J83" i="22"/>
  <c r="K83" i="22"/>
  <c r="L83" i="22"/>
  <c r="M83" i="22"/>
  <c r="N83" i="22"/>
  <c r="O83" i="22"/>
  <c r="P83" i="22"/>
  <c r="Q83" i="22"/>
  <c r="R83" i="22"/>
  <c r="S83" i="22"/>
  <c r="T83" i="22"/>
  <c r="U83" i="22"/>
  <c r="V83" i="22"/>
  <c r="W83" i="22"/>
  <c r="X83" i="22"/>
  <c r="Y83" i="22"/>
  <c r="Z83" i="22"/>
  <c r="AA83" i="22"/>
  <c r="AB83" i="22"/>
  <c r="AC83" i="22"/>
  <c r="AD83" i="22"/>
  <c r="AE83" i="22"/>
  <c r="AF83" i="22"/>
  <c r="AG83" i="22"/>
  <c r="C84" i="22"/>
  <c r="D84" i="22"/>
  <c r="E84" i="22"/>
  <c r="F84" i="22"/>
  <c r="G84" i="22"/>
  <c r="H84" i="22"/>
  <c r="I84" i="22"/>
  <c r="J84" i="22"/>
  <c r="K84" i="22"/>
  <c r="L84" i="22"/>
  <c r="M84" i="22"/>
  <c r="N84" i="22"/>
  <c r="O84" i="22"/>
  <c r="P84" i="22"/>
  <c r="Q84" i="22"/>
  <c r="R84" i="22"/>
  <c r="S84" i="22"/>
  <c r="T84" i="22"/>
  <c r="U84" i="22"/>
  <c r="V84" i="22"/>
  <c r="W84" i="22"/>
  <c r="X84" i="22"/>
  <c r="Y84" i="22"/>
  <c r="Z84" i="22"/>
  <c r="AA84" i="22"/>
  <c r="AB84" i="22"/>
  <c r="AC84" i="22"/>
  <c r="AD84" i="22"/>
  <c r="AE84" i="22"/>
  <c r="AF84" i="22"/>
  <c r="AG84" i="22"/>
  <c r="B86" i="22"/>
  <c r="B87" i="22"/>
  <c r="B88" i="22"/>
  <c r="B89" i="22"/>
  <c r="B90" i="22"/>
  <c r="B91" i="22"/>
  <c r="B92" i="22"/>
  <c r="B93" i="22"/>
  <c r="B94" i="22"/>
  <c r="B95" i="22"/>
  <c r="B96" i="22"/>
  <c r="B97" i="22"/>
  <c r="B98" i="22"/>
  <c r="B102" i="22"/>
  <c r="C104" i="22"/>
  <c r="D104" i="22"/>
  <c r="E104" i="22"/>
  <c r="F104" i="22"/>
  <c r="G104" i="22"/>
  <c r="H104" i="22"/>
  <c r="I104" i="22"/>
  <c r="J104" i="22"/>
  <c r="K104" i="22"/>
  <c r="L104" i="22"/>
  <c r="M104" i="22"/>
  <c r="N104" i="22"/>
  <c r="O104" i="22"/>
  <c r="P104" i="22"/>
  <c r="Q104" i="22"/>
  <c r="R104" i="22"/>
  <c r="S104" i="22"/>
  <c r="T104" i="22"/>
  <c r="U104" i="22"/>
  <c r="V104" i="22"/>
  <c r="W104" i="22"/>
  <c r="X104" i="22"/>
  <c r="Y104" i="22"/>
  <c r="Z104" i="22"/>
  <c r="AA104" i="22"/>
  <c r="AB104" i="22"/>
  <c r="AC104" i="22"/>
  <c r="AD104" i="22"/>
  <c r="AE104" i="22"/>
  <c r="AF104" i="22"/>
  <c r="AG104" i="22"/>
  <c r="B105" i="22"/>
  <c r="C105" i="22"/>
  <c r="D105" i="22"/>
  <c r="E105" i="22"/>
  <c r="F105" i="22"/>
  <c r="G105" i="22"/>
  <c r="H105" i="22"/>
  <c r="I105" i="22"/>
  <c r="J105" i="22"/>
  <c r="K105" i="22"/>
  <c r="L105" i="22"/>
  <c r="M105" i="22"/>
  <c r="N105" i="22"/>
  <c r="O105" i="22"/>
  <c r="P105" i="22"/>
  <c r="Q105" i="22"/>
  <c r="R105" i="22"/>
  <c r="S105" i="22"/>
  <c r="T105" i="22"/>
  <c r="U105" i="22"/>
  <c r="V105" i="22"/>
  <c r="W105" i="22"/>
  <c r="X105" i="22"/>
  <c r="Y105" i="22"/>
  <c r="Z105" i="22"/>
  <c r="AA105" i="22"/>
  <c r="AB105" i="22"/>
  <c r="AC105" i="22"/>
  <c r="AD105" i="22"/>
  <c r="AE105" i="22"/>
  <c r="AF105" i="22"/>
  <c r="AG105" i="22"/>
  <c r="C106" i="22"/>
  <c r="D106" i="22"/>
  <c r="E106" i="22"/>
  <c r="F106" i="22"/>
  <c r="G106" i="22"/>
  <c r="H106" i="22"/>
  <c r="I106" i="22"/>
  <c r="J106" i="22"/>
  <c r="K106" i="22"/>
  <c r="L106" i="22"/>
  <c r="M106" i="22"/>
  <c r="N106" i="22"/>
  <c r="O106" i="22"/>
  <c r="P106" i="22"/>
  <c r="Q106" i="22"/>
  <c r="R106" i="22"/>
  <c r="S106" i="22"/>
  <c r="T106" i="22"/>
  <c r="U106" i="22"/>
  <c r="V106" i="22"/>
  <c r="W106" i="22"/>
  <c r="X106" i="22"/>
  <c r="Y106" i="22"/>
  <c r="Z106" i="22"/>
  <c r="AA106" i="22"/>
  <c r="AB106" i="22"/>
  <c r="AC106" i="22"/>
  <c r="AD106" i="22"/>
  <c r="AE106" i="22"/>
  <c r="AF106" i="22"/>
  <c r="AG106" i="22"/>
  <c r="B108" i="22"/>
  <c r="B109" i="22"/>
  <c r="B110" i="22"/>
  <c r="B111" i="22"/>
  <c r="B112" i="22"/>
  <c r="B113" i="22"/>
  <c r="B118" i="22"/>
  <c r="L158" i="22"/>
  <c r="E159" i="22"/>
  <c r="E185" i="22"/>
  <c r="M213" i="22"/>
  <c r="F237" i="22"/>
  <c r="B1" i="10"/>
  <c r="B4" i="10"/>
  <c r="B5" i="10"/>
  <c r="B6" i="10"/>
  <c r="R9" i="10"/>
  <c r="S9" i="10"/>
  <c r="T9" i="10"/>
  <c r="R10" i="10"/>
  <c r="S10" i="10"/>
  <c r="T10" i="10"/>
  <c r="R11" i="10"/>
  <c r="S11" i="10"/>
  <c r="T11" i="10"/>
  <c r="R12" i="10"/>
  <c r="S12" i="10"/>
  <c r="T12" i="10"/>
  <c r="E14" i="10"/>
  <c r="L14" i="10"/>
  <c r="M14" i="10"/>
  <c r="N14" i="10"/>
  <c r="O14" i="10"/>
  <c r="P14" i="10"/>
  <c r="Q14" i="10"/>
  <c r="R14" i="10"/>
  <c r="S14" i="10"/>
  <c r="T14" i="10"/>
  <c r="E15" i="10"/>
  <c r="R15" i="10"/>
  <c r="S15" i="10"/>
  <c r="E16" i="10"/>
  <c r="R16" i="10"/>
  <c r="Y16" i="10"/>
  <c r="L17" i="10"/>
  <c r="M17" i="10"/>
  <c r="N17" i="10"/>
  <c r="O17" i="10"/>
  <c r="P17" i="10"/>
  <c r="Q17" i="10"/>
  <c r="R17" i="10"/>
  <c r="Y17" i="10"/>
  <c r="W18" i="10"/>
  <c r="X18" i="10"/>
  <c r="Y18" i="10"/>
  <c r="E19" i="10"/>
  <c r="R19" i="10"/>
  <c r="S19" i="10"/>
  <c r="T19" i="10"/>
  <c r="R20" i="10"/>
  <c r="S20" i="10"/>
  <c r="T20" i="10"/>
  <c r="Z20" i="10"/>
  <c r="R21" i="10"/>
  <c r="S21" i="10"/>
  <c r="T21" i="10"/>
  <c r="R22" i="10"/>
  <c r="S22" i="10"/>
  <c r="T22" i="10"/>
  <c r="E23" i="10"/>
  <c r="E24" i="10"/>
  <c r="L24" i="10"/>
  <c r="M24" i="10"/>
  <c r="N24" i="10"/>
  <c r="O24" i="10"/>
  <c r="P24" i="10"/>
  <c r="Q24" i="10"/>
  <c r="R24" i="10"/>
  <c r="S24" i="10"/>
  <c r="T24" i="10"/>
  <c r="E25" i="10"/>
  <c r="E26" i="10"/>
  <c r="E30" i="10"/>
  <c r="E31" i="10"/>
  <c r="N31" i="10"/>
  <c r="E32" i="10"/>
  <c r="E33" i="10"/>
  <c r="E34" i="10"/>
  <c r="M34" i="10"/>
  <c r="N34" i="10"/>
  <c r="E35" i="10"/>
  <c r="E36" i="10"/>
  <c r="M36" i="10"/>
  <c r="N36" i="10"/>
  <c r="E38" i="10"/>
  <c r="M38" i="10"/>
  <c r="N38" i="10"/>
  <c r="C43" i="10"/>
  <c r="D43" i="10"/>
  <c r="E43" i="10"/>
  <c r="F43" i="10"/>
  <c r="G43" i="10"/>
  <c r="H43" i="10"/>
  <c r="I43" i="10"/>
  <c r="J43" i="10"/>
  <c r="K43" i="10"/>
  <c r="L43" i="10"/>
  <c r="M43" i="10"/>
  <c r="N43" i="10"/>
  <c r="O43" i="10"/>
  <c r="P43" i="10"/>
  <c r="Q43" i="10"/>
  <c r="R43" i="10"/>
  <c r="S43" i="10"/>
  <c r="T43" i="10"/>
  <c r="U43" i="10"/>
  <c r="V43" i="10"/>
  <c r="W43" i="10"/>
  <c r="X43" i="10"/>
  <c r="Y43" i="10"/>
  <c r="Z43" i="10"/>
  <c r="AA43" i="10"/>
  <c r="AB43" i="10"/>
  <c r="AC43" i="10"/>
  <c r="AD43" i="10"/>
  <c r="AE43" i="10"/>
  <c r="AF43" i="10"/>
  <c r="AG43" i="10"/>
  <c r="B44" i="10"/>
  <c r="C44" i="10"/>
  <c r="D44" i="10"/>
  <c r="E44" i="10"/>
  <c r="F44" i="10"/>
  <c r="G44" i="10"/>
  <c r="H44" i="10"/>
  <c r="I44" i="10"/>
  <c r="J44" i="10"/>
  <c r="K44" i="10"/>
  <c r="L44" i="10"/>
  <c r="M44" i="10"/>
  <c r="N44" i="10"/>
  <c r="O44" i="10"/>
  <c r="P44" i="10"/>
  <c r="Q44" i="10"/>
  <c r="R44" i="10"/>
  <c r="S44" i="10"/>
  <c r="T44" i="10"/>
  <c r="U44" i="10"/>
  <c r="V44" i="10"/>
  <c r="W44" i="10"/>
  <c r="X44" i="10"/>
  <c r="Y44" i="10"/>
  <c r="Z44" i="10"/>
  <c r="AA44" i="10"/>
  <c r="AB44" i="10"/>
  <c r="AC44" i="10"/>
  <c r="AD44" i="10"/>
  <c r="AE44" i="10"/>
  <c r="AF44" i="10"/>
  <c r="AG44" i="10"/>
  <c r="C45" i="10"/>
  <c r="D45" i="10"/>
  <c r="E45" i="10"/>
  <c r="F45" i="10"/>
  <c r="G45" i="10"/>
  <c r="H45" i="10"/>
  <c r="I45" i="10"/>
  <c r="J45" i="10"/>
  <c r="K45" i="10"/>
  <c r="L45" i="10"/>
  <c r="M45" i="10"/>
  <c r="N45" i="10"/>
  <c r="O45" i="10"/>
  <c r="P45" i="10"/>
  <c r="Q45" i="10"/>
  <c r="R45" i="10"/>
  <c r="S45" i="10"/>
  <c r="T45" i="10"/>
  <c r="U45" i="10"/>
  <c r="V45" i="10"/>
  <c r="W45" i="10"/>
  <c r="X45" i="10"/>
  <c r="Y45" i="10"/>
  <c r="Z45" i="10"/>
  <c r="AA45" i="10"/>
  <c r="AB45" i="10"/>
  <c r="AC45" i="10"/>
  <c r="AD45" i="10"/>
  <c r="AE45" i="10"/>
  <c r="AF45" i="10"/>
  <c r="AG45" i="10"/>
  <c r="B47" i="10"/>
  <c r="D47" i="10"/>
  <c r="P47" i="10"/>
  <c r="Q47" i="10"/>
  <c r="B48" i="10"/>
  <c r="P48" i="10"/>
  <c r="B49" i="10"/>
  <c r="B50" i="10"/>
  <c r="B51" i="10"/>
  <c r="B52" i="10"/>
  <c r="B53" i="10"/>
  <c r="C53" i="10"/>
  <c r="D53" i="10"/>
  <c r="H53" i="10"/>
  <c r="K53" i="10"/>
  <c r="L53" i="10"/>
  <c r="P53" i="10"/>
  <c r="Q53" i="10"/>
  <c r="B54" i="10"/>
  <c r="B55" i="10"/>
  <c r="B56" i="10"/>
  <c r="B57" i="10"/>
  <c r="B58" i="10"/>
  <c r="B59" i="10"/>
  <c r="B60" i="10"/>
  <c r="B61" i="10"/>
  <c r="C61" i="10"/>
  <c r="B62" i="10"/>
  <c r="C62" i="10"/>
  <c r="D62" i="10"/>
  <c r="E62" i="10"/>
  <c r="H62" i="10"/>
  <c r="I62" i="10"/>
  <c r="J62" i="10"/>
  <c r="K62" i="10"/>
  <c r="L62" i="10"/>
  <c r="O62" i="10"/>
  <c r="P62" i="10"/>
  <c r="Q62" i="10"/>
  <c r="R62" i="10"/>
  <c r="S62" i="10"/>
  <c r="B63" i="10"/>
  <c r="B64" i="10"/>
  <c r="B65" i="10"/>
  <c r="B66" i="10"/>
  <c r="B67" i="10"/>
  <c r="B68" i="10"/>
  <c r="B69" i="10"/>
  <c r="B70" i="10"/>
  <c r="B76" i="10"/>
  <c r="C78" i="10"/>
  <c r="C81" i="10"/>
  <c r="D81" i="10"/>
  <c r="E81" i="10"/>
  <c r="F81" i="10"/>
  <c r="G81" i="10"/>
  <c r="H81" i="10"/>
  <c r="I81" i="10"/>
  <c r="J81" i="10"/>
  <c r="K81" i="10"/>
  <c r="L81" i="10"/>
  <c r="M81" i="10"/>
  <c r="N81" i="10"/>
  <c r="O81" i="10"/>
  <c r="P81" i="10"/>
  <c r="Q81" i="10"/>
  <c r="R81" i="10"/>
  <c r="S81" i="10"/>
  <c r="T81" i="10"/>
  <c r="U81" i="10"/>
  <c r="V81" i="10"/>
  <c r="W81" i="10"/>
  <c r="X81" i="10"/>
  <c r="Y81" i="10"/>
  <c r="Z81" i="10"/>
  <c r="AA81" i="10"/>
  <c r="AB81" i="10"/>
  <c r="AC81" i="10"/>
  <c r="AD81" i="10"/>
  <c r="AE81" i="10"/>
  <c r="AF81" i="10"/>
  <c r="AG81" i="10"/>
  <c r="B82" i="10"/>
  <c r="C82" i="10"/>
  <c r="D82" i="10"/>
  <c r="E82" i="10"/>
  <c r="F82" i="10"/>
  <c r="G82" i="10"/>
  <c r="H82" i="10"/>
  <c r="I82" i="10"/>
  <c r="J82" i="10"/>
  <c r="K82" i="10"/>
  <c r="L82" i="10"/>
  <c r="M82" i="10"/>
  <c r="N82" i="10"/>
  <c r="O82" i="10"/>
  <c r="P82" i="10"/>
  <c r="Q82" i="10"/>
  <c r="R82" i="10"/>
  <c r="S82" i="10"/>
  <c r="T82" i="10"/>
  <c r="U82" i="10"/>
  <c r="V82" i="10"/>
  <c r="W82" i="10"/>
  <c r="X82" i="10"/>
  <c r="Y82" i="10"/>
  <c r="Z82" i="10"/>
  <c r="AA82" i="10"/>
  <c r="AB82" i="10"/>
  <c r="AC82" i="10"/>
  <c r="AD82" i="10"/>
  <c r="AE82" i="10"/>
  <c r="AF82" i="10"/>
  <c r="AG82" i="10"/>
  <c r="C83" i="10"/>
  <c r="D83" i="10"/>
  <c r="E83" i="10"/>
  <c r="F83" i="10"/>
  <c r="G83" i="10"/>
  <c r="H83" i="10"/>
  <c r="I83" i="10"/>
  <c r="J83" i="10"/>
  <c r="K83" i="10"/>
  <c r="L83" i="10"/>
  <c r="M83" i="10"/>
  <c r="N83" i="10"/>
  <c r="O83" i="10"/>
  <c r="P83" i="10"/>
  <c r="Q83" i="10"/>
  <c r="R83" i="10"/>
  <c r="S83" i="10"/>
  <c r="T83" i="10"/>
  <c r="U83" i="10"/>
  <c r="V83" i="10"/>
  <c r="W83" i="10"/>
  <c r="X83" i="10"/>
  <c r="Y83" i="10"/>
  <c r="Z83" i="10"/>
  <c r="AA83" i="10"/>
  <c r="AB83" i="10"/>
  <c r="AC83" i="10"/>
  <c r="AD83" i="10"/>
  <c r="AE83" i="10"/>
  <c r="AF83" i="10"/>
  <c r="AG83" i="10"/>
  <c r="B85" i="10"/>
  <c r="B86" i="10"/>
  <c r="B87" i="10"/>
  <c r="B88" i="10"/>
  <c r="B89" i="10"/>
  <c r="B90" i="10"/>
  <c r="B91" i="10"/>
  <c r="B92" i="10"/>
  <c r="B93" i="10"/>
  <c r="B94" i="10"/>
  <c r="B95" i="10"/>
  <c r="B96" i="10"/>
  <c r="B97" i="10"/>
  <c r="B102" i="10"/>
  <c r="C104" i="10"/>
  <c r="D104" i="10"/>
  <c r="E104" i="10"/>
  <c r="F104" i="10"/>
  <c r="G104" i="10"/>
  <c r="H104" i="10"/>
  <c r="I104" i="10"/>
  <c r="J104" i="10"/>
  <c r="K104" i="10"/>
  <c r="L104" i="10"/>
  <c r="M104" i="10"/>
  <c r="N104" i="10"/>
  <c r="O104" i="10"/>
  <c r="P104" i="10"/>
  <c r="Q104" i="10"/>
  <c r="R104" i="10"/>
  <c r="S104" i="10"/>
  <c r="T104" i="10"/>
  <c r="U104" i="10"/>
  <c r="V104" i="10"/>
  <c r="W104" i="10"/>
  <c r="X104" i="10"/>
  <c r="Y104" i="10"/>
  <c r="Z104" i="10"/>
  <c r="AA104" i="10"/>
  <c r="AB104" i="10"/>
  <c r="AC104" i="10"/>
  <c r="AD104" i="10"/>
  <c r="AE104" i="10"/>
  <c r="AF104" i="10"/>
  <c r="AG104" i="10"/>
  <c r="B105" i="10"/>
  <c r="C105" i="10"/>
  <c r="D105" i="10"/>
  <c r="E105" i="10"/>
  <c r="F105" i="10"/>
  <c r="G105" i="10"/>
  <c r="H105" i="10"/>
  <c r="I105" i="10"/>
  <c r="J105" i="10"/>
  <c r="K105" i="10"/>
  <c r="L105" i="10"/>
  <c r="M105" i="10"/>
  <c r="N105" i="10"/>
  <c r="O105" i="10"/>
  <c r="P105" i="10"/>
  <c r="Q105" i="10"/>
  <c r="R105" i="10"/>
  <c r="S105" i="10"/>
  <c r="T105" i="10"/>
  <c r="U105" i="10"/>
  <c r="V105" i="10"/>
  <c r="W105" i="10"/>
  <c r="X105" i="10"/>
  <c r="Y105" i="10"/>
  <c r="Z105" i="10"/>
  <c r="AA105" i="10"/>
  <c r="AB105" i="10"/>
  <c r="AC105" i="10"/>
  <c r="AD105" i="10"/>
  <c r="AE105" i="10"/>
  <c r="AF105" i="10"/>
  <c r="AG105" i="10"/>
  <c r="C106" i="10"/>
  <c r="D106" i="10"/>
  <c r="E106" i="10"/>
  <c r="F106" i="10"/>
  <c r="G106" i="10"/>
  <c r="H106" i="10"/>
  <c r="I106" i="10"/>
  <c r="J106" i="10"/>
  <c r="K106" i="10"/>
  <c r="L106" i="10"/>
  <c r="M106" i="10"/>
  <c r="N106" i="10"/>
  <c r="O106" i="10"/>
  <c r="P106" i="10"/>
  <c r="Q106" i="10"/>
  <c r="R106" i="10"/>
  <c r="S106" i="10"/>
  <c r="T106" i="10"/>
  <c r="U106" i="10"/>
  <c r="V106" i="10"/>
  <c r="W106" i="10"/>
  <c r="X106" i="10"/>
  <c r="Y106" i="10"/>
  <c r="Z106" i="10"/>
  <c r="AA106" i="10"/>
  <c r="AB106" i="10"/>
  <c r="AC106" i="10"/>
  <c r="AD106" i="10"/>
  <c r="AE106" i="10"/>
  <c r="AF106" i="10"/>
  <c r="AG106" i="10"/>
  <c r="B108" i="10"/>
  <c r="B109" i="10"/>
  <c r="B110" i="10"/>
  <c r="B111" i="10"/>
  <c r="B112" i="10"/>
  <c r="B113" i="10"/>
  <c r="B118" i="10"/>
  <c r="E159" i="10"/>
  <c r="L159" i="10"/>
  <c r="E185" i="10"/>
  <c r="M214" i="10"/>
  <c r="F238" i="10"/>
  <c r="E8" i="7"/>
  <c r="P8" i="7"/>
  <c r="AD8" i="7"/>
  <c r="AE8" i="7"/>
  <c r="AH8" i="7"/>
  <c r="AO8" i="7"/>
  <c r="A9" i="7"/>
  <c r="E9" i="7"/>
  <c r="G9" i="7"/>
  <c r="H9" i="7"/>
  <c r="L9" i="7"/>
  <c r="P9" i="7"/>
  <c r="R9" i="7"/>
  <c r="S9" i="7"/>
  <c r="U9" i="7"/>
  <c r="V9" i="7"/>
  <c r="W9" i="7"/>
  <c r="X9" i="7"/>
  <c r="Y9" i="7"/>
  <c r="Z9" i="7"/>
  <c r="AA9" i="7"/>
  <c r="AB9" i="7"/>
  <c r="AC9" i="7"/>
  <c r="AD9" i="7"/>
  <c r="AE9" i="7"/>
  <c r="AF9" i="7"/>
  <c r="AG9" i="7"/>
  <c r="AH9" i="7"/>
  <c r="AJ9" i="7"/>
  <c r="AL9" i="7"/>
  <c r="AM9" i="7"/>
  <c r="AO9" i="7"/>
  <c r="A10" i="7"/>
  <c r="E10" i="7"/>
  <c r="G10" i="7"/>
  <c r="H10" i="7"/>
  <c r="L10" i="7"/>
  <c r="P10" i="7"/>
  <c r="R10" i="7"/>
  <c r="S10" i="7"/>
  <c r="U10" i="7"/>
  <c r="V10" i="7"/>
  <c r="W10" i="7"/>
  <c r="X10" i="7"/>
  <c r="Y10" i="7"/>
  <c r="Z10" i="7"/>
  <c r="AA10" i="7"/>
  <c r="AB10" i="7"/>
  <c r="AC10" i="7"/>
  <c r="AD10" i="7"/>
  <c r="AE10" i="7"/>
  <c r="AF10" i="7"/>
  <c r="AG10" i="7"/>
  <c r="AH10" i="7"/>
  <c r="AJ10" i="7"/>
  <c r="AL10" i="7"/>
  <c r="AO10" i="7"/>
  <c r="A11" i="7"/>
  <c r="E11" i="7"/>
  <c r="G11" i="7"/>
  <c r="H11" i="7"/>
  <c r="L11" i="7"/>
  <c r="P11" i="7"/>
  <c r="R11" i="7"/>
  <c r="S11" i="7"/>
  <c r="U11" i="7"/>
  <c r="V11" i="7"/>
  <c r="W11" i="7"/>
  <c r="X11" i="7"/>
  <c r="Y11" i="7"/>
  <c r="Z11" i="7"/>
  <c r="AA11" i="7"/>
  <c r="AB11" i="7"/>
  <c r="AC11" i="7"/>
  <c r="AD11" i="7"/>
  <c r="AE11" i="7"/>
  <c r="AF11" i="7"/>
  <c r="AG11" i="7"/>
  <c r="AH11" i="7"/>
  <c r="AJ11" i="7"/>
  <c r="AL11" i="7"/>
  <c r="AO11" i="7"/>
  <c r="A12" i="7"/>
  <c r="E12" i="7"/>
  <c r="G12" i="7"/>
  <c r="H12" i="7"/>
  <c r="L12" i="7"/>
  <c r="P12" i="7"/>
  <c r="R12" i="7"/>
  <c r="S12" i="7"/>
  <c r="U12" i="7"/>
  <c r="V12" i="7"/>
  <c r="W12" i="7"/>
  <c r="X12" i="7"/>
  <c r="Y12" i="7"/>
  <c r="Z12" i="7"/>
  <c r="AA12" i="7"/>
  <c r="AB12" i="7"/>
  <c r="AC12" i="7"/>
  <c r="AD12" i="7"/>
  <c r="AE12" i="7"/>
  <c r="AF12" i="7"/>
  <c r="AG12" i="7"/>
  <c r="AH12" i="7"/>
  <c r="AJ12" i="7"/>
  <c r="AL12" i="7"/>
  <c r="AO12" i="7"/>
  <c r="A13" i="7"/>
  <c r="E13" i="7"/>
  <c r="G13" i="7"/>
  <c r="H13" i="7"/>
  <c r="L13" i="7"/>
  <c r="P13" i="7"/>
  <c r="R13" i="7"/>
  <c r="S13" i="7"/>
  <c r="U13" i="7"/>
  <c r="V13" i="7"/>
  <c r="W13" i="7"/>
  <c r="X13" i="7"/>
  <c r="Y13" i="7"/>
  <c r="Z13" i="7"/>
  <c r="AA13" i="7"/>
  <c r="AB13" i="7"/>
  <c r="AC13" i="7"/>
  <c r="AD13" i="7"/>
  <c r="AE13" i="7"/>
  <c r="AF13" i="7"/>
  <c r="AG13" i="7"/>
  <c r="AH13" i="7"/>
  <c r="AJ13" i="7"/>
  <c r="AL13" i="7"/>
  <c r="AO13" i="7"/>
  <c r="A14" i="7"/>
  <c r="E14" i="7"/>
  <c r="G14" i="7"/>
  <c r="H14" i="7"/>
  <c r="L14" i="7"/>
  <c r="P14" i="7"/>
  <c r="R14" i="7"/>
  <c r="S14" i="7"/>
  <c r="U14" i="7"/>
  <c r="V14" i="7"/>
  <c r="W14" i="7"/>
  <c r="X14" i="7"/>
  <c r="Y14" i="7"/>
  <c r="Z14" i="7"/>
  <c r="AA14" i="7"/>
  <c r="AB14" i="7"/>
  <c r="AC14" i="7"/>
  <c r="AD14" i="7"/>
  <c r="AE14" i="7"/>
  <c r="AF14" i="7"/>
  <c r="AG14" i="7"/>
  <c r="AH14" i="7"/>
  <c r="AJ14" i="7"/>
  <c r="AL14" i="7"/>
  <c r="AO14" i="7"/>
  <c r="A15" i="7"/>
  <c r="E15" i="7"/>
  <c r="G15" i="7"/>
  <c r="H15" i="7"/>
  <c r="L15" i="7"/>
  <c r="P15" i="7"/>
  <c r="R15" i="7"/>
  <c r="S15" i="7"/>
  <c r="U15" i="7"/>
  <c r="V15" i="7"/>
  <c r="W15" i="7"/>
  <c r="X15" i="7"/>
  <c r="Y15" i="7"/>
  <c r="Z15" i="7"/>
  <c r="AA15" i="7"/>
  <c r="AB15" i="7"/>
  <c r="AC15" i="7"/>
  <c r="AD15" i="7"/>
  <c r="AE15" i="7"/>
  <c r="AF15" i="7"/>
  <c r="AG15" i="7"/>
  <c r="AH15" i="7"/>
  <c r="AJ15" i="7"/>
  <c r="AL15" i="7"/>
  <c r="AO15" i="7"/>
  <c r="A16" i="7"/>
  <c r="E16" i="7"/>
  <c r="G16" i="7"/>
  <c r="H16" i="7"/>
  <c r="L16" i="7"/>
  <c r="P16" i="7"/>
  <c r="R16" i="7"/>
  <c r="S16" i="7"/>
  <c r="V16" i="7"/>
  <c r="W16" i="7"/>
  <c r="X16" i="7"/>
  <c r="Z16" i="7"/>
  <c r="AD16" i="7"/>
  <c r="AE16" i="7"/>
  <c r="AF16" i="7"/>
  <c r="AG16" i="7"/>
  <c r="AH16" i="7"/>
  <c r="AJ16" i="7"/>
  <c r="AL16" i="7"/>
  <c r="AO16" i="7"/>
  <c r="A17" i="7"/>
  <c r="C17" i="7"/>
  <c r="E17" i="7"/>
  <c r="G17" i="7"/>
  <c r="H17" i="7"/>
  <c r="L17" i="7"/>
  <c r="P17" i="7"/>
  <c r="R17" i="7"/>
  <c r="S17" i="7"/>
  <c r="U17" i="7"/>
  <c r="V17" i="7"/>
  <c r="W17" i="7"/>
  <c r="X17" i="7"/>
  <c r="Y17" i="7"/>
  <c r="Z17" i="7"/>
  <c r="AA17" i="7"/>
  <c r="AB17" i="7"/>
  <c r="AC17" i="7"/>
  <c r="AD17" i="7"/>
  <c r="AE17" i="7"/>
  <c r="AF17" i="7"/>
  <c r="AG17" i="7"/>
  <c r="AH17" i="7"/>
  <c r="AJ17" i="7"/>
  <c r="AL17" i="7"/>
  <c r="AO17" i="7"/>
  <c r="A18" i="7"/>
  <c r="C18" i="7"/>
  <c r="E18" i="7"/>
  <c r="G18" i="7"/>
  <c r="H18" i="7"/>
  <c r="L18" i="7"/>
  <c r="P18" i="7"/>
  <c r="R18" i="7"/>
  <c r="S18" i="7"/>
  <c r="U18" i="7"/>
  <c r="V18" i="7"/>
  <c r="W18" i="7"/>
  <c r="X18" i="7"/>
  <c r="Y18" i="7"/>
  <c r="Z18" i="7"/>
  <c r="AA18" i="7"/>
  <c r="AB18" i="7"/>
  <c r="AC18" i="7"/>
  <c r="AD18" i="7"/>
  <c r="AE18" i="7"/>
  <c r="AF18" i="7"/>
  <c r="AG18" i="7"/>
  <c r="AH18" i="7"/>
  <c r="AJ18" i="7"/>
  <c r="AL18" i="7"/>
  <c r="AO18" i="7"/>
  <c r="A19" i="7"/>
  <c r="C19" i="7"/>
  <c r="E19" i="7"/>
  <c r="G19" i="7"/>
  <c r="H19" i="7"/>
  <c r="P19" i="7"/>
  <c r="R19" i="7"/>
  <c r="S19" i="7"/>
  <c r="U19" i="7"/>
  <c r="V19" i="7"/>
  <c r="W19" i="7"/>
  <c r="X19" i="7"/>
  <c r="Y19" i="7"/>
  <c r="Z19" i="7"/>
  <c r="AA19" i="7"/>
  <c r="AB19" i="7"/>
  <c r="AC19" i="7"/>
  <c r="AD19" i="7"/>
  <c r="AE19" i="7"/>
  <c r="AF19" i="7"/>
  <c r="AG19" i="7"/>
  <c r="AH19" i="7"/>
  <c r="AJ19" i="7"/>
  <c r="AL19" i="7"/>
  <c r="AO19" i="7"/>
  <c r="A20" i="7"/>
  <c r="C20" i="7"/>
  <c r="E20" i="7"/>
  <c r="G20" i="7"/>
  <c r="H20" i="7"/>
  <c r="L20" i="7"/>
  <c r="P20" i="7"/>
  <c r="R20" i="7"/>
  <c r="S20" i="7"/>
  <c r="U20" i="7"/>
  <c r="V20" i="7"/>
  <c r="W20" i="7"/>
  <c r="X20" i="7"/>
  <c r="Y20" i="7"/>
  <c r="Z20" i="7"/>
  <c r="AA20" i="7"/>
  <c r="AB20" i="7"/>
  <c r="AC20" i="7"/>
  <c r="AD20" i="7"/>
  <c r="AE20" i="7"/>
  <c r="AF20" i="7"/>
  <c r="AG20" i="7"/>
  <c r="AH20" i="7"/>
  <c r="AJ20" i="7"/>
  <c r="AM20" i="7"/>
  <c r="AO20" i="7"/>
  <c r="A21" i="7"/>
  <c r="C21" i="7"/>
  <c r="E21" i="7"/>
  <c r="G21" i="7"/>
  <c r="H21" i="7"/>
  <c r="L21" i="7"/>
  <c r="P21" i="7"/>
  <c r="R21" i="7"/>
  <c r="S21" i="7"/>
  <c r="U21" i="7"/>
  <c r="V21" i="7"/>
  <c r="W21" i="7"/>
  <c r="X21" i="7"/>
  <c r="Y21" i="7"/>
  <c r="Z21" i="7"/>
  <c r="AA21" i="7"/>
  <c r="AB21" i="7"/>
  <c r="AC21" i="7"/>
  <c r="AD21" i="7"/>
  <c r="AE21" i="7"/>
  <c r="AF21" i="7"/>
  <c r="AG21" i="7"/>
  <c r="AH21" i="7"/>
  <c r="AJ21" i="7"/>
  <c r="AL21" i="7"/>
  <c r="AO21" i="7"/>
  <c r="A22" i="7"/>
  <c r="C22" i="7"/>
  <c r="E22" i="7"/>
  <c r="G22" i="7"/>
  <c r="H22" i="7"/>
  <c r="L22" i="7"/>
  <c r="P22" i="7"/>
  <c r="R22" i="7"/>
  <c r="S22" i="7"/>
  <c r="U22" i="7"/>
  <c r="V22" i="7"/>
  <c r="W22" i="7"/>
  <c r="X22" i="7"/>
  <c r="Y22" i="7"/>
  <c r="Z22" i="7"/>
  <c r="AA22" i="7"/>
  <c r="AB22" i="7"/>
  <c r="AC22" i="7"/>
  <c r="AD22" i="7"/>
  <c r="AE22" i="7"/>
  <c r="AF22" i="7"/>
  <c r="AG22" i="7"/>
  <c r="AH22" i="7"/>
  <c r="AJ22" i="7"/>
  <c r="AL22" i="7"/>
  <c r="AO22" i="7"/>
  <c r="A23" i="7"/>
  <c r="C23" i="7"/>
  <c r="E23" i="7"/>
  <c r="G23" i="7"/>
  <c r="H23" i="7"/>
  <c r="L23" i="7"/>
  <c r="P23" i="7"/>
  <c r="R23" i="7"/>
  <c r="S23" i="7"/>
  <c r="U23" i="7"/>
  <c r="V23" i="7"/>
  <c r="W23" i="7"/>
  <c r="X23" i="7"/>
  <c r="Y23" i="7"/>
  <c r="Z23" i="7"/>
  <c r="AA23" i="7"/>
  <c r="AB23" i="7"/>
  <c r="AC23" i="7"/>
  <c r="AD23" i="7"/>
  <c r="AE23" i="7"/>
  <c r="AF23" i="7"/>
  <c r="AG23" i="7"/>
  <c r="AH23" i="7"/>
  <c r="AJ23" i="7"/>
  <c r="AL23" i="7"/>
  <c r="AO23" i="7"/>
  <c r="A24" i="7"/>
  <c r="C24" i="7"/>
  <c r="E24" i="7"/>
  <c r="G24" i="7"/>
  <c r="H24" i="7"/>
  <c r="L24" i="7"/>
  <c r="P24" i="7"/>
  <c r="R24" i="7"/>
  <c r="S24" i="7"/>
  <c r="U24" i="7"/>
  <c r="V24" i="7"/>
  <c r="W24" i="7"/>
  <c r="X24" i="7"/>
  <c r="Y24" i="7"/>
  <c r="Z24" i="7"/>
  <c r="AA24" i="7"/>
  <c r="AB24" i="7"/>
  <c r="AC24" i="7"/>
  <c r="AD24" i="7"/>
  <c r="AE24" i="7"/>
  <c r="AF24" i="7"/>
  <c r="AG24" i="7"/>
  <c r="AH24" i="7"/>
  <c r="AJ24" i="7"/>
  <c r="AL24" i="7"/>
  <c r="AO24" i="7"/>
  <c r="A25" i="7"/>
  <c r="C25" i="7"/>
  <c r="E25" i="7"/>
  <c r="G25" i="7"/>
  <c r="H25" i="7"/>
  <c r="L25" i="7"/>
  <c r="P25" i="7"/>
  <c r="R25" i="7"/>
  <c r="S25" i="7"/>
  <c r="U25" i="7"/>
  <c r="V25" i="7"/>
  <c r="W25" i="7"/>
  <c r="Y25" i="7"/>
  <c r="AA25" i="7"/>
  <c r="AB25" i="7"/>
  <c r="AC25" i="7"/>
  <c r="AD25" i="7"/>
  <c r="AE25" i="7"/>
  <c r="AF25" i="7"/>
  <c r="AG25" i="7"/>
  <c r="AH25" i="7"/>
  <c r="AJ25" i="7"/>
  <c r="AL25" i="7"/>
  <c r="AO25" i="7"/>
  <c r="A26" i="7"/>
  <c r="C26" i="7"/>
  <c r="E26" i="7"/>
  <c r="G26" i="7"/>
  <c r="H26" i="7"/>
  <c r="L26" i="7"/>
  <c r="P26" i="7"/>
  <c r="R26" i="7"/>
  <c r="S26" i="7"/>
  <c r="U26" i="7"/>
  <c r="V26" i="7"/>
  <c r="W26" i="7"/>
  <c r="X26" i="7"/>
  <c r="Y26" i="7"/>
  <c r="Z26" i="7"/>
  <c r="AA26" i="7"/>
  <c r="AB26" i="7"/>
  <c r="AC26" i="7"/>
  <c r="AD26" i="7"/>
  <c r="AE26" i="7"/>
  <c r="AF26" i="7"/>
  <c r="AG26" i="7"/>
  <c r="AH26" i="7"/>
  <c r="AJ26" i="7"/>
  <c r="AL26" i="7"/>
  <c r="AO26" i="7"/>
  <c r="A27" i="7"/>
  <c r="C27" i="7"/>
  <c r="E27" i="7"/>
  <c r="G27" i="7"/>
  <c r="H27" i="7"/>
  <c r="L27" i="7"/>
  <c r="P27" i="7"/>
  <c r="R27" i="7"/>
  <c r="S27" i="7"/>
  <c r="U27" i="7"/>
  <c r="V27" i="7"/>
  <c r="W27" i="7"/>
  <c r="X27" i="7"/>
  <c r="Y27" i="7"/>
  <c r="Z27" i="7"/>
  <c r="AA27" i="7"/>
  <c r="AB27" i="7"/>
  <c r="AC27" i="7"/>
  <c r="AD27" i="7"/>
  <c r="AE27" i="7"/>
  <c r="AF27" i="7"/>
  <c r="AG27" i="7"/>
  <c r="AH27" i="7"/>
  <c r="AJ27" i="7"/>
  <c r="AL27" i="7"/>
  <c r="AO27" i="7"/>
  <c r="A28" i="7"/>
  <c r="C28" i="7"/>
  <c r="E28" i="7"/>
  <c r="G28" i="7"/>
  <c r="H28" i="7"/>
  <c r="L28" i="7"/>
  <c r="P28" i="7"/>
  <c r="R28" i="7"/>
  <c r="S28" i="7"/>
  <c r="U28" i="7"/>
  <c r="V28" i="7"/>
  <c r="W28" i="7"/>
  <c r="X28" i="7"/>
  <c r="Y28" i="7"/>
  <c r="Z28" i="7"/>
  <c r="AA28" i="7"/>
  <c r="AB28" i="7"/>
  <c r="AC28" i="7"/>
  <c r="AD28" i="7"/>
  <c r="AE28" i="7"/>
  <c r="AF28" i="7"/>
  <c r="AG28" i="7"/>
  <c r="AH28" i="7"/>
  <c r="AJ28" i="7"/>
  <c r="AL28" i="7"/>
  <c r="AO28" i="7"/>
  <c r="A29" i="7"/>
  <c r="C29" i="7"/>
  <c r="E29" i="7"/>
  <c r="G29" i="7"/>
  <c r="H29" i="7"/>
  <c r="L29" i="7"/>
  <c r="P29" i="7"/>
  <c r="R29" i="7"/>
  <c r="S29" i="7"/>
  <c r="U29" i="7"/>
  <c r="V29" i="7"/>
  <c r="W29" i="7"/>
  <c r="X29" i="7"/>
  <c r="Y29" i="7"/>
  <c r="Z29" i="7"/>
  <c r="AA29" i="7"/>
  <c r="AB29" i="7"/>
  <c r="AC29" i="7"/>
  <c r="AD29" i="7"/>
  <c r="AE29" i="7"/>
  <c r="AF29" i="7"/>
  <c r="AG29" i="7"/>
  <c r="AH29" i="7"/>
  <c r="AJ29" i="7"/>
  <c r="AL29" i="7"/>
  <c r="AO29" i="7"/>
  <c r="A30" i="7"/>
  <c r="C30" i="7"/>
  <c r="E30" i="7"/>
  <c r="G30" i="7"/>
  <c r="H30" i="7"/>
  <c r="L30" i="7"/>
  <c r="P30" i="7"/>
  <c r="R30" i="7"/>
  <c r="S30" i="7"/>
  <c r="U30" i="7"/>
  <c r="V30" i="7"/>
  <c r="W30" i="7"/>
  <c r="X30" i="7"/>
  <c r="Y30" i="7"/>
  <c r="Z30" i="7"/>
  <c r="AA30" i="7"/>
  <c r="AB30" i="7"/>
  <c r="AC30" i="7"/>
  <c r="AD30" i="7"/>
  <c r="AE30" i="7"/>
  <c r="AF30" i="7"/>
  <c r="AG30" i="7"/>
  <c r="AH30" i="7"/>
  <c r="AJ30" i="7"/>
  <c r="AL30" i="7"/>
  <c r="AO30" i="7"/>
  <c r="A31" i="7"/>
  <c r="C31" i="7"/>
  <c r="E31" i="7"/>
  <c r="G31" i="7"/>
  <c r="H31" i="7"/>
  <c r="L31" i="7"/>
  <c r="P31" i="7"/>
  <c r="R31" i="7"/>
  <c r="S31" i="7"/>
  <c r="U31" i="7"/>
  <c r="V31" i="7"/>
  <c r="W31" i="7"/>
  <c r="X31" i="7"/>
  <c r="Y31" i="7"/>
  <c r="Z31" i="7"/>
  <c r="AA31" i="7"/>
  <c r="AB31" i="7"/>
  <c r="AC31" i="7"/>
  <c r="AD31" i="7"/>
  <c r="AE31" i="7"/>
  <c r="AF31" i="7"/>
  <c r="AG31" i="7"/>
  <c r="AH31" i="7"/>
  <c r="AJ31" i="7"/>
  <c r="AL31" i="7"/>
  <c r="AO31" i="7"/>
  <c r="A32" i="7"/>
  <c r="C32" i="7"/>
  <c r="E32" i="7"/>
  <c r="G32" i="7"/>
  <c r="H32" i="7"/>
  <c r="L32" i="7"/>
  <c r="P32" i="7"/>
  <c r="R32" i="7"/>
  <c r="S32" i="7"/>
  <c r="U32" i="7"/>
  <c r="V32" i="7"/>
  <c r="W32" i="7"/>
  <c r="X32" i="7"/>
  <c r="Y32" i="7"/>
  <c r="Z32" i="7"/>
  <c r="AA32" i="7"/>
  <c r="AB32" i="7"/>
  <c r="AC32" i="7"/>
  <c r="AD32" i="7"/>
  <c r="AE32" i="7"/>
  <c r="AF32" i="7"/>
  <c r="AG32" i="7"/>
  <c r="AH32" i="7"/>
  <c r="AJ32" i="7"/>
  <c r="AL32" i="7"/>
  <c r="AO32" i="7"/>
  <c r="A33" i="7"/>
  <c r="C33" i="7"/>
  <c r="E33" i="7"/>
  <c r="G33" i="7"/>
  <c r="H33" i="7"/>
  <c r="L33" i="7"/>
  <c r="P33" i="7"/>
  <c r="R33" i="7"/>
  <c r="S33" i="7"/>
  <c r="U33" i="7"/>
  <c r="V33" i="7"/>
  <c r="W33" i="7"/>
  <c r="X33" i="7"/>
  <c r="Y33" i="7"/>
  <c r="Z33" i="7"/>
  <c r="AA33" i="7"/>
  <c r="AB33" i="7"/>
  <c r="AC33" i="7"/>
  <c r="AD33" i="7"/>
  <c r="AE33" i="7"/>
  <c r="AF33" i="7"/>
  <c r="AG33" i="7"/>
  <c r="AH33" i="7"/>
  <c r="AJ33" i="7"/>
  <c r="AL33" i="7"/>
  <c r="AO33" i="7"/>
  <c r="A34" i="7"/>
  <c r="C34" i="7"/>
  <c r="E34" i="7"/>
  <c r="G34" i="7"/>
  <c r="H34" i="7"/>
  <c r="L34" i="7"/>
  <c r="P34" i="7"/>
  <c r="R34" i="7"/>
  <c r="S34" i="7"/>
  <c r="U34" i="7"/>
  <c r="V34" i="7"/>
  <c r="W34" i="7"/>
  <c r="X34" i="7"/>
  <c r="Y34" i="7"/>
  <c r="Z34" i="7"/>
  <c r="AA34" i="7"/>
  <c r="AB34" i="7"/>
  <c r="AC34" i="7"/>
  <c r="AD34" i="7"/>
  <c r="AE34" i="7"/>
  <c r="AF34" i="7"/>
  <c r="AG34" i="7"/>
  <c r="AH34" i="7"/>
  <c r="AJ34" i="7"/>
  <c r="AL34" i="7"/>
  <c r="AM34" i="7"/>
  <c r="AO34" i="7"/>
  <c r="A35" i="7"/>
  <c r="C35" i="7"/>
  <c r="E35" i="7"/>
  <c r="G35" i="7"/>
  <c r="H35" i="7"/>
  <c r="L35" i="7"/>
  <c r="P35" i="7"/>
  <c r="R35" i="7"/>
  <c r="S35" i="7"/>
  <c r="U35" i="7"/>
  <c r="V35" i="7"/>
  <c r="W35" i="7"/>
  <c r="X35" i="7"/>
  <c r="Y35" i="7"/>
  <c r="Z35" i="7"/>
  <c r="AA35" i="7"/>
  <c r="AB35" i="7"/>
  <c r="AC35" i="7"/>
  <c r="AD35" i="7"/>
  <c r="AE35" i="7"/>
  <c r="AF35" i="7"/>
  <c r="AG35" i="7"/>
  <c r="AH35" i="7"/>
  <c r="AJ35" i="7"/>
  <c r="AL35" i="7"/>
  <c r="AO35" i="7"/>
  <c r="A36" i="7"/>
  <c r="C36" i="7"/>
  <c r="E36" i="7"/>
  <c r="G36" i="7"/>
  <c r="H36" i="7"/>
  <c r="L36" i="7"/>
  <c r="P36" i="7"/>
  <c r="R36" i="7"/>
  <c r="S36" i="7"/>
  <c r="U36" i="7"/>
  <c r="V36" i="7"/>
  <c r="W36" i="7"/>
  <c r="X36" i="7"/>
  <c r="Y36" i="7"/>
  <c r="Z36" i="7"/>
  <c r="AA36" i="7"/>
  <c r="AB36" i="7"/>
  <c r="AC36" i="7"/>
  <c r="AD36" i="7"/>
  <c r="AE36" i="7"/>
  <c r="AF36" i="7"/>
  <c r="AG36" i="7"/>
  <c r="AH36" i="7"/>
  <c r="AJ36" i="7"/>
  <c r="AL36" i="7"/>
  <c r="AO36" i="7"/>
  <c r="A37" i="7"/>
  <c r="C37" i="7"/>
  <c r="E37" i="7"/>
  <c r="G37" i="7"/>
  <c r="H37" i="7"/>
  <c r="L37" i="7"/>
  <c r="P37" i="7"/>
  <c r="R37" i="7"/>
  <c r="S37" i="7"/>
  <c r="U37" i="7"/>
  <c r="V37" i="7"/>
  <c r="W37" i="7"/>
  <c r="X37" i="7"/>
  <c r="Y37" i="7"/>
  <c r="Z37" i="7"/>
  <c r="AA37" i="7"/>
  <c r="AB37" i="7"/>
  <c r="AC37" i="7"/>
  <c r="AD37" i="7"/>
  <c r="AE37" i="7"/>
  <c r="AF37" i="7"/>
  <c r="AG37" i="7"/>
  <c r="AH37" i="7"/>
  <c r="AJ37" i="7"/>
  <c r="AL37" i="7"/>
  <c r="AO37" i="7"/>
  <c r="A38" i="7"/>
  <c r="C38" i="7"/>
  <c r="E38" i="7"/>
  <c r="G38" i="7"/>
  <c r="H38" i="7"/>
  <c r="L38" i="7"/>
  <c r="P38" i="7"/>
  <c r="R38" i="7"/>
  <c r="S38" i="7"/>
  <c r="U38" i="7"/>
  <c r="V38" i="7"/>
  <c r="W38" i="7"/>
  <c r="X38" i="7"/>
  <c r="Y38" i="7"/>
  <c r="Z38" i="7"/>
  <c r="AA38" i="7"/>
  <c r="AB38" i="7"/>
  <c r="AC38" i="7"/>
  <c r="AD38" i="7"/>
  <c r="AE38" i="7"/>
  <c r="AF38" i="7"/>
  <c r="AG38" i="7"/>
  <c r="AH38" i="7"/>
  <c r="AJ38" i="7"/>
  <c r="AL38" i="7"/>
  <c r="AO38" i="7"/>
  <c r="A39" i="7"/>
  <c r="C39" i="7"/>
  <c r="E39" i="7"/>
  <c r="G39" i="7"/>
  <c r="H39" i="7"/>
  <c r="L39" i="7"/>
  <c r="P39" i="7"/>
  <c r="R39" i="7"/>
  <c r="S39" i="7"/>
  <c r="U39" i="7"/>
  <c r="X39" i="7"/>
  <c r="Y39" i="7"/>
  <c r="Z39" i="7"/>
  <c r="AA39" i="7"/>
  <c r="AB39" i="7"/>
  <c r="AC39" i="7"/>
  <c r="AD39" i="7"/>
  <c r="AE39" i="7"/>
  <c r="AF39" i="7"/>
  <c r="AG39" i="7"/>
  <c r="AH39" i="7"/>
  <c r="AJ39" i="7"/>
  <c r="AL39" i="7"/>
  <c r="AM39" i="7"/>
  <c r="AO39" i="7"/>
  <c r="A40" i="7"/>
  <c r="C40" i="7"/>
  <c r="E40" i="7"/>
  <c r="G40" i="7"/>
  <c r="H40" i="7"/>
  <c r="L40" i="7"/>
  <c r="P40" i="7"/>
  <c r="R40" i="7"/>
  <c r="S40" i="7"/>
  <c r="U40" i="7"/>
  <c r="V40" i="7"/>
  <c r="W40" i="7"/>
  <c r="X40" i="7"/>
  <c r="Y40" i="7"/>
  <c r="Z40" i="7"/>
  <c r="AA40" i="7"/>
  <c r="AB40" i="7"/>
  <c r="AC40" i="7"/>
  <c r="AD40" i="7"/>
  <c r="AE40" i="7"/>
  <c r="AF40" i="7"/>
  <c r="AG40" i="7"/>
  <c r="AH40" i="7"/>
  <c r="AJ40" i="7"/>
  <c r="AL40" i="7"/>
  <c r="AO40" i="7"/>
  <c r="A41" i="7"/>
  <c r="C41" i="7"/>
  <c r="E41" i="7"/>
  <c r="G41" i="7"/>
  <c r="H41" i="7"/>
  <c r="L41" i="7"/>
  <c r="P41" i="7"/>
  <c r="R41" i="7"/>
  <c r="S41" i="7"/>
  <c r="U41" i="7"/>
  <c r="V41" i="7"/>
  <c r="W41" i="7"/>
  <c r="X41" i="7"/>
  <c r="Y41" i="7"/>
  <c r="Z41" i="7"/>
  <c r="AA41" i="7"/>
  <c r="AB41" i="7"/>
  <c r="AC41" i="7"/>
  <c r="AD41" i="7"/>
  <c r="AE41" i="7"/>
  <c r="AF41" i="7"/>
  <c r="AG41" i="7"/>
  <c r="AH41" i="7"/>
  <c r="AJ41" i="7"/>
  <c r="AL41" i="7"/>
  <c r="AO41" i="7"/>
  <c r="AH43" i="7"/>
  <c r="AL43" i="7"/>
  <c r="AO43" i="7"/>
  <c r="AH45" i="7"/>
  <c r="AL45" i="7"/>
  <c r="AO45" i="7"/>
  <c r="B2" i="16"/>
  <c r="D6" i="16"/>
  <c r="D8" i="16"/>
  <c r="D10" i="16"/>
  <c r="D12" i="16"/>
  <c r="D14" i="16"/>
  <c r="D16" i="16"/>
  <c r="D18" i="16"/>
  <c r="D20" i="16"/>
  <c r="D22" i="16"/>
  <c r="A4" i="1"/>
  <c r="E5" i="1"/>
  <c r="I5" i="1"/>
  <c r="K5" i="1"/>
  <c r="W5" i="1"/>
  <c r="Y5" i="1"/>
  <c r="AE5" i="1"/>
  <c r="C6" i="1"/>
  <c r="E6" i="1"/>
  <c r="I6" i="1"/>
  <c r="K6" i="1"/>
  <c r="U6" i="1"/>
  <c r="W6" i="1"/>
  <c r="Y6" i="1"/>
  <c r="AE6" i="1"/>
  <c r="AL6" i="1"/>
  <c r="C8" i="1"/>
  <c r="E8" i="1"/>
  <c r="I8" i="1"/>
  <c r="K8" i="1"/>
  <c r="O8" i="1"/>
  <c r="Q8" i="1"/>
  <c r="U8" i="1"/>
  <c r="W8" i="1"/>
  <c r="Y8" i="1"/>
  <c r="A12" i="1"/>
  <c r="C13" i="1"/>
  <c r="E13" i="1"/>
  <c r="G13" i="1"/>
  <c r="I13" i="1"/>
  <c r="K13" i="1"/>
  <c r="M13" i="1"/>
  <c r="O13" i="1"/>
  <c r="Q13" i="1"/>
  <c r="S13" i="1"/>
  <c r="U13" i="1"/>
  <c r="W13" i="1"/>
  <c r="Y13" i="1"/>
  <c r="AA13" i="1"/>
  <c r="AC13" i="1"/>
  <c r="AE13" i="1"/>
  <c r="AL13" i="1"/>
  <c r="C14" i="1"/>
  <c r="E14" i="1"/>
  <c r="G14" i="1"/>
  <c r="I14" i="1"/>
  <c r="K14" i="1"/>
  <c r="M14" i="1"/>
  <c r="O14" i="1"/>
  <c r="Q14" i="1"/>
  <c r="S14" i="1"/>
  <c r="U14" i="1"/>
  <c r="W14" i="1"/>
  <c r="Y14" i="1"/>
  <c r="AA14" i="1"/>
  <c r="AC14" i="1"/>
  <c r="AE14" i="1"/>
  <c r="AL14" i="1"/>
  <c r="C15" i="1"/>
  <c r="E15" i="1"/>
  <c r="G15" i="1"/>
  <c r="M15" i="1"/>
  <c r="O15" i="1"/>
  <c r="Q15" i="1"/>
  <c r="S15" i="1"/>
  <c r="U15" i="1"/>
  <c r="AA15" i="1"/>
  <c r="AC15" i="1"/>
  <c r="C16" i="1"/>
  <c r="E16" i="1"/>
  <c r="G16" i="1"/>
  <c r="M16" i="1"/>
  <c r="O16" i="1"/>
  <c r="Q16" i="1"/>
  <c r="S16" i="1"/>
  <c r="U16" i="1"/>
  <c r="AA16" i="1"/>
  <c r="AC16" i="1"/>
  <c r="C17" i="1"/>
  <c r="E17" i="1"/>
  <c r="G17" i="1"/>
  <c r="M17" i="1"/>
  <c r="O17" i="1"/>
  <c r="Q17" i="1"/>
  <c r="S17" i="1"/>
  <c r="U17" i="1"/>
  <c r="AA17" i="1"/>
  <c r="AC17" i="1"/>
  <c r="C18" i="1"/>
  <c r="E18" i="1"/>
  <c r="G18" i="1"/>
  <c r="I18" i="1"/>
  <c r="K18" i="1"/>
  <c r="M18" i="1"/>
  <c r="O18" i="1"/>
  <c r="Q18" i="1"/>
  <c r="S18" i="1"/>
  <c r="U18" i="1"/>
  <c r="W18" i="1"/>
  <c r="Y18" i="1"/>
  <c r="AA18" i="1"/>
  <c r="AC18" i="1"/>
  <c r="AE18" i="1"/>
  <c r="AL18" i="1"/>
  <c r="C20" i="1"/>
  <c r="E20" i="1"/>
  <c r="G20" i="1"/>
  <c r="I20" i="1"/>
  <c r="K20" i="1"/>
  <c r="M20" i="1"/>
  <c r="O20" i="1"/>
  <c r="Q20" i="1"/>
  <c r="S20" i="1"/>
  <c r="U20" i="1"/>
  <c r="W20" i="1"/>
  <c r="Y20" i="1"/>
  <c r="AA20" i="1"/>
  <c r="AC20" i="1"/>
  <c r="AE20" i="1"/>
  <c r="AL20" i="1"/>
  <c r="C21" i="1"/>
  <c r="E21" i="1"/>
  <c r="G21" i="1"/>
  <c r="I21" i="1"/>
  <c r="K21" i="1"/>
  <c r="M21" i="1"/>
  <c r="O21" i="1"/>
  <c r="Q21" i="1"/>
  <c r="S21" i="1"/>
  <c r="U21" i="1"/>
  <c r="W21" i="1"/>
  <c r="Y21" i="1"/>
  <c r="AA21" i="1"/>
  <c r="AC21" i="1"/>
  <c r="AE21" i="1"/>
  <c r="AL21" i="1"/>
  <c r="C22" i="1"/>
  <c r="E22" i="1"/>
  <c r="G22" i="1"/>
  <c r="I22" i="1"/>
  <c r="K22" i="1"/>
  <c r="M22" i="1"/>
  <c r="O22" i="1"/>
  <c r="Q22" i="1"/>
  <c r="S22" i="1"/>
  <c r="U22" i="1"/>
  <c r="W22" i="1"/>
  <c r="Y22" i="1"/>
  <c r="AA22" i="1"/>
  <c r="AC22" i="1"/>
  <c r="AE22" i="1"/>
  <c r="AL22" i="1"/>
  <c r="C25" i="1"/>
  <c r="E25" i="1"/>
  <c r="G25" i="1"/>
  <c r="I25" i="1"/>
  <c r="K25" i="1"/>
  <c r="M25" i="1"/>
  <c r="O25" i="1"/>
  <c r="Q25" i="1"/>
  <c r="S25" i="1"/>
  <c r="U25" i="1"/>
  <c r="W25" i="1"/>
  <c r="Y25" i="1"/>
  <c r="AA25" i="1"/>
  <c r="AC25" i="1"/>
  <c r="AE25" i="1"/>
  <c r="AL25" i="1"/>
  <c r="C26" i="1"/>
  <c r="E26" i="1"/>
  <c r="G26" i="1"/>
  <c r="I26" i="1"/>
  <c r="K26" i="1"/>
  <c r="M26" i="1"/>
  <c r="O26" i="1"/>
  <c r="Q26" i="1"/>
  <c r="S26" i="1"/>
  <c r="U26" i="1"/>
  <c r="W26" i="1"/>
  <c r="Y26" i="1"/>
  <c r="AA26" i="1"/>
  <c r="AC26" i="1"/>
  <c r="AE26" i="1"/>
  <c r="AL26" i="1"/>
  <c r="C27" i="1"/>
  <c r="E27" i="1"/>
  <c r="G27" i="1"/>
  <c r="I27" i="1"/>
  <c r="K27" i="1"/>
  <c r="M27" i="1"/>
  <c r="O27" i="1"/>
  <c r="Q27" i="1"/>
  <c r="S27" i="1"/>
  <c r="U27" i="1"/>
  <c r="W27" i="1"/>
  <c r="Y27" i="1"/>
  <c r="AA27" i="1"/>
  <c r="AC27" i="1"/>
  <c r="AE27" i="1"/>
  <c r="AL27" i="1"/>
  <c r="C29" i="1"/>
  <c r="E29" i="1"/>
  <c r="G29" i="1"/>
  <c r="I29" i="1"/>
  <c r="K29" i="1"/>
  <c r="M29" i="1"/>
  <c r="O29" i="1"/>
  <c r="Q29" i="1"/>
  <c r="S29" i="1"/>
  <c r="U29" i="1"/>
  <c r="W29" i="1"/>
  <c r="Y29" i="1"/>
  <c r="AA29" i="1"/>
  <c r="AC29" i="1"/>
  <c r="AE29" i="1"/>
  <c r="AL29" i="1"/>
  <c r="C34" i="1"/>
  <c r="E34" i="1"/>
  <c r="G34" i="1"/>
  <c r="I34" i="1"/>
  <c r="K34" i="1"/>
  <c r="M34" i="1"/>
  <c r="O34" i="1"/>
  <c r="Q34" i="1"/>
  <c r="S34" i="1"/>
  <c r="U34" i="1"/>
  <c r="W34" i="1"/>
  <c r="Y34" i="1"/>
  <c r="AA34" i="1"/>
  <c r="AC34" i="1"/>
  <c r="AE34" i="1"/>
  <c r="AL34" i="1"/>
  <c r="C35" i="1"/>
  <c r="E35" i="1"/>
  <c r="G35" i="1"/>
  <c r="I35" i="1"/>
  <c r="K35" i="1"/>
  <c r="M35" i="1"/>
  <c r="O35" i="1"/>
  <c r="Q35" i="1"/>
  <c r="S35" i="1"/>
  <c r="U35" i="1"/>
  <c r="W35" i="1"/>
  <c r="Y35" i="1"/>
  <c r="AA35" i="1"/>
  <c r="AC35" i="1"/>
  <c r="AE35" i="1"/>
  <c r="AL35" i="1"/>
  <c r="C36" i="1"/>
  <c r="E36" i="1"/>
  <c r="G36" i="1"/>
  <c r="I36" i="1"/>
  <c r="K36" i="1"/>
  <c r="M36" i="1"/>
  <c r="O36" i="1"/>
  <c r="Q36" i="1"/>
  <c r="S36" i="1"/>
  <c r="U36" i="1"/>
  <c r="W36" i="1"/>
  <c r="Y36" i="1"/>
  <c r="AA36" i="1"/>
  <c r="AC36" i="1"/>
  <c r="AE36" i="1"/>
  <c r="AL36" i="1"/>
  <c r="C37" i="1"/>
  <c r="E37" i="1"/>
  <c r="G37" i="1"/>
  <c r="I37" i="1"/>
  <c r="K37" i="1"/>
  <c r="M37" i="1"/>
  <c r="O37" i="1"/>
  <c r="Q37" i="1"/>
  <c r="S37" i="1"/>
  <c r="U37" i="1"/>
  <c r="W37" i="1"/>
  <c r="Y37" i="1"/>
  <c r="AA37" i="1"/>
  <c r="AC37" i="1"/>
  <c r="AE37" i="1"/>
  <c r="AL37" i="1"/>
  <c r="A39" i="1"/>
  <c r="B40" i="1"/>
  <c r="C40" i="1"/>
  <c r="E40" i="1"/>
  <c r="G40" i="1"/>
  <c r="I40" i="1"/>
  <c r="K40" i="1"/>
  <c r="M40" i="1"/>
  <c r="O40" i="1"/>
  <c r="Q40" i="1"/>
  <c r="S40" i="1"/>
  <c r="U40" i="1"/>
  <c r="W40" i="1"/>
  <c r="Y40" i="1"/>
  <c r="AA40" i="1"/>
  <c r="AC40" i="1"/>
  <c r="AE40" i="1"/>
  <c r="AK40" i="1"/>
  <c r="AL40" i="1"/>
  <c r="AP41" i="1"/>
  <c r="C42" i="1"/>
  <c r="E42" i="1"/>
  <c r="G42" i="1"/>
  <c r="I42" i="1"/>
  <c r="K42" i="1"/>
  <c r="M42" i="1"/>
  <c r="O42" i="1"/>
  <c r="Q42" i="1"/>
  <c r="S42" i="1"/>
  <c r="U42" i="1"/>
  <c r="W42" i="1"/>
  <c r="Y42" i="1"/>
  <c r="AA42" i="1"/>
  <c r="AC42" i="1"/>
  <c r="AE42" i="1"/>
  <c r="AP42" i="1"/>
  <c r="C43" i="1"/>
  <c r="E43" i="1"/>
  <c r="G43" i="1"/>
  <c r="I43" i="1"/>
  <c r="K43" i="1"/>
  <c r="M43" i="1"/>
  <c r="O43" i="1"/>
  <c r="Q43" i="1"/>
  <c r="S43" i="1"/>
  <c r="U43" i="1"/>
  <c r="W43" i="1"/>
  <c r="Y43" i="1"/>
  <c r="AA43" i="1"/>
  <c r="AC43" i="1"/>
  <c r="AE43" i="1"/>
  <c r="AL43" i="1"/>
  <c r="AP43" i="1"/>
  <c r="C44" i="1"/>
  <c r="E44" i="1"/>
  <c r="G44" i="1"/>
  <c r="I44" i="1"/>
  <c r="K44" i="1"/>
  <c r="M44" i="1"/>
  <c r="O44" i="1"/>
  <c r="Q44" i="1"/>
  <c r="S44" i="1"/>
  <c r="U44" i="1"/>
  <c r="W44" i="1"/>
  <c r="Y44" i="1"/>
  <c r="AA44" i="1"/>
  <c r="AC44" i="1"/>
  <c r="AE44" i="1"/>
  <c r="AL44" i="1"/>
  <c r="C45" i="1"/>
  <c r="E45" i="1"/>
  <c r="G45" i="1"/>
  <c r="I45" i="1"/>
  <c r="K45" i="1"/>
  <c r="M45" i="1"/>
  <c r="O45" i="1"/>
  <c r="Q45" i="1"/>
  <c r="S45" i="1"/>
  <c r="U45" i="1"/>
  <c r="W45" i="1"/>
  <c r="Y45" i="1"/>
  <c r="AA45" i="1"/>
  <c r="AC45" i="1"/>
  <c r="AE45" i="1"/>
  <c r="AL45" i="1"/>
  <c r="C46" i="1"/>
  <c r="E46" i="1"/>
  <c r="G46" i="1"/>
  <c r="I46" i="1"/>
  <c r="K46" i="1"/>
  <c r="M46" i="1"/>
  <c r="O46" i="1"/>
  <c r="Q46" i="1"/>
  <c r="S46" i="1"/>
  <c r="U46" i="1"/>
  <c r="W46" i="1"/>
  <c r="Y46" i="1"/>
  <c r="AA46" i="1"/>
  <c r="AC46" i="1"/>
  <c r="AE46" i="1"/>
  <c r="C47" i="1"/>
  <c r="E47" i="1"/>
  <c r="G47" i="1"/>
  <c r="I47" i="1"/>
  <c r="K47" i="1"/>
  <c r="M47" i="1"/>
  <c r="O47" i="1"/>
  <c r="Q47" i="1"/>
  <c r="S47" i="1"/>
  <c r="U47" i="1"/>
  <c r="W47" i="1"/>
  <c r="Y47" i="1"/>
  <c r="AA47" i="1"/>
  <c r="AC47" i="1"/>
  <c r="AE47" i="1"/>
  <c r="AL47" i="1"/>
  <c r="C48" i="1"/>
  <c r="E48" i="1"/>
  <c r="G48" i="1"/>
  <c r="I48" i="1"/>
  <c r="K48" i="1"/>
  <c r="M48" i="1"/>
  <c r="O48" i="1"/>
  <c r="Q48" i="1"/>
  <c r="S48" i="1"/>
  <c r="U48" i="1"/>
  <c r="W48" i="1"/>
  <c r="Y48" i="1"/>
  <c r="AA48" i="1"/>
  <c r="AC48" i="1"/>
  <c r="AE48" i="1"/>
  <c r="AL48" i="1"/>
  <c r="C49" i="1"/>
  <c r="E49" i="1"/>
  <c r="G49" i="1"/>
  <c r="I49" i="1"/>
  <c r="K49" i="1"/>
  <c r="M49" i="1"/>
  <c r="O49" i="1"/>
  <c r="Q49" i="1"/>
  <c r="S49" i="1"/>
  <c r="U49" i="1"/>
  <c r="W49" i="1"/>
  <c r="Y49" i="1"/>
  <c r="AA49" i="1"/>
  <c r="AC49" i="1"/>
  <c r="AE49" i="1"/>
  <c r="AL49" i="1"/>
  <c r="G50" i="1"/>
  <c r="M50" i="1"/>
  <c r="S50" i="1"/>
  <c r="AA50" i="1"/>
  <c r="AC50" i="1"/>
  <c r="AL50" i="1"/>
  <c r="C51" i="1"/>
  <c r="E51" i="1"/>
  <c r="G51" i="1"/>
  <c r="I51" i="1"/>
  <c r="K51" i="1"/>
  <c r="M51" i="1"/>
  <c r="O51" i="1"/>
  <c r="Q51" i="1"/>
  <c r="S51" i="1"/>
  <c r="U51" i="1"/>
  <c r="W51" i="1"/>
  <c r="Y51" i="1"/>
  <c r="AA51" i="1"/>
  <c r="AC51" i="1"/>
  <c r="AE51" i="1"/>
  <c r="AL51" i="1"/>
  <c r="C52" i="1"/>
  <c r="E52" i="1"/>
  <c r="G52" i="1"/>
  <c r="I52" i="1"/>
  <c r="K52" i="1"/>
  <c r="M52" i="1"/>
  <c r="O52" i="1"/>
  <c r="Q52" i="1"/>
  <c r="S52" i="1"/>
  <c r="U52" i="1"/>
  <c r="W52" i="1"/>
  <c r="Y52" i="1"/>
  <c r="AA52" i="1"/>
  <c r="AC52" i="1"/>
  <c r="AE52" i="1"/>
  <c r="AL52" i="1"/>
  <c r="C53" i="1"/>
  <c r="E53" i="1"/>
  <c r="G53" i="1"/>
  <c r="I53" i="1"/>
  <c r="K53" i="1"/>
  <c r="M53" i="1"/>
  <c r="O53" i="1"/>
  <c r="Q53" i="1"/>
  <c r="S53" i="1"/>
  <c r="U53" i="1"/>
  <c r="W53" i="1"/>
  <c r="Y53" i="1"/>
  <c r="AA53" i="1"/>
  <c r="AC53" i="1"/>
  <c r="AE53" i="1"/>
  <c r="AL53" i="1"/>
  <c r="AO53" i="1"/>
  <c r="C54" i="1"/>
  <c r="E54" i="1"/>
  <c r="G54" i="1"/>
  <c r="I54" i="1"/>
  <c r="K54" i="1"/>
  <c r="M54" i="1"/>
  <c r="O54" i="1"/>
  <c r="Q54" i="1"/>
  <c r="S54" i="1"/>
  <c r="U54" i="1"/>
  <c r="W54" i="1"/>
  <c r="Y54" i="1"/>
  <c r="AA54" i="1"/>
  <c r="AC54" i="1"/>
  <c r="AE54" i="1"/>
  <c r="AL54" i="1"/>
  <c r="C55" i="1"/>
  <c r="E55" i="1"/>
  <c r="G55" i="1"/>
  <c r="I55" i="1"/>
  <c r="K55" i="1"/>
  <c r="M55" i="1"/>
  <c r="O55" i="1"/>
  <c r="Q55" i="1"/>
  <c r="S55" i="1"/>
  <c r="U55" i="1"/>
  <c r="W55" i="1"/>
  <c r="Y55" i="1"/>
  <c r="AA55" i="1"/>
  <c r="AC55" i="1"/>
  <c r="AE55" i="1"/>
  <c r="AL55" i="1"/>
  <c r="G56" i="1"/>
  <c r="M56" i="1"/>
  <c r="S56" i="1"/>
  <c r="Y56" i="1"/>
  <c r="AA56" i="1"/>
  <c r="AC56" i="1"/>
  <c r="AE56" i="1"/>
  <c r="AE57" i="1"/>
  <c r="AE58" i="1"/>
  <c r="A60" i="1"/>
  <c r="C61" i="1"/>
  <c r="E61" i="1"/>
  <c r="G61" i="1"/>
  <c r="I61" i="1"/>
  <c r="K61" i="1"/>
  <c r="M61" i="1"/>
  <c r="O61" i="1"/>
  <c r="Q61" i="1"/>
  <c r="S61" i="1"/>
  <c r="U61" i="1"/>
  <c r="W61" i="1"/>
  <c r="Y61" i="1"/>
  <c r="AA61" i="1"/>
  <c r="AC61" i="1"/>
  <c r="AE61" i="1"/>
  <c r="AL61" i="1"/>
  <c r="C62" i="1"/>
  <c r="E62" i="1"/>
  <c r="G62" i="1"/>
  <c r="I62" i="1"/>
  <c r="K62" i="1"/>
  <c r="M62" i="1"/>
  <c r="O62" i="1"/>
  <c r="Q62" i="1"/>
  <c r="S62" i="1"/>
  <c r="U62" i="1"/>
  <c r="W62" i="1"/>
  <c r="Y62" i="1"/>
  <c r="AA62" i="1"/>
  <c r="AC62" i="1"/>
  <c r="AE62" i="1"/>
  <c r="AL62" i="1"/>
  <c r="C63" i="1"/>
  <c r="E63" i="1"/>
  <c r="G63" i="1"/>
  <c r="I63" i="1"/>
  <c r="K63" i="1"/>
  <c r="M63" i="1"/>
  <c r="O63" i="1"/>
  <c r="Q63" i="1"/>
  <c r="S63" i="1"/>
  <c r="U63" i="1"/>
  <c r="W63" i="1"/>
  <c r="Y63" i="1"/>
  <c r="AA63" i="1"/>
  <c r="AC63" i="1"/>
  <c r="AE63" i="1"/>
  <c r="AL63" i="1"/>
  <c r="C65" i="1"/>
  <c r="E65" i="1"/>
  <c r="G65" i="1"/>
  <c r="I65" i="1"/>
  <c r="K65" i="1"/>
  <c r="M65" i="1"/>
  <c r="O65" i="1"/>
  <c r="Q65" i="1"/>
  <c r="S65" i="1"/>
  <c r="U65" i="1"/>
  <c r="W65" i="1"/>
  <c r="Y65" i="1"/>
  <c r="AA65" i="1"/>
  <c r="AC65" i="1"/>
  <c r="AE65" i="1"/>
  <c r="AL65" i="1"/>
  <c r="B66" i="1"/>
  <c r="C66" i="1"/>
  <c r="E66" i="1"/>
  <c r="F66" i="1"/>
  <c r="G66" i="1"/>
  <c r="H66" i="1"/>
  <c r="I66" i="1"/>
  <c r="J66" i="1"/>
  <c r="K66" i="1"/>
  <c r="L66" i="1"/>
  <c r="M66" i="1"/>
  <c r="N66" i="1"/>
  <c r="O66" i="1"/>
  <c r="Q66" i="1"/>
  <c r="R66" i="1"/>
  <c r="S66" i="1"/>
  <c r="T66" i="1"/>
  <c r="U66" i="1"/>
  <c r="V66" i="1"/>
  <c r="W66" i="1"/>
  <c r="X66" i="1"/>
  <c r="Y66" i="1"/>
  <c r="Z66" i="1"/>
  <c r="AA66" i="1"/>
  <c r="AB66" i="1"/>
  <c r="AC66" i="1"/>
  <c r="AD66" i="1"/>
  <c r="AE66" i="1"/>
  <c r="AF66" i="1"/>
  <c r="AI66" i="1"/>
  <c r="AK66" i="1"/>
  <c r="AL66" i="1"/>
  <c r="AO66" i="1"/>
  <c r="C67" i="1"/>
  <c r="E67" i="1"/>
  <c r="G67" i="1"/>
  <c r="I67" i="1"/>
  <c r="K67" i="1"/>
  <c r="M67" i="1"/>
  <c r="O67" i="1"/>
  <c r="Q67" i="1"/>
  <c r="S67" i="1"/>
  <c r="U67" i="1"/>
  <c r="W67" i="1"/>
  <c r="Y67" i="1"/>
  <c r="AA67" i="1"/>
  <c r="AC67" i="1"/>
  <c r="AE67" i="1"/>
  <c r="AL67" i="1"/>
  <c r="AT67" i="1"/>
  <c r="B68" i="1"/>
  <c r="C68" i="1"/>
  <c r="D68" i="1"/>
  <c r="E68" i="1"/>
  <c r="G68" i="1"/>
  <c r="H68" i="1"/>
  <c r="I68" i="1"/>
  <c r="J68" i="1"/>
  <c r="K68" i="1"/>
  <c r="M68" i="1"/>
  <c r="N68" i="1"/>
  <c r="O68" i="1"/>
  <c r="P68" i="1"/>
  <c r="Q68" i="1"/>
  <c r="R68" i="1"/>
  <c r="S68" i="1"/>
  <c r="T68" i="1"/>
  <c r="U68" i="1"/>
  <c r="V68" i="1"/>
  <c r="W68" i="1"/>
  <c r="X68" i="1"/>
  <c r="Y68" i="1"/>
  <c r="AA68" i="1"/>
  <c r="AB68" i="1"/>
  <c r="AC68" i="1"/>
  <c r="AD68" i="1"/>
  <c r="AE68" i="1"/>
  <c r="AF68" i="1"/>
  <c r="AI68" i="1"/>
  <c r="AK68" i="1"/>
  <c r="AL68" i="1"/>
  <c r="C71" i="1"/>
  <c r="E71" i="1"/>
  <c r="G71" i="1"/>
  <c r="M71" i="1"/>
  <c r="S71" i="1"/>
  <c r="AA71" i="1"/>
  <c r="AC71" i="1"/>
  <c r="AL71" i="1"/>
  <c r="B72" i="1"/>
  <c r="D72" i="1"/>
  <c r="H72" i="1"/>
  <c r="J72" i="1"/>
  <c r="N72" i="1"/>
  <c r="P72" i="1"/>
  <c r="R72" i="1"/>
  <c r="T72" i="1"/>
  <c r="V72" i="1"/>
  <c r="X72" i="1"/>
  <c r="AB72" i="1"/>
  <c r="AD72" i="1"/>
  <c r="AF72" i="1"/>
  <c r="AI72" i="1"/>
  <c r="AK72" i="1"/>
  <c r="A73" i="1"/>
  <c r="C74" i="1"/>
  <c r="E74" i="1"/>
  <c r="G74" i="1"/>
  <c r="I74" i="1"/>
  <c r="K74" i="1"/>
  <c r="M74" i="1"/>
  <c r="O74" i="1"/>
  <c r="Q74" i="1"/>
  <c r="S74" i="1"/>
  <c r="U74" i="1"/>
  <c r="W74" i="1"/>
  <c r="Y74" i="1"/>
  <c r="AA74" i="1"/>
  <c r="AC74" i="1"/>
  <c r="AE74" i="1"/>
  <c r="AL74" i="1"/>
  <c r="C75" i="1"/>
  <c r="E75" i="1"/>
  <c r="G75" i="1"/>
  <c r="I75" i="1"/>
  <c r="K75" i="1"/>
  <c r="M75" i="1"/>
  <c r="O75" i="1"/>
  <c r="Q75" i="1"/>
  <c r="S75" i="1"/>
  <c r="U75" i="1"/>
  <c r="W75" i="1"/>
  <c r="Y75" i="1"/>
  <c r="AA75" i="1"/>
  <c r="AC75" i="1"/>
  <c r="AE75" i="1"/>
  <c r="AL75" i="1"/>
  <c r="C76" i="1"/>
  <c r="E76" i="1"/>
  <c r="G76" i="1"/>
  <c r="I76" i="1"/>
  <c r="K76" i="1"/>
  <c r="M76" i="1"/>
  <c r="O76" i="1"/>
  <c r="Q76" i="1"/>
  <c r="S76" i="1"/>
  <c r="U76" i="1"/>
  <c r="W76" i="1"/>
  <c r="Y76" i="1"/>
  <c r="AA76" i="1"/>
  <c r="AC76" i="1"/>
  <c r="AE76" i="1"/>
  <c r="AL76" i="1"/>
  <c r="C77" i="1"/>
  <c r="E77" i="1"/>
  <c r="G77" i="1"/>
  <c r="I77" i="1"/>
  <c r="K77" i="1"/>
  <c r="M77" i="1"/>
  <c r="O77" i="1"/>
  <c r="Q77" i="1"/>
  <c r="S77" i="1"/>
  <c r="U77" i="1"/>
  <c r="W77" i="1"/>
  <c r="Y77" i="1"/>
  <c r="AA77" i="1"/>
  <c r="AC77" i="1"/>
  <c r="AE77" i="1"/>
  <c r="AL77" i="1"/>
  <c r="G78" i="1"/>
  <c r="M78" i="1"/>
  <c r="S78" i="1"/>
  <c r="AA78" i="1"/>
  <c r="AC78" i="1"/>
  <c r="G79" i="1"/>
  <c r="M79" i="1"/>
  <c r="S79" i="1"/>
  <c r="AA79" i="1"/>
  <c r="AC79" i="1"/>
  <c r="G80" i="1"/>
  <c r="M80" i="1"/>
  <c r="S80" i="1"/>
  <c r="Y80" i="1"/>
  <c r="AA80" i="1"/>
  <c r="AC80" i="1"/>
  <c r="C83" i="1"/>
  <c r="E83" i="1"/>
  <c r="G83" i="1"/>
  <c r="I83" i="1"/>
  <c r="K83" i="1"/>
  <c r="M83" i="1"/>
  <c r="O83" i="1"/>
  <c r="Q83" i="1"/>
  <c r="S83" i="1"/>
  <c r="U83" i="1"/>
  <c r="W83" i="1"/>
  <c r="Y83" i="1"/>
  <c r="AA83" i="1"/>
  <c r="AC83" i="1"/>
  <c r="AE83" i="1"/>
  <c r="AL83" i="1"/>
  <c r="C85" i="1"/>
  <c r="E85" i="1"/>
  <c r="G85" i="1"/>
  <c r="I85" i="1"/>
  <c r="K85" i="1"/>
  <c r="M85" i="1"/>
  <c r="O85" i="1"/>
  <c r="Q85" i="1"/>
  <c r="S85" i="1"/>
  <c r="U85" i="1"/>
  <c r="W85" i="1"/>
  <c r="Y85" i="1"/>
  <c r="AA85" i="1"/>
  <c r="AC85" i="1"/>
  <c r="AE85" i="1"/>
  <c r="C86" i="1"/>
  <c r="E86" i="1"/>
  <c r="G86" i="1"/>
  <c r="I86" i="1"/>
  <c r="K86" i="1"/>
  <c r="M86" i="1"/>
  <c r="O86" i="1"/>
  <c r="Q86" i="1"/>
  <c r="S86" i="1"/>
  <c r="U86" i="1"/>
  <c r="W86" i="1"/>
  <c r="Y86" i="1"/>
  <c r="AA86" i="1"/>
  <c r="AC86" i="1"/>
  <c r="AE86" i="1"/>
  <c r="AL86" i="1"/>
  <c r="C87" i="1"/>
  <c r="E87" i="1"/>
  <c r="G87" i="1"/>
  <c r="I87" i="1"/>
  <c r="K87" i="1"/>
  <c r="M87" i="1"/>
  <c r="O87" i="1"/>
  <c r="Q87" i="1"/>
  <c r="S87" i="1"/>
  <c r="U87" i="1"/>
  <c r="W87" i="1"/>
  <c r="Y87" i="1"/>
  <c r="AA87" i="1"/>
  <c r="AC87" i="1"/>
  <c r="AE87" i="1"/>
  <c r="AL87" i="1"/>
  <c r="C88" i="1"/>
  <c r="E88" i="1"/>
  <c r="G88" i="1"/>
  <c r="I88" i="1"/>
  <c r="K88" i="1"/>
  <c r="M88" i="1"/>
  <c r="O88" i="1"/>
  <c r="Q88" i="1"/>
  <c r="S88" i="1"/>
  <c r="U88" i="1"/>
  <c r="W88" i="1"/>
  <c r="Y88" i="1"/>
  <c r="AA88" i="1"/>
  <c r="AC88" i="1"/>
  <c r="AE88" i="1"/>
  <c r="AL88" i="1"/>
  <c r="C89" i="1"/>
  <c r="E89" i="1"/>
  <c r="G89" i="1"/>
  <c r="I89" i="1"/>
  <c r="K89" i="1"/>
  <c r="M89" i="1"/>
  <c r="O89" i="1"/>
  <c r="Q89" i="1"/>
  <c r="S89" i="1"/>
  <c r="U89" i="1"/>
  <c r="W89" i="1"/>
  <c r="Y89" i="1"/>
  <c r="AA89" i="1"/>
  <c r="AC89" i="1"/>
  <c r="AE89" i="1"/>
  <c r="C90" i="1"/>
  <c r="E90" i="1"/>
  <c r="G90" i="1"/>
  <c r="I90" i="1"/>
  <c r="K90" i="1"/>
  <c r="M90" i="1"/>
  <c r="O90" i="1"/>
  <c r="Q90" i="1"/>
  <c r="S90" i="1"/>
  <c r="U90" i="1"/>
  <c r="W90" i="1"/>
  <c r="Y90" i="1"/>
  <c r="AA90" i="1"/>
  <c r="AC90" i="1"/>
  <c r="AE90" i="1"/>
  <c r="AL90" i="1"/>
  <c r="C91" i="1"/>
  <c r="E91" i="1"/>
  <c r="G91" i="1"/>
  <c r="I91" i="1"/>
  <c r="K91" i="1"/>
  <c r="M91" i="1"/>
  <c r="O91" i="1"/>
  <c r="Q91" i="1"/>
  <c r="S91" i="1"/>
  <c r="U91" i="1"/>
  <c r="W91" i="1"/>
  <c r="Y91" i="1"/>
  <c r="AA91" i="1"/>
  <c r="AC91" i="1"/>
  <c r="AE91" i="1"/>
  <c r="AL91" i="1"/>
  <c r="C92" i="1"/>
  <c r="E92" i="1"/>
  <c r="G92" i="1"/>
  <c r="I92" i="1"/>
  <c r="K92" i="1"/>
  <c r="M92" i="1"/>
  <c r="O92" i="1"/>
  <c r="Q92" i="1"/>
  <c r="S92" i="1"/>
  <c r="U92" i="1"/>
  <c r="W92" i="1"/>
  <c r="Y92" i="1"/>
  <c r="AA92" i="1"/>
  <c r="AC92" i="1"/>
  <c r="AE92" i="1"/>
  <c r="AL92" i="1"/>
  <c r="C93" i="1"/>
  <c r="E93" i="1"/>
  <c r="G93" i="1"/>
  <c r="I93" i="1"/>
  <c r="K93" i="1"/>
  <c r="M93" i="1"/>
  <c r="O93" i="1"/>
  <c r="Q93" i="1"/>
  <c r="S93" i="1"/>
  <c r="U93" i="1"/>
  <c r="W93" i="1"/>
  <c r="Y93" i="1"/>
  <c r="AA93" i="1"/>
  <c r="AC93" i="1"/>
  <c r="AE93" i="1"/>
  <c r="AL93" i="1"/>
  <c r="C94" i="1"/>
  <c r="E94" i="1"/>
  <c r="G94" i="1"/>
  <c r="I94" i="1"/>
  <c r="K94" i="1"/>
  <c r="M94" i="1"/>
  <c r="O94" i="1"/>
  <c r="Q94" i="1"/>
  <c r="S94" i="1"/>
  <c r="U94" i="1"/>
  <c r="W94" i="1"/>
  <c r="Y94" i="1"/>
  <c r="AA94" i="1"/>
  <c r="AC94" i="1"/>
  <c r="AE94" i="1"/>
  <c r="AL94" i="1"/>
  <c r="C95" i="1"/>
  <c r="E95" i="1"/>
  <c r="G95" i="1"/>
  <c r="I95" i="1"/>
  <c r="K95" i="1"/>
  <c r="M95" i="1"/>
  <c r="O95" i="1"/>
  <c r="Q95" i="1"/>
  <c r="S95" i="1"/>
  <c r="U95" i="1"/>
  <c r="W95" i="1"/>
  <c r="Y95" i="1"/>
  <c r="AA95" i="1"/>
  <c r="AC95" i="1"/>
  <c r="AE95" i="1"/>
  <c r="AL95" i="1"/>
  <c r="C96" i="1"/>
  <c r="E96" i="1"/>
  <c r="G96" i="1"/>
  <c r="I96" i="1"/>
  <c r="K96" i="1"/>
  <c r="M96" i="1"/>
  <c r="O96" i="1"/>
  <c r="Q96" i="1"/>
  <c r="S96" i="1"/>
  <c r="U96" i="1"/>
  <c r="W96" i="1"/>
  <c r="Y96" i="1"/>
  <c r="AA96" i="1"/>
  <c r="AC96" i="1"/>
  <c r="AE96" i="1"/>
  <c r="AL96" i="1"/>
  <c r="C97" i="1"/>
  <c r="E97" i="1"/>
  <c r="G97" i="1"/>
  <c r="I97" i="1"/>
  <c r="K97" i="1"/>
  <c r="M97" i="1"/>
  <c r="O97" i="1"/>
  <c r="Q97" i="1"/>
  <c r="S97" i="1"/>
  <c r="U97" i="1"/>
  <c r="W97" i="1"/>
  <c r="Y97" i="1"/>
  <c r="AA97" i="1"/>
  <c r="AC97" i="1"/>
  <c r="AE97" i="1"/>
  <c r="AL97" i="1"/>
  <c r="B98" i="1"/>
  <c r="C98" i="1"/>
  <c r="E98" i="1"/>
  <c r="G98" i="1"/>
  <c r="I98" i="1"/>
  <c r="J98" i="1"/>
  <c r="K98" i="1"/>
  <c r="M98" i="1"/>
  <c r="O98" i="1"/>
  <c r="P98" i="1"/>
  <c r="Q98" i="1"/>
  <c r="R98" i="1"/>
  <c r="S98" i="1"/>
  <c r="U98" i="1"/>
  <c r="V98" i="1"/>
  <c r="W98" i="1"/>
  <c r="X98" i="1"/>
  <c r="Y98" i="1"/>
  <c r="AA98" i="1"/>
  <c r="AB98" i="1"/>
  <c r="AC98" i="1"/>
  <c r="AD98" i="1"/>
  <c r="AE98" i="1"/>
  <c r="AF98" i="1"/>
  <c r="AH98" i="1"/>
  <c r="AI98" i="1"/>
  <c r="AK98" i="1"/>
  <c r="AL98" i="1"/>
  <c r="G99" i="1"/>
  <c r="M99" i="1"/>
  <c r="S99" i="1"/>
  <c r="AA99" i="1"/>
  <c r="AC99" i="1"/>
  <c r="G100" i="1"/>
  <c r="M100" i="1"/>
  <c r="S100" i="1"/>
  <c r="AA100" i="1"/>
  <c r="AC100" i="1"/>
  <c r="G101" i="1"/>
  <c r="M101" i="1"/>
  <c r="S101" i="1"/>
  <c r="AA101" i="1"/>
  <c r="AC101" i="1"/>
  <c r="M102" i="1"/>
  <c r="S102" i="1"/>
  <c r="AE103" i="1"/>
  <c r="A4" i="6"/>
  <c r="B4" i="6"/>
  <c r="E4" i="6"/>
  <c r="F4" i="6"/>
  <c r="A5" i="6"/>
  <c r="B5" i="6"/>
  <c r="E5" i="6"/>
  <c r="F5" i="6"/>
  <c r="A6" i="6"/>
  <c r="B6" i="6"/>
  <c r="E6" i="6"/>
  <c r="F6" i="6"/>
  <c r="A7" i="6"/>
  <c r="B7" i="6"/>
  <c r="D7" i="6"/>
  <c r="E7" i="6"/>
  <c r="F7" i="6"/>
  <c r="A8" i="6"/>
  <c r="B8" i="6"/>
  <c r="D8" i="6"/>
  <c r="E8" i="6"/>
  <c r="F8" i="6"/>
  <c r="A9" i="6"/>
  <c r="B9" i="6"/>
  <c r="E9" i="6"/>
  <c r="F9" i="6"/>
  <c r="A10" i="6"/>
  <c r="B10" i="6"/>
  <c r="E10" i="6"/>
  <c r="F10" i="6"/>
  <c r="A11" i="6"/>
  <c r="B11" i="6"/>
  <c r="E11" i="6"/>
  <c r="F11" i="6"/>
  <c r="A12" i="6"/>
  <c r="B12" i="6"/>
  <c r="E12" i="6"/>
  <c r="F12" i="6"/>
  <c r="A13" i="6"/>
  <c r="B13" i="6"/>
  <c r="E13" i="6"/>
  <c r="F13" i="6"/>
  <c r="A14" i="6"/>
  <c r="B14" i="6"/>
  <c r="D14" i="6"/>
  <c r="E14" i="6"/>
  <c r="F14" i="6"/>
  <c r="A15" i="6"/>
  <c r="B15" i="6"/>
  <c r="D15" i="6"/>
  <c r="E15" i="6"/>
  <c r="F15" i="6"/>
  <c r="A16" i="6"/>
  <c r="B16" i="6"/>
  <c r="E16" i="6"/>
  <c r="F16" i="6"/>
  <c r="A17" i="6"/>
  <c r="B17" i="6"/>
  <c r="E17" i="6"/>
  <c r="F17" i="6"/>
  <c r="A18" i="6"/>
  <c r="B18" i="6"/>
  <c r="E18" i="6"/>
  <c r="F18" i="6"/>
  <c r="A19" i="6"/>
  <c r="B19" i="6"/>
  <c r="E19" i="6"/>
  <c r="F19" i="6"/>
  <c r="A20" i="6"/>
  <c r="B20" i="6"/>
  <c r="E20" i="6"/>
  <c r="F20" i="6"/>
  <c r="A21" i="6"/>
  <c r="B21" i="6"/>
  <c r="D21" i="6"/>
  <c r="E21" i="6"/>
  <c r="F21" i="6"/>
  <c r="A22" i="6"/>
  <c r="B22" i="6"/>
  <c r="D22" i="6"/>
  <c r="E22" i="6"/>
  <c r="F22" i="6"/>
  <c r="A23" i="6"/>
  <c r="B23" i="6"/>
  <c r="D23" i="6"/>
  <c r="E23" i="6"/>
  <c r="F23" i="6"/>
  <c r="A24" i="6"/>
  <c r="B24" i="6"/>
  <c r="D24" i="6"/>
  <c r="E24" i="6"/>
  <c r="F24" i="6"/>
  <c r="A25" i="6"/>
  <c r="B25" i="6"/>
  <c r="D25" i="6"/>
  <c r="E25" i="6"/>
  <c r="F25" i="6"/>
  <c r="A26" i="6"/>
  <c r="B26" i="6"/>
  <c r="D26" i="6"/>
  <c r="E26" i="6"/>
  <c r="F26" i="6"/>
  <c r="A27" i="6"/>
  <c r="B27" i="6"/>
  <c r="D27" i="6"/>
  <c r="E27" i="6"/>
  <c r="F27" i="6"/>
  <c r="A28" i="6"/>
  <c r="B28" i="6"/>
  <c r="D28" i="6"/>
  <c r="E28" i="6"/>
  <c r="F28" i="6"/>
  <c r="A29" i="6"/>
  <c r="B29" i="6"/>
  <c r="D29" i="6"/>
  <c r="E29" i="6"/>
  <c r="F29" i="6"/>
  <c r="A30" i="6"/>
  <c r="B30" i="6"/>
  <c r="D30" i="6"/>
  <c r="E30" i="6"/>
  <c r="F30" i="6"/>
  <c r="A31" i="6"/>
  <c r="B31" i="6"/>
  <c r="D31" i="6"/>
  <c r="E31" i="6"/>
  <c r="F31" i="6"/>
  <c r="A32" i="6"/>
  <c r="B32" i="6"/>
  <c r="D32" i="6"/>
  <c r="E32" i="6"/>
  <c r="F32" i="6"/>
  <c r="A33" i="6"/>
  <c r="B33" i="6"/>
  <c r="D33" i="6"/>
  <c r="E33" i="6"/>
  <c r="F33" i="6"/>
  <c r="A34" i="6"/>
  <c r="B34" i="6"/>
  <c r="D34" i="6"/>
  <c r="E34" i="6"/>
  <c r="F34" i="6"/>
  <c r="D36" i="6"/>
  <c r="F36" i="6"/>
  <c r="B1" i="13"/>
  <c r="B4" i="13"/>
  <c r="B5" i="13"/>
  <c r="B6" i="13"/>
  <c r="R9" i="13"/>
  <c r="S9" i="13"/>
  <c r="T9" i="13"/>
  <c r="R10" i="13"/>
  <c r="S10" i="13"/>
  <c r="T10" i="13"/>
  <c r="R11" i="13"/>
  <c r="S11" i="13"/>
  <c r="T11" i="13"/>
  <c r="R12" i="13"/>
  <c r="S12" i="13"/>
  <c r="T12" i="13"/>
  <c r="E14" i="13"/>
  <c r="L14" i="13"/>
  <c r="M14" i="13"/>
  <c r="N14" i="13"/>
  <c r="O14" i="13"/>
  <c r="P14" i="13"/>
  <c r="Q14" i="13"/>
  <c r="R14" i="13"/>
  <c r="S14" i="13"/>
  <c r="T14" i="13"/>
  <c r="E15" i="13"/>
  <c r="R15" i="13"/>
  <c r="S15" i="13"/>
  <c r="E16" i="13"/>
  <c r="R16" i="13"/>
  <c r="Y16" i="13"/>
  <c r="L17" i="13"/>
  <c r="M17" i="13"/>
  <c r="N17" i="13"/>
  <c r="O17" i="13"/>
  <c r="P17" i="13"/>
  <c r="Q17" i="13"/>
  <c r="R17" i="13"/>
  <c r="Y17" i="13"/>
  <c r="W18" i="13"/>
  <c r="X18" i="13"/>
  <c r="Y18" i="13"/>
  <c r="E19" i="13"/>
  <c r="R19" i="13"/>
  <c r="S19" i="13"/>
  <c r="T19" i="13"/>
  <c r="R20" i="13"/>
  <c r="S20" i="13"/>
  <c r="T20" i="13"/>
  <c r="Z20" i="13"/>
  <c r="R21" i="13"/>
  <c r="S21" i="13"/>
  <c r="T21" i="13"/>
  <c r="R22" i="13"/>
  <c r="S22" i="13"/>
  <c r="T22" i="13"/>
  <c r="E24" i="13"/>
  <c r="L24" i="13"/>
  <c r="M24" i="13"/>
  <c r="N24" i="13"/>
  <c r="O24" i="13"/>
  <c r="P24" i="13"/>
  <c r="Q24" i="13"/>
  <c r="R24" i="13"/>
  <c r="S24" i="13"/>
  <c r="T24" i="13"/>
  <c r="E25" i="13"/>
  <c r="E26" i="13"/>
  <c r="E30" i="13"/>
  <c r="E31" i="13"/>
  <c r="N31" i="13"/>
  <c r="E32" i="13"/>
  <c r="E33" i="13"/>
  <c r="E34" i="13"/>
  <c r="M34" i="13"/>
  <c r="N34" i="13"/>
  <c r="E35" i="13"/>
  <c r="E36" i="13"/>
  <c r="M36" i="13"/>
  <c r="N36" i="13"/>
  <c r="E38" i="13"/>
  <c r="M38" i="13"/>
  <c r="N38" i="13"/>
  <c r="C43" i="13"/>
  <c r="D43" i="13"/>
  <c r="E43" i="13"/>
  <c r="F43" i="13"/>
  <c r="G43" i="13"/>
  <c r="H43" i="13"/>
  <c r="I43" i="13"/>
  <c r="J43" i="13"/>
  <c r="K43" i="13"/>
  <c r="L43" i="13"/>
  <c r="M43" i="13"/>
  <c r="N43" i="13"/>
  <c r="O43" i="13"/>
  <c r="P43" i="13"/>
  <c r="Q43" i="13"/>
  <c r="R43" i="13"/>
  <c r="S43" i="13"/>
  <c r="T43" i="13"/>
  <c r="U43" i="13"/>
  <c r="V43" i="13"/>
  <c r="W43" i="13"/>
  <c r="X43" i="13"/>
  <c r="Y43" i="13"/>
  <c r="Z43" i="13"/>
  <c r="AA43" i="13"/>
  <c r="AB43" i="13"/>
  <c r="AC43" i="13"/>
  <c r="AD43" i="13"/>
  <c r="AE43" i="13"/>
  <c r="AF43" i="13"/>
  <c r="AG43" i="13"/>
  <c r="B44" i="13"/>
  <c r="C44" i="13"/>
  <c r="D44" i="13"/>
  <c r="E44" i="13"/>
  <c r="F44" i="13"/>
  <c r="G44" i="13"/>
  <c r="H44" i="13"/>
  <c r="I44" i="13"/>
  <c r="J44" i="13"/>
  <c r="K44" i="13"/>
  <c r="L44" i="13"/>
  <c r="M44" i="13"/>
  <c r="N44" i="13"/>
  <c r="O44" i="13"/>
  <c r="P44" i="13"/>
  <c r="Q44" i="13"/>
  <c r="R44" i="13"/>
  <c r="S44" i="13"/>
  <c r="T44" i="13"/>
  <c r="U44" i="13"/>
  <c r="V44" i="13"/>
  <c r="W44" i="13"/>
  <c r="X44" i="13"/>
  <c r="Y44" i="13"/>
  <c r="Z44" i="13"/>
  <c r="AA44" i="13"/>
  <c r="AB44" i="13"/>
  <c r="AC44" i="13"/>
  <c r="AD44" i="13"/>
  <c r="AE44" i="13"/>
  <c r="AF44" i="13"/>
  <c r="AG44" i="13"/>
  <c r="C45" i="13"/>
  <c r="D45" i="13"/>
  <c r="E45" i="13"/>
  <c r="F45" i="13"/>
  <c r="G45" i="13"/>
  <c r="H45" i="13"/>
  <c r="I45" i="13"/>
  <c r="J45" i="13"/>
  <c r="K45" i="13"/>
  <c r="L45" i="13"/>
  <c r="M45" i="13"/>
  <c r="N45" i="13"/>
  <c r="O45" i="13"/>
  <c r="P45" i="13"/>
  <c r="Q45" i="13"/>
  <c r="R45" i="13"/>
  <c r="S45" i="13"/>
  <c r="T45" i="13"/>
  <c r="U45" i="13"/>
  <c r="V45" i="13"/>
  <c r="W45" i="13"/>
  <c r="X45" i="13"/>
  <c r="Y45" i="13"/>
  <c r="Z45" i="13"/>
  <c r="AA45" i="13"/>
  <c r="AB45" i="13"/>
  <c r="AC45" i="13"/>
  <c r="AD45" i="13"/>
  <c r="AE45" i="13"/>
  <c r="AF45" i="13"/>
  <c r="AG45" i="13"/>
  <c r="B47" i="13"/>
  <c r="C47" i="13"/>
  <c r="D47" i="13"/>
  <c r="E47" i="13"/>
  <c r="H47" i="13"/>
  <c r="I47" i="13"/>
  <c r="J47" i="13"/>
  <c r="K47" i="13"/>
  <c r="L47" i="13"/>
  <c r="O47" i="13"/>
  <c r="P47" i="13"/>
  <c r="Q47" i="13"/>
  <c r="R47" i="13"/>
  <c r="S47" i="13"/>
  <c r="B48" i="13"/>
  <c r="B49" i="13"/>
  <c r="B50" i="13"/>
  <c r="B51" i="13"/>
  <c r="E51" i="13"/>
  <c r="S51" i="13"/>
  <c r="B52" i="13"/>
  <c r="B53" i="13"/>
  <c r="B54" i="13"/>
  <c r="B55" i="13"/>
  <c r="B56" i="13"/>
  <c r="B57" i="13"/>
  <c r="B58" i="13"/>
  <c r="B59" i="13"/>
  <c r="B60" i="13"/>
  <c r="B61" i="13"/>
  <c r="B62" i="13"/>
  <c r="C62" i="13"/>
  <c r="D62" i="13"/>
  <c r="E62" i="13"/>
  <c r="H62" i="13"/>
  <c r="I62" i="13"/>
  <c r="J62" i="13"/>
  <c r="K62" i="13"/>
  <c r="L62" i="13"/>
  <c r="O62" i="13"/>
  <c r="P62" i="13"/>
  <c r="Q62" i="13"/>
  <c r="R62" i="13"/>
  <c r="S62" i="13"/>
  <c r="B63" i="13"/>
  <c r="B64" i="13"/>
  <c r="B65" i="13"/>
  <c r="B66" i="13"/>
  <c r="B67" i="13"/>
  <c r="B68" i="13"/>
  <c r="B69" i="13"/>
  <c r="B70" i="13"/>
  <c r="B76" i="13"/>
  <c r="C81" i="13"/>
  <c r="D81" i="13"/>
  <c r="E81" i="13"/>
  <c r="F81" i="13"/>
  <c r="G81" i="13"/>
  <c r="H81" i="13"/>
  <c r="I81" i="13"/>
  <c r="J81" i="13"/>
  <c r="K81" i="13"/>
  <c r="L81" i="13"/>
  <c r="M81" i="13"/>
  <c r="N81" i="13"/>
  <c r="O81" i="13"/>
  <c r="P81" i="13"/>
  <c r="Q81" i="13"/>
  <c r="R81" i="13"/>
  <c r="S81" i="13"/>
  <c r="T81" i="13"/>
  <c r="U81" i="13"/>
  <c r="V81" i="13"/>
  <c r="W81" i="13"/>
  <c r="X81" i="13"/>
  <c r="Y81" i="13"/>
  <c r="Z81" i="13"/>
  <c r="AA81" i="13"/>
  <c r="AB81" i="13"/>
  <c r="AC81" i="13"/>
  <c r="AD81" i="13"/>
  <c r="AE81" i="13"/>
  <c r="AF81" i="13"/>
  <c r="AG81" i="13"/>
  <c r="B82" i="13"/>
  <c r="C82" i="13"/>
  <c r="D82" i="13"/>
  <c r="E82" i="13"/>
  <c r="F82" i="13"/>
  <c r="G82" i="13"/>
  <c r="H82" i="13"/>
  <c r="I82" i="13"/>
  <c r="J82" i="13"/>
  <c r="K82" i="13"/>
  <c r="L82" i="13"/>
  <c r="M82" i="13"/>
  <c r="N82" i="13"/>
  <c r="O82" i="13"/>
  <c r="P82" i="13"/>
  <c r="Q82" i="13"/>
  <c r="R82" i="13"/>
  <c r="S82" i="13"/>
  <c r="T82" i="13"/>
  <c r="U82" i="13"/>
  <c r="V82" i="13"/>
  <c r="W82" i="13"/>
  <c r="X82" i="13"/>
  <c r="Y82" i="13"/>
  <c r="Z82" i="13"/>
  <c r="AA82" i="13"/>
  <c r="AB82" i="13"/>
  <c r="AC82" i="13"/>
  <c r="AD82" i="13"/>
  <c r="AE82" i="13"/>
  <c r="AF82" i="13"/>
  <c r="AG82" i="13"/>
  <c r="C83" i="13"/>
  <c r="D83" i="13"/>
  <c r="E83" i="13"/>
  <c r="F83" i="13"/>
  <c r="G83" i="13"/>
  <c r="H83" i="13"/>
  <c r="I83" i="13"/>
  <c r="J83" i="13"/>
  <c r="K83" i="13"/>
  <c r="L83" i="13"/>
  <c r="M83" i="13"/>
  <c r="N83" i="13"/>
  <c r="O83" i="13"/>
  <c r="P83" i="13"/>
  <c r="Q83" i="13"/>
  <c r="R83" i="13"/>
  <c r="S83" i="13"/>
  <c r="T83" i="13"/>
  <c r="U83" i="13"/>
  <c r="V83" i="13"/>
  <c r="W83" i="13"/>
  <c r="X83" i="13"/>
  <c r="Y83" i="13"/>
  <c r="Z83" i="13"/>
  <c r="AA83" i="13"/>
  <c r="AB83" i="13"/>
  <c r="AC83" i="13"/>
  <c r="AD83" i="13"/>
  <c r="AE83" i="13"/>
  <c r="AF83" i="13"/>
  <c r="AG83" i="13"/>
  <c r="B85" i="13"/>
  <c r="B86" i="13"/>
  <c r="B87" i="13"/>
  <c r="B88" i="13"/>
  <c r="B89" i="13"/>
  <c r="B90" i="13"/>
  <c r="B91" i="13"/>
  <c r="B92" i="13"/>
  <c r="B93" i="13"/>
  <c r="B94" i="13"/>
  <c r="B95" i="13"/>
  <c r="B96" i="13"/>
  <c r="B97" i="13"/>
  <c r="B102" i="13"/>
  <c r="C104" i="13"/>
  <c r="D104" i="13"/>
  <c r="E104" i="13"/>
  <c r="F104" i="13"/>
  <c r="G104" i="13"/>
  <c r="H104" i="13"/>
  <c r="I104" i="13"/>
  <c r="J104" i="13"/>
  <c r="K104" i="13"/>
  <c r="L104" i="13"/>
  <c r="M104" i="13"/>
  <c r="N104" i="13"/>
  <c r="O104" i="13"/>
  <c r="P104" i="13"/>
  <c r="Q104" i="13"/>
  <c r="R104" i="13"/>
  <c r="S104" i="13"/>
  <c r="T104" i="13"/>
  <c r="U104" i="13"/>
  <c r="V104" i="13"/>
  <c r="W104" i="13"/>
  <c r="X104" i="13"/>
  <c r="Y104" i="13"/>
  <c r="Z104" i="13"/>
  <c r="AA104" i="13"/>
  <c r="AB104" i="13"/>
  <c r="AC104" i="13"/>
  <c r="AD104" i="13"/>
  <c r="AE104" i="13"/>
  <c r="AF104" i="13"/>
  <c r="AG104" i="13"/>
  <c r="B105" i="13"/>
  <c r="C105" i="13"/>
  <c r="D105" i="13"/>
  <c r="E105" i="13"/>
  <c r="F105" i="13"/>
  <c r="G105" i="13"/>
  <c r="H105" i="13"/>
  <c r="I105" i="13"/>
  <c r="J105" i="13"/>
  <c r="K105" i="13"/>
  <c r="L105" i="13"/>
  <c r="M105" i="13"/>
  <c r="N105" i="13"/>
  <c r="O105" i="13"/>
  <c r="P105" i="13"/>
  <c r="Q105" i="13"/>
  <c r="R105" i="13"/>
  <c r="S105" i="13"/>
  <c r="T105" i="13"/>
  <c r="U105" i="13"/>
  <c r="V105" i="13"/>
  <c r="W105" i="13"/>
  <c r="X105" i="13"/>
  <c r="Y105" i="13"/>
  <c r="Z105" i="13"/>
  <c r="AA105" i="13"/>
  <c r="AB105" i="13"/>
  <c r="AC105" i="13"/>
  <c r="AD105" i="13"/>
  <c r="AE105" i="13"/>
  <c r="AF105" i="13"/>
  <c r="AG105" i="13"/>
  <c r="C106" i="13"/>
  <c r="D106" i="13"/>
  <c r="E106" i="13"/>
  <c r="F106" i="13"/>
  <c r="G106" i="13"/>
  <c r="H106" i="13"/>
  <c r="I106" i="13"/>
  <c r="J106" i="13"/>
  <c r="K106" i="13"/>
  <c r="L106" i="13"/>
  <c r="M106" i="13"/>
  <c r="N106" i="13"/>
  <c r="O106" i="13"/>
  <c r="P106" i="13"/>
  <c r="Q106" i="13"/>
  <c r="R106" i="13"/>
  <c r="S106" i="13"/>
  <c r="T106" i="13"/>
  <c r="U106" i="13"/>
  <c r="V106" i="13"/>
  <c r="W106" i="13"/>
  <c r="X106" i="13"/>
  <c r="Y106" i="13"/>
  <c r="Z106" i="13"/>
  <c r="AA106" i="13"/>
  <c r="AB106" i="13"/>
  <c r="AC106" i="13"/>
  <c r="AD106" i="13"/>
  <c r="AE106" i="13"/>
  <c r="AF106" i="13"/>
  <c r="AG106" i="13"/>
  <c r="B108" i="13"/>
  <c r="B109" i="13"/>
  <c r="B110" i="13"/>
  <c r="B111" i="13"/>
  <c r="B112" i="13"/>
  <c r="B113" i="13"/>
  <c r="B118" i="13"/>
  <c r="L156" i="13"/>
  <c r="E159" i="13"/>
  <c r="L160" i="13"/>
  <c r="E185" i="13"/>
  <c r="M214" i="13"/>
  <c r="F238" i="13"/>
  <c r="B2" i="17"/>
  <c r="C19" i="17"/>
  <c r="B1" i="8"/>
  <c r="B4" i="8"/>
  <c r="B5" i="8"/>
  <c r="E9" i="8"/>
  <c r="R9" i="8"/>
  <c r="S9" i="8"/>
  <c r="T9" i="8"/>
  <c r="E10" i="8"/>
  <c r="R10" i="8"/>
  <c r="S10" i="8"/>
  <c r="T10" i="8"/>
  <c r="E11" i="8"/>
  <c r="R11" i="8"/>
  <c r="S11" i="8"/>
  <c r="T11" i="8"/>
  <c r="E12" i="8"/>
  <c r="R12" i="8"/>
  <c r="S12" i="8"/>
  <c r="T12" i="8"/>
  <c r="E13" i="8"/>
  <c r="E14" i="8"/>
  <c r="L14" i="8"/>
  <c r="M14" i="8"/>
  <c r="N14" i="8"/>
  <c r="O14" i="8"/>
  <c r="P14" i="8"/>
  <c r="Q14" i="8"/>
  <c r="R14" i="8"/>
  <c r="S14" i="8"/>
  <c r="T14" i="8"/>
  <c r="E15" i="8"/>
  <c r="R15" i="8"/>
  <c r="S15" i="8"/>
  <c r="E16" i="8"/>
  <c r="R16" i="8"/>
  <c r="Y16" i="8"/>
  <c r="L17" i="8"/>
  <c r="M17" i="8"/>
  <c r="N17" i="8"/>
  <c r="O17" i="8"/>
  <c r="P17" i="8"/>
  <c r="Q17" i="8"/>
  <c r="R17" i="8"/>
  <c r="Y17" i="8"/>
  <c r="W18" i="8"/>
  <c r="X18" i="8"/>
  <c r="Y18" i="8"/>
  <c r="E19" i="8"/>
  <c r="R19" i="8"/>
  <c r="S19" i="8"/>
  <c r="T19" i="8"/>
  <c r="R20" i="8"/>
  <c r="S20" i="8"/>
  <c r="T20" i="8"/>
  <c r="Z20" i="8"/>
  <c r="R21" i="8"/>
  <c r="S21" i="8"/>
  <c r="T21" i="8"/>
  <c r="R22" i="8"/>
  <c r="S22" i="8"/>
  <c r="T22" i="8"/>
  <c r="E23" i="8"/>
  <c r="E24" i="8"/>
  <c r="L24" i="8"/>
  <c r="M24" i="8"/>
  <c r="N24" i="8"/>
  <c r="O24" i="8"/>
  <c r="P24" i="8"/>
  <c r="Q24" i="8"/>
  <c r="R24" i="8"/>
  <c r="S24" i="8"/>
  <c r="T24" i="8"/>
  <c r="E25" i="8"/>
  <c r="E26" i="8"/>
  <c r="E30" i="8"/>
  <c r="E31" i="8"/>
  <c r="N31" i="8"/>
  <c r="E32" i="8"/>
  <c r="E33" i="8"/>
  <c r="E34" i="8"/>
  <c r="M34" i="8"/>
  <c r="N34" i="8"/>
  <c r="E35" i="8"/>
  <c r="E36" i="8"/>
  <c r="M36" i="8"/>
  <c r="N36" i="8"/>
  <c r="E38" i="8"/>
  <c r="M38" i="8"/>
  <c r="N38" i="8"/>
  <c r="C43" i="8"/>
  <c r="D43" i="8"/>
  <c r="E43" i="8"/>
  <c r="F43" i="8"/>
  <c r="G43" i="8"/>
  <c r="H43" i="8"/>
  <c r="I43" i="8"/>
  <c r="J43" i="8"/>
  <c r="K43" i="8"/>
  <c r="L43" i="8"/>
  <c r="M43" i="8"/>
  <c r="N43" i="8"/>
  <c r="O43" i="8"/>
  <c r="P43" i="8"/>
  <c r="Q43" i="8"/>
  <c r="R43" i="8"/>
  <c r="S43" i="8"/>
  <c r="T43" i="8"/>
  <c r="U43" i="8"/>
  <c r="V43" i="8"/>
  <c r="W43" i="8"/>
  <c r="X43" i="8"/>
  <c r="Y43" i="8"/>
  <c r="Z43" i="8"/>
  <c r="AA43" i="8"/>
  <c r="AB43" i="8"/>
  <c r="AC43" i="8"/>
  <c r="AD43" i="8"/>
  <c r="AE43" i="8"/>
  <c r="AF43" i="8"/>
  <c r="AG43" i="8"/>
  <c r="B44" i="8"/>
  <c r="C44" i="8"/>
  <c r="D44" i="8"/>
  <c r="E44" i="8"/>
  <c r="F44" i="8"/>
  <c r="G44" i="8"/>
  <c r="H44" i="8"/>
  <c r="I44" i="8"/>
  <c r="J44" i="8"/>
  <c r="K44" i="8"/>
  <c r="L44" i="8"/>
  <c r="M44" i="8"/>
  <c r="N44" i="8"/>
  <c r="O44" i="8"/>
  <c r="P44" i="8"/>
  <c r="Q44" i="8"/>
  <c r="R44" i="8"/>
  <c r="S44" i="8"/>
  <c r="T44" i="8"/>
  <c r="U44" i="8"/>
  <c r="V44" i="8"/>
  <c r="W44" i="8"/>
  <c r="X44" i="8"/>
  <c r="Y44" i="8"/>
  <c r="Z44" i="8"/>
  <c r="AA44" i="8"/>
  <c r="AB44" i="8"/>
  <c r="AC44" i="8"/>
  <c r="AD44" i="8"/>
  <c r="AE44" i="8"/>
  <c r="AF44" i="8"/>
  <c r="AG44" i="8"/>
  <c r="C45" i="8"/>
  <c r="D45" i="8"/>
  <c r="E45" i="8"/>
  <c r="F45" i="8"/>
  <c r="G45" i="8"/>
  <c r="H45" i="8"/>
  <c r="I45" i="8"/>
  <c r="J45" i="8"/>
  <c r="K45" i="8"/>
  <c r="L45" i="8"/>
  <c r="M45" i="8"/>
  <c r="N45" i="8"/>
  <c r="O45" i="8"/>
  <c r="P45" i="8"/>
  <c r="Q45" i="8"/>
  <c r="R45" i="8"/>
  <c r="S45" i="8"/>
  <c r="T45" i="8"/>
  <c r="U45" i="8"/>
  <c r="V45" i="8"/>
  <c r="W45" i="8"/>
  <c r="X45" i="8"/>
  <c r="Y45" i="8"/>
  <c r="Z45" i="8"/>
  <c r="AA45" i="8"/>
  <c r="AB45" i="8"/>
  <c r="AC45" i="8"/>
  <c r="AD45" i="8"/>
  <c r="AE45" i="8"/>
  <c r="AF45" i="8"/>
  <c r="AG45" i="8"/>
  <c r="B47" i="8"/>
  <c r="B48" i="8"/>
  <c r="B49" i="8"/>
  <c r="B50" i="8"/>
  <c r="B51" i="8"/>
  <c r="B52" i="8"/>
  <c r="B53" i="8"/>
  <c r="B54" i="8"/>
  <c r="B55" i="8"/>
  <c r="B56" i="8"/>
  <c r="B57" i="8"/>
  <c r="B58" i="8"/>
  <c r="B59" i="8"/>
  <c r="B60" i="8"/>
  <c r="B61" i="8"/>
  <c r="B62" i="8"/>
  <c r="B63" i="8"/>
  <c r="B64" i="8"/>
  <c r="B65" i="8"/>
  <c r="B66" i="8"/>
  <c r="B67" i="8"/>
  <c r="B68" i="8"/>
  <c r="B69" i="8"/>
  <c r="B70" i="8"/>
  <c r="B76" i="8"/>
  <c r="C81" i="8"/>
  <c r="D81" i="8"/>
  <c r="E81" i="8"/>
  <c r="F81" i="8"/>
  <c r="G81" i="8"/>
  <c r="H81" i="8"/>
  <c r="I81" i="8"/>
  <c r="J81" i="8"/>
  <c r="K81" i="8"/>
  <c r="L81" i="8"/>
  <c r="M81" i="8"/>
  <c r="N81" i="8"/>
  <c r="O81" i="8"/>
  <c r="P81" i="8"/>
  <c r="Q81" i="8"/>
  <c r="R81" i="8"/>
  <c r="S81" i="8"/>
  <c r="T81" i="8"/>
  <c r="U81" i="8"/>
  <c r="V81" i="8"/>
  <c r="W81" i="8"/>
  <c r="X81" i="8"/>
  <c r="Y81" i="8"/>
  <c r="Z81" i="8"/>
  <c r="AA81" i="8"/>
  <c r="AB81" i="8"/>
  <c r="AC81" i="8"/>
  <c r="AD81" i="8"/>
  <c r="AE81" i="8"/>
  <c r="AF81" i="8"/>
  <c r="AG81" i="8"/>
  <c r="B82" i="8"/>
  <c r="C82" i="8"/>
  <c r="D82" i="8"/>
  <c r="E82" i="8"/>
  <c r="F82" i="8"/>
  <c r="G82" i="8"/>
  <c r="H82" i="8"/>
  <c r="I82" i="8"/>
  <c r="J82" i="8"/>
  <c r="K82" i="8"/>
  <c r="L82" i="8"/>
  <c r="M82" i="8"/>
  <c r="N82" i="8"/>
  <c r="O82" i="8"/>
  <c r="P82" i="8"/>
  <c r="Q82" i="8"/>
  <c r="R82" i="8"/>
  <c r="S82" i="8"/>
  <c r="T82" i="8"/>
  <c r="U82" i="8"/>
  <c r="V82" i="8"/>
  <c r="W82" i="8"/>
  <c r="X82" i="8"/>
  <c r="Y82" i="8"/>
  <c r="Z82" i="8"/>
  <c r="AA82" i="8"/>
  <c r="AB82" i="8"/>
  <c r="AC82" i="8"/>
  <c r="AD82" i="8"/>
  <c r="AE82" i="8"/>
  <c r="AF82" i="8"/>
  <c r="AG82" i="8"/>
  <c r="C83" i="8"/>
  <c r="D83" i="8"/>
  <c r="E83" i="8"/>
  <c r="F83" i="8"/>
  <c r="G83" i="8"/>
  <c r="H83" i="8"/>
  <c r="I83" i="8"/>
  <c r="J83" i="8"/>
  <c r="K83" i="8"/>
  <c r="L83" i="8"/>
  <c r="M83" i="8"/>
  <c r="N83" i="8"/>
  <c r="O83" i="8"/>
  <c r="P83" i="8"/>
  <c r="Q83" i="8"/>
  <c r="R83" i="8"/>
  <c r="S83" i="8"/>
  <c r="T83" i="8"/>
  <c r="U83" i="8"/>
  <c r="V83" i="8"/>
  <c r="W83" i="8"/>
  <c r="X83" i="8"/>
  <c r="Y83" i="8"/>
  <c r="Z83" i="8"/>
  <c r="AA83" i="8"/>
  <c r="AB83" i="8"/>
  <c r="AC83" i="8"/>
  <c r="AD83" i="8"/>
  <c r="AE83" i="8"/>
  <c r="AF83" i="8"/>
  <c r="AG83" i="8"/>
  <c r="B85" i="8"/>
  <c r="B86" i="8"/>
  <c r="B87" i="8"/>
  <c r="B88" i="8"/>
  <c r="B89" i="8"/>
  <c r="B90" i="8"/>
  <c r="B91" i="8"/>
  <c r="B92" i="8"/>
  <c r="B93" i="8"/>
  <c r="B94" i="8"/>
  <c r="B95" i="8"/>
  <c r="B96" i="8"/>
  <c r="B97" i="8"/>
  <c r="B102" i="8"/>
  <c r="C104" i="8"/>
  <c r="D104" i="8"/>
  <c r="E104" i="8"/>
  <c r="F104" i="8"/>
  <c r="G104" i="8"/>
  <c r="H104" i="8"/>
  <c r="I104" i="8"/>
  <c r="J104" i="8"/>
  <c r="K104" i="8"/>
  <c r="L104" i="8"/>
  <c r="M104" i="8"/>
  <c r="N104" i="8"/>
  <c r="O104" i="8"/>
  <c r="P104" i="8"/>
  <c r="Q104" i="8"/>
  <c r="R104" i="8"/>
  <c r="S104" i="8"/>
  <c r="T104" i="8"/>
  <c r="U104" i="8"/>
  <c r="V104" i="8"/>
  <c r="W104" i="8"/>
  <c r="X104" i="8"/>
  <c r="Y104" i="8"/>
  <c r="Z104" i="8"/>
  <c r="AA104" i="8"/>
  <c r="AB104" i="8"/>
  <c r="AC104" i="8"/>
  <c r="AD104" i="8"/>
  <c r="AE104" i="8"/>
  <c r="AF104" i="8"/>
  <c r="AG104" i="8"/>
  <c r="B105" i="8"/>
  <c r="C105" i="8"/>
  <c r="D105" i="8"/>
  <c r="E105" i="8"/>
  <c r="F105" i="8"/>
  <c r="G105" i="8"/>
  <c r="H105" i="8"/>
  <c r="I105" i="8"/>
  <c r="J105" i="8"/>
  <c r="K105" i="8"/>
  <c r="L105" i="8"/>
  <c r="M105" i="8"/>
  <c r="N105" i="8"/>
  <c r="O105" i="8"/>
  <c r="P105" i="8"/>
  <c r="Q105" i="8"/>
  <c r="R105" i="8"/>
  <c r="S105" i="8"/>
  <c r="T105" i="8"/>
  <c r="U105" i="8"/>
  <c r="V105" i="8"/>
  <c r="W105" i="8"/>
  <c r="X105" i="8"/>
  <c r="Y105" i="8"/>
  <c r="Z105" i="8"/>
  <c r="AA105" i="8"/>
  <c r="AB105" i="8"/>
  <c r="AC105" i="8"/>
  <c r="AD105" i="8"/>
  <c r="AE105" i="8"/>
  <c r="AF105" i="8"/>
  <c r="AG105" i="8"/>
  <c r="C106" i="8"/>
  <c r="D106" i="8"/>
  <c r="E106" i="8"/>
  <c r="F106" i="8"/>
  <c r="G106" i="8"/>
  <c r="H106" i="8"/>
  <c r="I106" i="8"/>
  <c r="J106" i="8"/>
  <c r="K106" i="8"/>
  <c r="L106" i="8"/>
  <c r="M106" i="8"/>
  <c r="N106" i="8"/>
  <c r="O106" i="8"/>
  <c r="P106" i="8"/>
  <c r="Q106" i="8"/>
  <c r="R106" i="8"/>
  <c r="S106" i="8"/>
  <c r="T106" i="8"/>
  <c r="U106" i="8"/>
  <c r="V106" i="8"/>
  <c r="W106" i="8"/>
  <c r="X106" i="8"/>
  <c r="Y106" i="8"/>
  <c r="Z106" i="8"/>
  <c r="AA106" i="8"/>
  <c r="AB106" i="8"/>
  <c r="AC106" i="8"/>
  <c r="AD106" i="8"/>
  <c r="AE106" i="8"/>
  <c r="AF106" i="8"/>
  <c r="AG106" i="8"/>
  <c r="B108" i="8"/>
  <c r="B109" i="8"/>
  <c r="B110" i="8"/>
  <c r="B111" i="8"/>
  <c r="B112" i="8"/>
  <c r="B113" i="8"/>
  <c r="B118" i="8"/>
  <c r="E126" i="8"/>
  <c r="E129" i="8"/>
  <c r="E130" i="8"/>
  <c r="E131" i="8"/>
  <c r="E132" i="8"/>
  <c r="E133" i="8"/>
  <c r="E134" i="8"/>
  <c r="E135" i="8"/>
  <c r="E136" i="8"/>
  <c r="E137" i="8"/>
  <c r="E138" i="8"/>
  <c r="E141" i="8"/>
  <c r="E159" i="8"/>
  <c r="L159" i="8"/>
  <c r="E169" i="8"/>
  <c r="E185" i="8"/>
  <c r="M214" i="8"/>
  <c r="F238" i="8"/>
</calcChain>
</file>

<file path=xl/comments1.xml><?xml version="1.0" encoding="utf-8"?>
<comments xmlns="http://schemas.openxmlformats.org/spreadsheetml/2006/main">
  <authors>
    <author>cclark5</author>
  </authors>
  <commentList>
    <comment ref="AC103" authorId="0" shapeId="0">
      <text>
        <r>
          <rPr>
            <b/>
            <sz val="8"/>
            <color indexed="81"/>
            <rFont val="Tahoma"/>
          </rPr>
          <t>cclark5:</t>
        </r>
        <r>
          <rPr>
            <sz val="8"/>
            <color indexed="81"/>
            <rFont val="Tahoma"/>
          </rPr>
          <t xml:space="preserve">
remember to hardcode value here and in US colum for LTD Income as macro does not take care of this.</t>
        </r>
      </text>
    </comment>
  </commentList>
</comments>
</file>

<file path=xl/comments2.xml><?xml version="1.0" encoding="utf-8"?>
<comments xmlns="http://schemas.openxmlformats.org/spreadsheetml/2006/main">
  <authors>
    <author>nlaporte</author>
    <author>kreeve1</author>
  </authors>
  <commentList>
    <comment ref="H47" authorId="0" shapeId="0">
      <text>
        <r>
          <rPr>
            <b/>
            <sz val="8"/>
            <color indexed="81"/>
            <rFont val="Tahoma"/>
          </rPr>
          <t>nlaporte:</t>
        </r>
        <r>
          <rPr>
            <sz val="8"/>
            <color indexed="81"/>
            <rFont val="Tahoma"/>
          </rPr>
          <t xml:space="preserve">
Diff due to curve shift between 
Day 1 -unwound APEA deal Q39112 
Day 2-Killed the unwinding
Done by Kathy Reeves</t>
        </r>
      </text>
    </comment>
    <comment ref="B173" authorId="1" shapeId="0">
      <text>
        <r>
          <rPr>
            <b/>
            <sz val="12"/>
            <color indexed="81"/>
            <rFont val="Tahoma"/>
          </rPr>
          <t>kreeve1:</t>
        </r>
        <r>
          <rPr>
            <sz val="12"/>
            <color indexed="81"/>
            <rFont val="Tahoma"/>
          </rPr>
          <t xml:space="preserve">
EM5701</t>
        </r>
      </text>
    </comment>
  </commentList>
</comments>
</file>

<file path=xl/comments3.xml><?xml version="1.0" encoding="utf-8"?>
<comments xmlns="http://schemas.openxmlformats.org/spreadsheetml/2006/main">
  <authors>
    <author>kreeve1</author>
  </authors>
  <commentList>
    <comment ref="B173" authorId="0" shapeId="0">
      <text>
        <r>
          <rPr>
            <b/>
            <sz val="12"/>
            <color indexed="81"/>
            <rFont val="Tahoma"/>
          </rPr>
          <t>kreeve1:</t>
        </r>
        <r>
          <rPr>
            <sz val="12"/>
            <color indexed="81"/>
            <rFont val="Tahoma"/>
          </rPr>
          <t xml:space="preserve">
EM5701</t>
        </r>
      </text>
    </comment>
  </commentList>
</comments>
</file>

<file path=xl/comments4.xml><?xml version="1.0" encoding="utf-8"?>
<comments xmlns="http://schemas.openxmlformats.org/spreadsheetml/2006/main">
  <authors>
    <author>A satisfied Microsoft Office user</author>
  </authors>
  <commentList>
    <comment ref="U5" authorId="0" shapeId="0">
      <text>
        <r>
          <rPr>
            <sz val="12"/>
            <color indexed="81"/>
            <rFont val="Tahoma"/>
          </rPr>
          <t>Apr 9/98 deal E68516 &amp; E33178.  The term of the deal is Apr 99 to Mar 04.</t>
        </r>
      </text>
    </comment>
    <comment ref="X5" authorId="0" shapeId="0">
      <text>
        <r>
          <rPr>
            <sz val="12"/>
            <color indexed="81"/>
            <rFont val="Tahoma"/>
          </rPr>
          <t>Relates to deals with prepaid book Apr 14/99.  See also amount in Schedule C which is also a reserve for $353764</t>
        </r>
      </text>
    </comment>
    <comment ref="Y5" authorId="0" shapeId="0">
      <text>
        <r>
          <rPr>
            <sz val="12"/>
            <color indexed="81"/>
            <rFont val="Tahoma"/>
          </rPr>
          <t>To specifically reserve for Lavo's Wadd &amp; Parkway long term positions</t>
        </r>
      </text>
    </comment>
    <comment ref="AA5" authorId="0" shapeId="0">
      <text>
        <r>
          <rPr>
            <sz val="12"/>
            <color indexed="81"/>
            <rFont val="Tahoma"/>
          </rPr>
          <t>Oct 3/97 deal EF4175.  The term is Nov 97 to Oct 14.  Also related to Tarragon &amp; Morrison unwinds.</t>
        </r>
      </text>
    </comment>
    <comment ref="AB5" authorId="0" shapeId="0">
      <text>
        <r>
          <rPr>
            <sz val="12"/>
            <color indexed="81"/>
            <rFont val="Tahoma"/>
          </rPr>
          <t xml:space="preserve">Related to Humble Aquisition - June 29/98
</t>
        </r>
      </text>
    </comment>
    <comment ref="AC5" authorId="0" shapeId="0">
      <text>
        <r>
          <rPr>
            <sz val="12"/>
            <color indexed="81"/>
            <rFont val="Tahoma"/>
          </rPr>
          <t>Oct 2/98 deal EP6868 &amp; EP6856.  The term is Nov 98 to Oct 99.  We agree to Diversions</t>
        </r>
      </text>
    </comment>
    <comment ref="AD5" authorId="0" shapeId="0">
      <text>
        <r>
          <rPr>
            <sz val="12"/>
            <color indexed="81"/>
            <rFont val="Tahoma"/>
          </rPr>
          <t>Jan 28/98 EI4358 deal. Liquids deal.  The term is
 Nov 99 to Oct 08.</t>
        </r>
      </text>
    </comment>
    <comment ref="AL5" authorId="0" shapeId="0">
      <text>
        <r>
          <rPr>
            <sz val="12"/>
            <color indexed="81"/>
            <rFont val="Tahoma"/>
          </rPr>
          <t>June 23/99 - to reserve for mismark of Malin curve re:
curve re deals EY4503, EY4504 and EY4505</t>
        </r>
      </text>
    </comment>
  </commentList>
</comments>
</file>

<file path=xl/comments5.xml><?xml version="1.0" encoding="utf-8"?>
<comments xmlns="http://schemas.openxmlformats.org/spreadsheetml/2006/main">
  <authors>
    <author>nlaporte</author>
    <author>A satisfied Microsoft Office user</author>
    <author>ctorres</author>
  </authors>
  <commentList>
    <comment ref="Q5" authorId="0" shapeId="0">
      <text>
        <r>
          <rPr>
            <b/>
            <sz val="8"/>
            <color indexed="81"/>
            <rFont val="Tahoma"/>
          </rPr>
          <t>nlaporte:</t>
        </r>
        <r>
          <rPr>
            <sz val="8"/>
            <color indexed="81"/>
            <rFont val="Tahoma"/>
          </rPr>
          <t xml:space="preserve">
Remember to swith the formula back to $B$36 next month!!!!!!!!</t>
        </r>
      </text>
    </comment>
    <comment ref="C7" authorId="1" shapeId="0">
      <text>
        <r>
          <rPr>
            <sz val="10"/>
            <color indexed="81"/>
            <rFont val="Arial"/>
            <family val="2"/>
          </rPr>
          <t>In order for Houston to correctly pick up origination the date must be entered in the format M/D/YR.
Do not backdate deals  ie.  If origination is recorded in the DPR on the 5th then it must be dated the 5th (even if the deal had been actually done and recorded in TAGG on an earlier date.)</t>
        </r>
      </text>
    </comment>
    <comment ref="E9" authorId="0" shapeId="0">
      <text>
        <r>
          <rPr>
            <b/>
            <sz val="8"/>
            <color indexed="81"/>
            <rFont val="Tahoma"/>
          </rPr>
          <t>nlaporte:</t>
        </r>
        <r>
          <rPr>
            <sz val="8"/>
            <color indexed="81"/>
            <rFont val="Tahoma"/>
          </rPr>
          <t xml:space="preserve">
116,000 CAD transferred via an annuity to IM-WEST</t>
        </r>
      </text>
    </comment>
    <comment ref="E51" authorId="0" shapeId="0">
      <text>
        <r>
          <rPr>
            <b/>
            <sz val="8"/>
            <color indexed="81"/>
            <rFont val="Tahoma"/>
          </rPr>
          <t>nlaporte:</t>
        </r>
        <r>
          <rPr>
            <sz val="8"/>
            <color indexed="81"/>
            <rFont val="Tahoma"/>
          </rPr>
          <t xml:space="preserve">
Annuity from Houston
</t>
        </r>
      </text>
    </comment>
    <comment ref="E57" authorId="0" shapeId="0">
      <text>
        <r>
          <rPr>
            <b/>
            <sz val="8"/>
            <color indexed="81"/>
            <rFont val="Tahoma"/>
          </rPr>
          <t>nlaporte:</t>
        </r>
        <r>
          <rPr>
            <sz val="8"/>
            <color indexed="81"/>
            <rFont val="Tahoma"/>
          </rPr>
          <t xml:space="preserve">
Annuity from Houston</t>
        </r>
      </text>
    </comment>
    <comment ref="E129" authorId="0" shapeId="0">
      <text>
        <r>
          <rPr>
            <b/>
            <sz val="8"/>
            <color indexed="81"/>
            <rFont val="Tahoma"/>
          </rPr>
          <t>nlaporte:</t>
        </r>
        <r>
          <rPr>
            <sz val="8"/>
            <color indexed="81"/>
            <rFont val="Tahoma"/>
          </rPr>
          <t xml:space="preserve">
Negative orig due to Grant writing the deal into the book incorrectly on 7/5/2000
</t>
        </r>
      </text>
    </comment>
    <comment ref="E135" authorId="2" shapeId="0">
      <text>
        <r>
          <rPr>
            <b/>
            <sz val="8"/>
            <color indexed="81"/>
            <rFont val="Tahoma"/>
          </rPr>
          <t>ctorres:</t>
        </r>
        <r>
          <rPr>
            <sz val="8"/>
            <color indexed="81"/>
            <rFont val="Tahoma"/>
          </rPr>
          <t xml:space="preserve">
adjustment to origination petaining to months that were liquidated, causing a reduction in negative origination.
 </t>
        </r>
      </text>
    </comment>
    <comment ref="E144" authorId="2" shapeId="0">
      <text>
        <r>
          <rPr>
            <b/>
            <sz val="8"/>
            <color indexed="81"/>
            <rFont val="Tahoma"/>
          </rPr>
          <t>ctorres:</t>
        </r>
        <r>
          <rPr>
            <sz val="8"/>
            <color indexed="81"/>
            <rFont val="Tahoma"/>
          </rPr>
          <t xml:space="preserve">
Total orig for Aberfoyle deal, includes Prompt month.</t>
        </r>
      </text>
    </comment>
  </commentList>
</comments>
</file>

<file path=xl/sharedStrings.xml><?xml version="1.0" encoding="utf-8"?>
<sst xmlns="http://schemas.openxmlformats.org/spreadsheetml/2006/main" count="3469" uniqueCount="579">
  <si>
    <t>DAILY POSITION STATEMENT</t>
  </si>
  <si>
    <t xml:space="preserve">                                                                                            </t>
  </si>
  <si>
    <t>Approval:</t>
  </si>
  <si>
    <t>RISK BOOKS</t>
  </si>
  <si>
    <t>TOTAL</t>
  </si>
  <si>
    <t>CANADIAN GAS</t>
  </si>
  <si>
    <t>Post ID:</t>
  </si>
  <si>
    <t>Volumes  long/(short)  (Million MMbtu)</t>
  </si>
  <si>
    <t xml:space="preserve">     Volatility Factor (d)</t>
  </si>
  <si>
    <t xml:space="preserve">     Net NPV Position - Price</t>
  </si>
  <si>
    <t xml:space="preserve">     Net NPV Position - Basis</t>
  </si>
  <si>
    <t xml:space="preserve">     Net NPV Position - Foreign Currency (000s US$)</t>
  </si>
  <si>
    <t xml:space="preserve">     Net NPV Position - Index</t>
  </si>
  <si>
    <t xml:space="preserve">    Price Equivalent Net NPV Position</t>
  </si>
  <si>
    <t xml:space="preserve">     Gross Purchases Position</t>
  </si>
  <si>
    <t xml:space="preserve">     Gross Sales Position</t>
  </si>
  <si>
    <t xml:space="preserve">     Net Notional Position</t>
  </si>
  <si>
    <t xml:space="preserve"> </t>
  </si>
  <si>
    <t>PV Margins  (in thousands)</t>
  </si>
  <si>
    <t>LTD Through Prior Month</t>
  </si>
  <si>
    <t xml:space="preserve">     Gross Book Balance</t>
  </si>
  <si>
    <t xml:space="preserve">      Prudence</t>
  </si>
  <si>
    <t xml:space="preserve">      Liquidated</t>
  </si>
  <si>
    <r>
      <t xml:space="preserve">     Originated Transactions / </t>
    </r>
    <r>
      <rPr>
        <b/>
        <sz val="10"/>
        <rFont val="Times New Roman"/>
      </rPr>
      <t>CREDIT RESERVE</t>
    </r>
  </si>
  <si>
    <t>Comprised of:</t>
  </si>
  <si>
    <r>
      <t xml:space="preserve">     </t>
    </r>
    <r>
      <rPr>
        <u/>
        <sz val="10"/>
        <rFont val="Times New Roman"/>
        <family val="1"/>
      </rPr>
      <t>Hedge management</t>
    </r>
  </si>
  <si>
    <t xml:space="preserve">         Change in New Deals</t>
  </si>
  <si>
    <t xml:space="preserve">         Change in Price</t>
  </si>
  <si>
    <t xml:space="preserve">         Change in Basis Price</t>
  </si>
  <si>
    <t xml:space="preserve">         Change in Index Price</t>
  </si>
  <si>
    <t xml:space="preserve">         Change in Foreign Currency</t>
  </si>
  <si>
    <t xml:space="preserve">         Gamma</t>
  </si>
  <si>
    <t xml:space="preserve">         Change in Implied Volatility (Vega)</t>
  </si>
  <si>
    <t xml:space="preserve">         Theta</t>
  </si>
  <si>
    <t xml:space="preserve">         Change in Time</t>
  </si>
  <si>
    <t xml:space="preserve">         Broker Fees</t>
  </si>
  <si>
    <t xml:space="preserve">     Total Hedge Management</t>
  </si>
  <si>
    <t xml:space="preserve">     Change in Price Prudence</t>
  </si>
  <si>
    <t xml:space="preserve">     Other Changes</t>
  </si>
  <si>
    <t xml:space="preserve">     MTD Income (Loss) - Canadian Dollars</t>
  </si>
  <si>
    <t xml:space="preserve">     Translation Shift in US Dollars</t>
  </si>
  <si>
    <t xml:space="preserve">     Income (Loss) With Trans. Shift in US Dollars</t>
  </si>
  <si>
    <t xml:space="preserve">     Gross Book Balance (including Current Month Rho &amp; Drift)</t>
  </si>
  <si>
    <t xml:space="preserve">     Current Month: Rho</t>
  </si>
  <si>
    <t xml:space="preserve">                           Drift</t>
  </si>
  <si>
    <t xml:space="preserve">     Gross Book Balance (excluding Current Month Rho &amp; Drift)</t>
  </si>
  <si>
    <t xml:space="preserve">     Prudence</t>
  </si>
  <si>
    <t xml:space="preserve">     Liquidated</t>
  </si>
  <si>
    <t xml:space="preserve">     Prudence </t>
  </si>
  <si>
    <t xml:space="preserve">     Gross Recognized Balance with Trans Shift in USD</t>
  </si>
  <si>
    <t>Income (Loss) from Today's....</t>
  </si>
  <si>
    <t xml:space="preserve">     Originated Transactions </t>
  </si>
  <si>
    <t xml:space="preserve">     Total Income (Loss) - Canadian Dollars</t>
  </si>
  <si>
    <t xml:space="preserve">     Income (Loss) with Translation Shift in US Dollars</t>
  </si>
  <si>
    <t xml:space="preserve">     Income (Loss) Without Trans. Shift in US Dollars</t>
  </si>
  <si>
    <t xml:space="preserve">  </t>
  </si>
  <si>
    <t xml:space="preserve">   LTD Gross recognized as of prior day</t>
  </si>
  <si>
    <t xml:space="preserve">                                                                                                                                                                                                                                                               </t>
  </si>
  <si>
    <t xml:space="preserve">   Prior Day Origination</t>
  </si>
  <si>
    <t xml:space="preserve">   Prior Day Hedge Management</t>
  </si>
  <si>
    <t xml:space="preserve">         Prior Day Change in new Deals</t>
  </si>
  <si>
    <t xml:space="preserve">         Prior Day Change in Price</t>
  </si>
  <si>
    <t xml:space="preserve">         Prior Day Change in Basis Price</t>
  </si>
  <si>
    <t xml:space="preserve">         Prior Day Change in Index Price</t>
  </si>
  <si>
    <t xml:space="preserve">         Prior Day Change in Foreign Currency</t>
  </si>
  <si>
    <t xml:space="preserve">         Prior Day Gamma</t>
  </si>
  <si>
    <t xml:space="preserve">         Prior Day Change in Implied Volatility</t>
  </si>
  <si>
    <t xml:space="preserve">         Prior Day Theta</t>
  </si>
  <si>
    <t xml:space="preserve">         Prior Day Change in Time</t>
  </si>
  <si>
    <t xml:space="preserve">         Prior Day  Broker Fees</t>
  </si>
  <si>
    <t xml:space="preserve">   Prior Day Hedge Management - Total</t>
  </si>
  <si>
    <t xml:space="preserve">   Prior Day Prudency</t>
  </si>
  <si>
    <t xml:space="preserve">   Prior Day Other</t>
  </si>
  <si>
    <t>DO NOT ERASE - USED TO ROLL AT MONTH END</t>
  </si>
  <si>
    <t>==&gt;&gt;</t>
  </si>
  <si>
    <t>Roll Forward Schedule</t>
  </si>
  <si>
    <t>Book:</t>
  </si>
  <si>
    <t>Canadian Gas (C4) -East</t>
  </si>
  <si>
    <t>Canadian $</t>
  </si>
  <si>
    <t>Accounting Month:</t>
  </si>
  <si>
    <t>Date:</t>
  </si>
  <si>
    <t>Current Day Post ID:</t>
  </si>
  <si>
    <t>NOTIONAL VOLUMES</t>
  </si>
  <si>
    <t>CALCULATED LONG/SHORT</t>
  </si>
  <si>
    <t>Permanent Volume Adjustment</t>
  </si>
  <si>
    <t>Price Position</t>
  </si>
  <si>
    <t>Basis Position</t>
  </si>
  <si>
    <t>Currency Position</t>
  </si>
  <si>
    <t xml:space="preserve">               </t>
  </si>
  <si>
    <t>Long</t>
  </si>
  <si>
    <t>Short</t>
  </si>
  <si>
    <t>When system was changed over from Lotus to Oracle, a discrepancy</t>
  </si>
  <si>
    <t>I. Unrealized MTM Gain (Losses)</t>
  </si>
  <si>
    <t>Prior</t>
  </si>
  <si>
    <t>Today</t>
  </si>
  <si>
    <t>Source</t>
  </si>
  <si>
    <t>Current Day</t>
  </si>
  <si>
    <t>between the Oracle volumes and Lotus volumes was discovered</t>
  </si>
  <si>
    <t xml:space="preserve">     Mid P/L Swaps</t>
  </si>
  <si>
    <t>Man Input</t>
  </si>
  <si>
    <t>(Oracle  - P&amp;L Top Page)</t>
  </si>
  <si>
    <t xml:space="preserve">    Long</t>
  </si>
  <si>
    <t xml:space="preserve">     Mid P/L Options</t>
  </si>
  <si>
    <t xml:space="preserve">    Short</t>
  </si>
  <si>
    <t>An assumption was made the Lotus volumes (which were higher)  were more accurate;</t>
  </si>
  <si>
    <t xml:space="preserve">     NYMEX Options MTM Value</t>
  </si>
  <si>
    <t>(Oracle - Rpt RSX0280 - Options daily P/(L) Totl MTM)</t>
  </si>
  <si>
    <t xml:space="preserve">    Options</t>
  </si>
  <si>
    <t>therefore adjustment to Oracle volumes is as follows:</t>
  </si>
  <si>
    <t xml:space="preserve">     NYMEX Futures MTM Value</t>
  </si>
  <si>
    <t>(Oracle - NYMEX Accounting Summary Schedule)</t>
  </si>
  <si>
    <t xml:space="preserve">    Futures</t>
  </si>
  <si>
    <t xml:space="preserve">     Foreign Currency</t>
  </si>
  <si>
    <t>Use March 1995 as basis for adjustment</t>
  </si>
  <si>
    <t>PERMANENT</t>
  </si>
  <si>
    <t xml:space="preserve">     Rho/Drift  Adjustments - Schedule A</t>
  </si>
  <si>
    <t xml:space="preserve">Cell Ref </t>
  </si>
  <si>
    <t>Net Notional</t>
  </si>
  <si>
    <t>ADJUSTMENT</t>
  </si>
  <si>
    <t xml:space="preserve">     Transactions ex Oracle - Schedule B</t>
  </si>
  <si>
    <t>Volatility</t>
  </si>
  <si>
    <t>PER ORACLE</t>
  </si>
  <si>
    <t xml:space="preserve">PER ROLL </t>
  </si>
  <si>
    <t>(/1,000,000)</t>
  </si>
  <si>
    <t xml:space="preserve">     Perm Book Adjustments - Schedule C</t>
  </si>
  <si>
    <t>Net PV</t>
  </si>
  <si>
    <t>Purchase Position</t>
  </si>
  <si>
    <t>Sales Position</t>
  </si>
  <si>
    <t>Prior Month</t>
  </si>
  <si>
    <t>Net Position</t>
  </si>
  <si>
    <t>Current Month Gross Book Balance with Current Month Rho/Drift Impact)</t>
  </si>
  <si>
    <t>II. Prudency</t>
  </si>
  <si>
    <t xml:space="preserve">     Prior Month Prudency Balance</t>
  </si>
  <si>
    <t xml:space="preserve">     Current Month Prudency</t>
  </si>
  <si>
    <t xml:space="preserve">     Current Month Prudency Balance</t>
  </si>
  <si>
    <t xml:space="preserve">     Accounting Adjustments - Schedule D</t>
  </si>
  <si>
    <t xml:space="preserve">    Total Prudency</t>
  </si>
  <si>
    <t>III. Realized Gains (Losses)</t>
  </si>
  <si>
    <t>ROLL TESTS</t>
  </si>
  <si>
    <t>Book Balance</t>
  </si>
  <si>
    <t>Prudency</t>
  </si>
  <si>
    <t xml:space="preserve">     Prior Month LTD Liquidations</t>
  </si>
  <si>
    <t>Manual Input</t>
  </si>
  <si>
    <t xml:space="preserve">     Current Month Swap/Options Liquidations</t>
  </si>
  <si>
    <t>Cell Ref</t>
  </si>
  <si>
    <t xml:space="preserve">    Gross Book Balance</t>
  </si>
  <si>
    <t xml:space="preserve">     Current Month NYMEX Futures Liquidations</t>
  </si>
  <si>
    <t xml:space="preserve">    Prudency</t>
  </si>
  <si>
    <t xml:space="preserve">     Current Month NYMEX Option Premiums</t>
  </si>
  <si>
    <t xml:space="preserve">    LTD Liquidations</t>
  </si>
  <si>
    <t xml:space="preserve">     Current Month Broker Fees</t>
  </si>
  <si>
    <t xml:space="preserve">     Current Month Liquidation Adjustments (Book/Acct Recon)</t>
  </si>
  <si>
    <t>Current MTD Daily</t>
  </si>
  <si>
    <t>Daily Total Below</t>
  </si>
  <si>
    <t xml:space="preserve">     Prior Period Liquidations Adjustment - Sched E</t>
  </si>
  <si>
    <t xml:space="preserve">   Current Month LTD Liquidations</t>
  </si>
  <si>
    <t>Total</t>
  </si>
  <si>
    <t>IV. LTD Recognized</t>
  </si>
  <si>
    <t>Difference</t>
  </si>
  <si>
    <t>OTC</t>
  </si>
  <si>
    <t>DO NOT REMOVE</t>
  </si>
  <si>
    <t>Ttl Dly Chg =&gt;</t>
  </si>
  <si>
    <t>Value</t>
  </si>
  <si>
    <t>Day of the Week</t>
  </si>
  <si>
    <t>SENSITIVITY</t>
  </si>
  <si>
    <t>S</t>
  </si>
  <si>
    <t>M</t>
  </si>
  <si>
    <t>MTD Cumulative</t>
  </si>
  <si>
    <t>T</t>
  </si>
  <si>
    <t>Price Curve Shift</t>
  </si>
  <si>
    <t>W</t>
  </si>
  <si>
    <t>Basis Curve Shift</t>
  </si>
  <si>
    <t>R</t>
  </si>
  <si>
    <t>Index Curve Shift</t>
  </si>
  <si>
    <t>F</t>
  </si>
  <si>
    <t>Gas Daily Curve Shift</t>
  </si>
  <si>
    <t>FX Curve Shift</t>
  </si>
  <si>
    <t>Trans Ex Oracle Cve Sh</t>
  </si>
  <si>
    <t>New Deals</t>
  </si>
  <si>
    <t>Foreign Currency-FX Book</t>
  </si>
  <si>
    <t>Gamma</t>
  </si>
  <si>
    <t>Vega</t>
  </si>
  <si>
    <t>Theta</t>
  </si>
  <si>
    <t xml:space="preserve">Rho </t>
  </si>
  <si>
    <t>Drift</t>
  </si>
  <si>
    <t>Origination</t>
  </si>
  <si>
    <t>Liquidations - Book</t>
  </si>
  <si>
    <t>2nd Order</t>
  </si>
  <si>
    <t>FX Rho</t>
  </si>
  <si>
    <t>FX Drift</t>
  </si>
  <si>
    <t>Prepaid Amortization</t>
  </si>
  <si>
    <t>Broker Fees (s/b negative)</t>
  </si>
  <si>
    <t>Spot Liquidations</t>
  </si>
  <si>
    <t>Book/Act Recon Liquid</t>
  </si>
  <si>
    <t>Other (See schedule E)</t>
  </si>
  <si>
    <t xml:space="preserve">   "Other" Note reference</t>
  </si>
  <si>
    <t>Sched E Ref:</t>
  </si>
  <si>
    <t>Total Monthly Change</t>
  </si>
  <si>
    <t>EXCHANGE  (hidden)</t>
  </si>
  <si>
    <t>FUTURES</t>
  </si>
  <si>
    <t>2 Year Bonds</t>
  </si>
  <si>
    <t>5 Year Bonds</t>
  </si>
  <si>
    <t>10 Year Bonds</t>
  </si>
  <si>
    <t>30 Year Bonds</t>
  </si>
  <si>
    <t>Canadian Dollars</t>
  </si>
  <si>
    <t>Crude</t>
  </si>
  <si>
    <t>Eurodallars</t>
  </si>
  <si>
    <t>Gas</t>
  </si>
  <si>
    <t>Gas Crack</t>
  </si>
  <si>
    <t>Heat Crack</t>
  </si>
  <si>
    <t>Heat Oil</t>
  </si>
  <si>
    <t>Propane</t>
  </si>
  <si>
    <t>Unleaded</t>
  </si>
  <si>
    <t>Tot MTD Futures Liquid.</t>
  </si>
  <si>
    <t>OPTION PREMIUMS</t>
  </si>
  <si>
    <t>Tot MTD Opt.Prem Liquid.</t>
  </si>
  <si>
    <t>SUPPORTING SCHEDULES</t>
  </si>
  <si>
    <t>Schedule A: Rho &amp; Drift Adjustments</t>
  </si>
  <si>
    <t>Schedule B: Transactions Ex Oracle</t>
  </si>
  <si>
    <t>Date</t>
  </si>
  <si>
    <t>Description</t>
  </si>
  <si>
    <t>Amount</t>
  </si>
  <si>
    <t>1997</t>
  </si>
  <si>
    <t>Adj. Drift &amp; Rho-1997</t>
  </si>
  <si>
    <t>1998</t>
  </si>
  <si>
    <t>Adj. Drift &amp; Rho-1998</t>
  </si>
  <si>
    <t>Adj. Drift &amp; Rho-01/99</t>
  </si>
  <si>
    <t>Adj. Drift &amp; Rho-02/99</t>
  </si>
  <si>
    <t>Adj. Drift &amp; Rho-03/99</t>
  </si>
  <si>
    <t>Adj. Drift &amp; Rho-04/99</t>
  </si>
  <si>
    <t>Adj. Drift &amp; Rho-05/99</t>
  </si>
  <si>
    <t>Adj. Drift &amp; Rho-06/99</t>
  </si>
  <si>
    <t>Adj. Drift &amp; Rho-07/99</t>
  </si>
  <si>
    <t>Adj. Drift &amp; Rho-08/99</t>
  </si>
  <si>
    <t>Adj. Drift &amp; Rho-09/99</t>
  </si>
  <si>
    <t>Adj. Drift &amp; Rho-10/99</t>
  </si>
  <si>
    <t>Adj. Drift &amp; Rho-11/99</t>
  </si>
  <si>
    <t>Adj. Drift &amp; Rho-12/99</t>
  </si>
  <si>
    <t>Adj. Drift &amp; Rho-01/00</t>
  </si>
  <si>
    <t>Adj. Drift &amp; Rho-02/00</t>
  </si>
  <si>
    <t>Adj. Drift &amp; Rho-03/00</t>
  </si>
  <si>
    <t>Total Rho &amp; Drift Adjustments</t>
  </si>
  <si>
    <t>Total Transactions Ex Oracle</t>
  </si>
  <si>
    <t>Schedule C: Perm Book Adjustments</t>
  </si>
  <si>
    <t>Total Perm Book Adjustments</t>
  </si>
  <si>
    <t>Schedule D: Accounting Adjustments (Prudency)</t>
  </si>
  <si>
    <t>Number</t>
  </si>
  <si>
    <t>Deal Number</t>
  </si>
  <si>
    <t>Counterparty</t>
  </si>
  <si>
    <t>Total Accounting Adjustments (Prudency)</t>
  </si>
  <si>
    <t>Scedule E: Prior Period Liquidation Adjustments</t>
  </si>
  <si>
    <t>Total Prior Period Liquidation Adjustments</t>
  </si>
  <si>
    <t>95 Year End Bal:</t>
  </si>
  <si>
    <t>LTD Through 1995</t>
  </si>
  <si>
    <t>LTD Rho/Drift Adjustment through December 1996</t>
  </si>
  <si>
    <t>FX Adjustment - CNR Deal</t>
  </si>
  <si>
    <t xml:space="preserve">Prior (&lt;1/1/96) </t>
  </si>
  <si>
    <t>FX Swap</t>
  </si>
  <si>
    <t>US$ Adjustmnts</t>
  </si>
  <si>
    <t>00/00/1994</t>
  </si>
  <si>
    <t>Options not valued in Oracle</t>
  </si>
  <si>
    <t>converted 12/31/</t>
  </si>
  <si>
    <t>Basis swap Adj</t>
  </si>
  <si>
    <t>94 spot-1.3645</t>
  </si>
  <si>
    <t>1995 Adj: (1)Rho/drift reclass 344,142 (2) NXProm correction 572,282 (3) '95 P7 P&amp;L 1,356,433.</t>
  </si>
  <si>
    <t>Northern Border Hedge Unwind - see George Gilbert - approx  1160K USD</t>
  </si>
  <si>
    <t>Reverse Northern Border Hedge Unwind - see George Gilbert - approx  1160K USD</t>
  </si>
  <si>
    <t>Canadian Gas (CD) Options</t>
  </si>
  <si>
    <t xml:space="preserve">     Current Month Spot Liquidations</t>
  </si>
  <si>
    <t>Change in Existing Deals</t>
  </si>
  <si>
    <t>Prior Month Bal</t>
  </si>
  <si>
    <t>Total Prudency Balance</t>
  </si>
  <si>
    <t>Broker Fees (Intra Month)</t>
  </si>
  <si>
    <t>EXCHANGE</t>
  </si>
  <si>
    <t>LTD Through 1997</t>
  </si>
  <si>
    <t>LTD Rho/Drift Adjustment through December 1997</t>
  </si>
  <si>
    <t>LTD Through 1998</t>
  </si>
  <si>
    <t>LTD Rho/Drift Adjustment through December 1998</t>
  </si>
  <si>
    <t>C-1</t>
  </si>
  <si>
    <t>LTD Through 1994</t>
  </si>
  <si>
    <t>Adj. Drift &amp; Rho-1/99</t>
  </si>
  <si>
    <t>Adj. Drift &amp; Rho-2/99</t>
  </si>
  <si>
    <t>Adj. Drift &amp; Rho-3/99</t>
  </si>
  <si>
    <t>Adj. Drift &amp; Rho-4/99</t>
  </si>
  <si>
    <t>Adj. Drift &amp; Rho-5/99</t>
  </si>
  <si>
    <t>Adj. Drift &amp; Rho-6/99</t>
  </si>
  <si>
    <t>Adj. Drift &amp; Rho-7/99</t>
  </si>
  <si>
    <t>Adj. Drift &amp; Rho-8/99</t>
  </si>
  <si>
    <t>Adj. Drift &amp; Rho-9/99</t>
  </si>
  <si>
    <t>Prior Year Ending Spot:</t>
  </si>
  <si>
    <t>Daily</t>
  </si>
  <si>
    <t>MTD</t>
  </si>
  <si>
    <t>Curr Day</t>
  </si>
  <si>
    <t>Prior Month Average Spot</t>
  </si>
  <si>
    <t>Spot</t>
  </si>
  <si>
    <t>Average</t>
  </si>
  <si>
    <t>Mon. Avg</t>
  </si>
  <si>
    <t>TODAY'S SPOT</t>
  </si>
  <si>
    <t>PRUDENCY CALCULATION</t>
  </si>
  <si>
    <t>INPUT</t>
  </si>
  <si>
    <t>US$ Prud</t>
  </si>
  <si>
    <t>Converted</t>
  </si>
  <si>
    <t>CAD $</t>
  </si>
  <si>
    <t>Adjusted</t>
  </si>
  <si>
    <t>East</t>
  </si>
  <si>
    <t>Andersen</t>
  </si>
  <si>
    <t>Value per</t>
  </si>
  <si>
    <t>to CAN $$</t>
  </si>
  <si>
    <t>Offline</t>
  </si>
  <si>
    <t>HPL/CLC Adj</t>
  </si>
  <si>
    <t>Mid Market Reserve</t>
  </si>
  <si>
    <t>Note</t>
  </si>
  <si>
    <t>Beau Canada</t>
  </si>
  <si>
    <t>General</t>
  </si>
  <si>
    <t>Position</t>
  </si>
  <si>
    <t>Petro-C</t>
  </si>
  <si>
    <t>Humble</t>
  </si>
  <si>
    <t>Diverision</t>
  </si>
  <si>
    <t>CNRL</t>
  </si>
  <si>
    <t>EAST &amp;</t>
  </si>
  <si>
    <t>Summ Report</t>
  </si>
  <si>
    <t>Change</t>
  </si>
  <si>
    <t>(HPL/SHPCHAN)</t>
  </si>
  <si>
    <t>Open Position</t>
  </si>
  <si>
    <t>Funding</t>
  </si>
  <si>
    <t>Reserve</t>
  </si>
  <si>
    <t>WEST</t>
  </si>
  <si>
    <t>(Deduction)</t>
  </si>
  <si>
    <t>PRUDENCY TOTAL PER REPORT</t>
  </si>
  <si>
    <t>DIFFERENCE - s/b zero</t>
  </si>
  <si>
    <t>Canadian Gas</t>
  </si>
  <si>
    <t>US$ Conversion</t>
  </si>
  <si>
    <t>Jun Liqu Adj</t>
  </si>
  <si>
    <t>Foreign Currency</t>
  </si>
  <si>
    <t>Swap between books</t>
  </si>
  <si>
    <t>Basis Swap Adj</t>
  </si>
  <si>
    <t>ENRON CAPITAL &amp; TRADE RESOURCES CANADA CORP</t>
  </si>
  <si>
    <t>^ENRON RISK MANAGEMENT SERVICES CORP.</t>
  </si>
  <si>
    <t>Total Notional</t>
  </si>
  <si>
    <t>US Dollar</t>
  </si>
  <si>
    <t>Canadian Dollar</t>
  </si>
  <si>
    <t>Quantities (BBtu)</t>
  </si>
  <si>
    <t>Origination Value</t>
  </si>
  <si>
    <t>Deal #</t>
  </si>
  <si>
    <t>Customer</t>
  </si>
  <si>
    <t>ECT Origination</t>
  </si>
  <si>
    <t>Originator</t>
  </si>
  <si>
    <t>(Sales)</t>
  </si>
  <si>
    <t>Purchases</t>
  </si>
  <si>
    <t>(In Thousands)</t>
  </si>
  <si>
    <t>Credit Reserve</t>
  </si>
  <si>
    <t>EGS-Canada - Integrated Solutions</t>
  </si>
  <si>
    <t>TOTAL ORIGINATION</t>
  </si>
  <si>
    <t>1999</t>
  </si>
  <si>
    <t>Write off (over 10 yrs) FX Adjustment CNR Deal (Dec98)</t>
  </si>
  <si>
    <t xml:space="preserve">  Credit Reserve: (BR)</t>
  </si>
  <si>
    <t>Subtotal Alberta</t>
  </si>
  <si>
    <t>Mar 11/99</t>
  </si>
  <si>
    <t>Cosolidation of East with Alberta</t>
  </si>
  <si>
    <t xml:space="preserve">      LTD Income</t>
  </si>
  <si>
    <t xml:space="preserve">    YTD Income - Canadian Dollars</t>
  </si>
  <si>
    <t xml:space="preserve">    YTD Income (USD)</t>
  </si>
  <si>
    <t>April 14/99</t>
  </si>
  <si>
    <t>ENRON CAPITAL AND TRADE RESOURCES</t>
  </si>
  <si>
    <t>Options Index</t>
  </si>
  <si>
    <t>Subtotal Options</t>
  </si>
  <si>
    <t xml:space="preserve">     GAS DAILY SWAPS</t>
  </si>
  <si>
    <t>Blue Range MSA - to reverse P&amp;L impact - amount to be set up as a separate receivable</t>
  </si>
  <si>
    <t xml:space="preserve">     Options Gas Daily</t>
  </si>
  <si>
    <t>PGT Toll</t>
  </si>
  <si>
    <t>NB Toll</t>
  </si>
  <si>
    <t>BC</t>
  </si>
  <si>
    <t>Malin</t>
  </si>
  <si>
    <t>AS OF</t>
  </si>
  <si>
    <t>PGT Toll Reserve</t>
  </si>
  <si>
    <t>Northern Border Toll Reserve</t>
  </si>
  <si>
    <t>General Reserve</t>
  </si>
  <si>
    <t>Total Prudency</t>
  </si>
  <si>
    <t>The Northern Border toll curve is marked as a flat curve at the current toll rate.  This reserve is to provide for any escalation of the toll over the years.  We are short approx 36 contacts per month until Nov 08.</t>
  </si>
  <si>
    <t>Relates to CNRL liquids extraction deal done Jan 28/98.  The deals ends Oct 08.</t>
  </si>
  <si>
    <t>To generally provide for the subjective nature of mark to market accounting.</t>
  </si>
  <si>
    <t>The PGT toll curve is marked as a flat curve at the current toll rate.  This reserve is to provide for any escalation of the toll over the years.  We are short approx 20 contacts per month until Oct 05.</t>
  </si>
  <si>
    <t>Utility Index</t>
  </si>
  <si>
    <t>Bond Deals</t>
  </si>
  <si>
    <t>Relates to deals with the Prepaid book done Apr 14/99 - EV7251.  Included in the $2.1M is $353,764 which is in Schedule C.</t>
  </si>
  <si>
    <t>PRUDENCY SUMMARY</t>
  </si>
  <si>
    <t>Utility Index Bond Deals</t>
  </si>
  <si>
    <t>SUMMARY OF TOLLS</t>
  </si>
  <si>
    <t>Toll Name</t>
  </si>
  <si>
    <t>Description of Toll</t>
  </si>
  <si>
    <t>Comments</t>
  </si>
  <si>
    <t>TOLL:ABC/KING</t>
  </si>
  <si>
    <t>TOLL:AECO/ABC</t>
  </si>
  <si>
    <t>TOLL:AECO/EMP</t>
  </si>
  <si>
    <t>TOLL:AECO/MCNEIL</t>
  </si>
  <si>
    <t>TOLL:EMER/ST.CL</t>
  </si>
  <si>
    <t>TOLL:EMP/EAST.Z</t>
  </si>
  <si>
    <t>TOLL:EMP/EMER</t>
  </si>
  <si>
    <t>TOLL:EMP/WADD</t>
  </si>
  <si>
    <t>TOLL:KING/MALIN</t>
  </si>
  <si>
    <t>TOLL:MCNEIL/MON</t>
  </si>
  <si>
    <t>TOLL:MONCH/CHI</t>
  </si>
  <si>
    <t>TOLL:MONCH/VEN</t>
  </si>
  <si>
    <t>TOLL:SUMAS/STN2</t>
  </si>
  <si>
    <t>TOLL:WADD/BOS</t>
  </si>
  <si>
    <t>Nova tolls from Aeco to ABC</t>
  </si>
  <si>
    <t>Nova tolls from Aeco to Empress</t>
  </si>
  <si>
    <t>Nova tolls from Aeco to McNeil</t>
  </si>
  <si>
    <t>Great Lakes tolls from Emerson to St.Clair</t>
  </si>
  <si>
    <t>TCPL tolls from Empress to East Zone</t>
  </si>
  <si>
    <t>TCPL tolls from Empress to Emerson</t>
  </si>
  <si>
    <t>TCPL tolls from Empress to Waddington</t>
  </si>
  <si>
    <t>PGT tolls from Kingsgate to Malin</t>
  </si>
  <si>
    <t>ANG tolls from ABC to Kingsgate</t>
  </si>
  <si>
    <t>Foothills tolls from McNeil to Monchy</t>
  </si>
  <si>
    <t>Northern Border tolls from Monchy to Chicago</t>
  </si>
  <si>
    <t>Westcoast tolls from Sumas to Stn2</t>
  </si>
  <si>
    <t>IGT &amp; TGP tolls from Waddington to Boston Citygate</t>
  </si>
  <si>
    <t>Northern Border tolls from Monchy to Ventura</t>
  </si>
  <si>
    <t>Curve</t>
  </si>
  <si>
    <t>Currency/UOM</t>
  </si>
  <si>
    <t>Cad/GJ</t>
  </si>
  <si>
    <t>Usd/MM</t>
  </si>
  <si>
    <t>The curve is marked at $.12 for 31 day months and $.124 for 30 day months</t>
  </si>
  <si>
    <t>The curve is marked at $.936 till Oct 99; $.89 thereafter</t>
  </si>
  <si>
    <t>The curve is marked at $.992 till Oct 99; $.995 thereafter</t>
  </si>
  <si>
    <t>yes</t>
  </si>
  <si>
    <t>no</t>
  </si>
  <si>
    <t>We are aware of a scheduled decrease in tolls by $.05 for the year 2000 and thereafter but this is not reflected in the curve</t>
  </si>
  <si>
    <t xml:space="preserve">  need to continually monitored for any material changes.</t>
  </si>
  <si>
    <t xml:space="preserve">  curves were arrived at. For the most part the curves are based on current toll rates and are not adjusted for any anticipated rate changes.  The toll curves therefore</t>
  </si>
  <si>
    <t xml:space="preserve">Note:  The above curves were based on published rate schedules from the pipelines, and include all firm transportation charges.  Geri maintains a binder which supports how the </t>
  </si>
  <si>
    <t>Fuel %</t>
  </si>
  <si>
    <t>N/A</t>
  </si>
  <si>
    <t>CNRL Reserve (Milnthorp)</t>
  </si>
  <si>
    <t>Reversed  Annuity regarding Utility Bond Prepaid Deal deal (EV7251)</t>
  </si>
  <si>
    <t>Additional Toll Prudency in Schedule C</t>
  </si>
  <si>
    <t>Additional toll prudency added to schedule C July 22/99</t>
  </si>
  <si>
    <t>Back out MSA -Blue Range&amp; put into Orig. schedule</t>
  </si>
  <si>
    <t>NOTE:  DATE AND CUSTOMER INFO MUST</t>
  </si>
  <si>
    <t>BE ON THE SAME LINE AS THE</t>
  </si>
  <si>
    <t>CREDIT OR ORIG NUMBER</t>
  </si>
  <si>
    <t>FOR HOUSTON TO PICK IT</t>
  </si>
  <si>
    <t>UP CORRECTLY.</t>
  </si>
  <si>
    <t>Canadian Gas Options-Prop</t>
  </si>
  <si>
    <t>LTD Through December 31, 1999</t>
  </si>
  <si>
    <t>Write off (over 10 yrs) FX Adjustment CNR Deal (Jan 99-Dec99)</t>
  </si>
  <si>
    <t>MTM of exotics portfolio as of month end:</t>
  </si>
  <si>
    <t>Enron Canada Corp.</t>
  </si>
  <si>
    <t>Houston FX</t>
  </si>
  <si>
    <t>Check</t>
  </si>
  <si>
    <t xml:space="preserve">     MTD Income (Loss) - Canadian Dollars including origination and credit reserves</t>
  </si>
  <si>
    <t>Winter new deals</t>
  </si>
  <si>
    <t>Total new deals</t>
  </si>
  <si>
    <t>Remainder</t>
  </si>
  <si>
    <t>Price</t>
  </si>
  <si>
    <t>Index</t>
  </si>
  <si>
    <t>Annuity</t>
  </si>
  <si>
    <t>To zero out P7 Book Schedule C adjustments</t>
  </si>
  <si>
    <t>To zero out Scheule C of Canada's P7 book</t>
  </si>
  <si>
    <t>Roll Forward Schedules</t>
  </si>
  <si>
    <t>Post Ids</t>
  </si>
  <si>
    <t>3.</t>
  </si>
  <si>
    <t>Options C$ denominated</t>
  </si>
  <si>
    <t>1.</t>
  </si>
  <si>
    <t>2. Check Report tab to ensure current day's numbers are zero</t>
  </si>
  <si>
    <t>4. Fill in dates and current day's Post Ids</t>
  </si>
  <si>
    <t>To Provide for changes in toll rates</t>
  </si>
  <si>
    <t>BC MIGRATION</t>
  </si>
  <si>
    <t>Canadian Gas (C4) - AB &amp; BC</t>
  </si>
  <si>
    <t>Alberta and BC Index</t>
  </si>
  <si>
    <t>EOL Index</t>
  </si>
  <si>
    <t>Canadian Gas (C4) -EOL</t>
  </si>
  <si>
    <t>Cdn Gas (C4) - Alberta &amp; BC</t>
  </si>
  <si>
    <t>and BC</t>
  </si>
  <si>
    <t>Subtotal EOL</t>
  </si>
  <si>
    <t>EOL</t>
  </si>
  <si>
    <t>West Term</t>
  </si>
  <si>
    <t>Price FX deals (options or EOL)</t>
  </si>
  <si>
    <t>Adj. Drift &amp; Rho-04/00</t>
  </si>
  <si>
    <t xml:space="preserve">     Total Income (Loss) - Canadian Dollars - WEST &amp; EOL</t>
  </si>
  <si>
    <t>May 17th MidMonth trueup</t>
  </si>
  <si>
    <t>EOL Book</t>
  </si>
  <si>
    <t>TOTAL NEW DEALS - EOL and WEST TERM</t>
  </si>
  <si>
    <t>For Gas Alberta storage deal -NJ9955</t>
  </si>
  <si>
    <t>Gas Alberta Reserve</t>
  </si>
  <si>
    <t>MTM and Liquidations</t>
  </si>
  <si>
    <t>Adj. Drift &amp; Rho-05/00</t>
  </si>
  <si>
    <t>Original</t>
  </si>
  <si>
    <t>FX RATE</t>
  </si>
  <si>
    <t>FX GAIN/LOSS</t>
  </si>
  <si>
    <t>Exotics Book</t>
  </si>
  <si>
    <t>Straddle Migration</t>
  </si>
  <si>
    <t>Adj. Drift &amp; Rho-06/00</t>
  </si>
  <si>
    <t>Adj. Drift &amp; Rho-07/00</t>
  </si>
  <si>
    <t>To be written off by Dec 2009</t>
  </si>
  <si>
    <t>To be written off my March 2001</t>
  </si>
  <si>
    <t>Howard Sangwine</t>
  </si>
  <si>
    <t>Other</t>
  </si>
  <si>
    <t>Adj. Drift &amp; Rho-08/00</t>
  </si>
  <si>
    <t>Grant Oh</t>
  </si>
  <si>
    <t>Barry Tycholiz</t>
  </si>
  <si>
    <t>Derek Davies</t>
  </si>
  <si>
    <t>Andre Templeman</t>
  </si>
  <si>
    <t>Doug Paterson</t>
  </si>
  <si>
    <t>Cyntia Pastega</t>
  </si>
  <si>
    <t>Originator Names</t>
  </si>
  <si>
    <t>Rob Milnthorp</t>
  </si>
  <si>
    <t>Paul Devries</t>
  </si>
  <si>
    <t>Price (733710)</t>
  </si>
  <si>
    <t>Adj. Drift &amp; Rho-09/00</t>
  </si>
  <si>
    <t>Canadian Gas (C4) - BC Region</t>
  </si>
  <si>
    <t xml:space="preserve"> BC Index</t>
  </si>
  <si>
    <t>Cdn Gas (C4) -  BC</t>
  </si>
  <si>
    <t>Subtotal BC</t>
  </si>
  <si>
    <t>Amalgamated into Canadian Options Book</t>
  </si>
  <si>
    <t>Aberfoyle</t>
  </si>
  <si>
    <t xml:space="preserve">This amount has been entered due to the fact that stn2 is not a </t>
  </si>
  <si>
    <t>liquid market.</t>
  </si>
  <si>
    <t>Adj. Drift &amp; Rho-10/00</t>
  </si>
  <si>
    <t>Oct 31/00</t>
  </si>
  <si>
    <t>Q75270</t>
  </si>
  <si>
    <t>Q74966</t>
  </si>
  <si>
    <t>F/X on new deals</t>
  </si>
  <si>
    <t>N97767</t>
  </si>
  <si>
    <t>Q77885.1</t>
  </si>
  <si>
    <t>Q38619</t>
  </si>
  <si>
    <t>Rio Alto</t>
  </si>
  <si>
    <t>EV5032</t>
  </si>
  <si>
    <t>EZ0320</t>
  </si>
  <si>
    <t>CIBC</t>
  </si>
  <si>
    <t>Dow</t>
  </si>
  <si>
    <t>Q79306</t>
  </si>
  <si>
    <t>Q81797</t>
  </si>
  <si>
    <t>Energy West</t>
  </si>
  <si>
    <t>Q81773</t>
  </si>
  <si>
    <t>Q81934</t>
  </si>
  <si>
    <t>Omers</t>
  </si>
  <si>
    <t>Q81949</t>
  </si>
  <si>
    <t>Superman Resources</t>
  </si>
  <si>
    <t>ET3738</t>
  </si>
  <si>
    <t>CNR</t>
  </si>
  <si>
    <t>Dean Drozdiak</t>
  </si>
  <si>
    <t>Beau Credit Restructuring</t>
  </si>
  <si>
    <t>E78994.7</t>
  </si>
  <si>
    <t>E78994.6</t>
  </si>
  <si>
    <t>Q85782</t>
  </si>
  <si>
    <t>FT-NEWYORK</t>
  </si>
  <si>
    <t>Q84802</t>
  </si>
  <si>
    <t>GRANTECH</t>
  </si>
  <si>
    <t>ET3738.R</t>
  </si>
  <si>
    <t>ET3738.Q</t>
  </si>
  <si>
    <t>Q92019</t>
  </si>
  <si>
    <t>Gas Alberta</t>
  </si>
  <si>
    <t>NJ0334</t>
  </si>
  <si>
    <t>Forte Energy</t>
  </si>
  <si>
    <t>Q99077</t>
  </si>
  <si>
    <t>Q92019.2</t>
  </si>
  <si>
    <t>QA4228.4</t>
  </si>
  <si>
    <t>FT-Northwest</t>
  </si>
  <si>
    <t>QA5180.3</t>
  </si>
  <si>
    <t>Q4608</t>
  </si>
  <si>
    <t>Murphy Oil</t>
  </si>
  <si>
    <t>December new deals</t>
  </si>
  <si>
    <t>Price (733713)</t>
  </si>
  <si>
    <t>Nov-17-2000</t>
  </si>
  <si>
    <t>Exotics Option P&amp;L</t>
  </si>
  <si>
    <t>Exotics options</t>
  </si>
  <si>
    <t>QA9299</t>
  </si>
  <si>
    <t>QA9337</t>
  </si>
  <si>
    <t>QA9788</t>
  </si>
  <si>
    <t>PGE</t>
  </si>
  <si>
    <t>Other origination adjustment</t>
  </si>
  <si>
    <t>Jon McKay</t>
  </si>
  <si>
    <t>Chris Lambie</t>
  </si>
  <si>
    <t>$US</t>
  </si>
  <si>
    <t>John Disturnal</t>
  </si>
  <si>
    <t>Total Canadian</t>
  </si>
  <si>
    <t>Gas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</si>
</sst>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1">
    <numFmt numFmtId="5" formatCode="&quot;$&quot;#,##0_);\(&quot;$&quot;#,##0\)"/>
    <numFmt numFmtId="6" formatCode="&quot;$&quot;#,##0_);[Red]\(&quot;$&quot;#,##0\)"/>
    <numFmt numFmtId="7" formatCode="&quot;$&quot;#,##0.00_);\(&quot;$&quot;#,##0.00\)"/>
    <numFmt numFmtId="8" formatCode="&quot;$&quot;#,##0.00_);[Red]\(&quot;$&quot;#,##0.00\)"/>
    <numFmt numFmtId="41" formatCode="_(* #,##0_);_(* \(#,##0\);_(* &quot;-&quot;_);_(@_)"/>
    <numFmt numFmtId="164" formatCode="General_)"/>
    <numFmt numFmtId="165" formatCode="#,##0.0_);[Red]\(#,##0.0\)"/>
    <numFmt numFmtId="166" formatCode="#,##0.000_);[Red]\(#,##0.000\)"/>
    <numFmt numFmtId="167" formatCode="#,##0.0000_);[Red]\(#,##0.0000\)"/>
    <numFmt numFmtId="168" formatCode="#,##0.00000_);[Red]\(#,##0.00000\)"/>
    <numFmt numFmtId="169" formatCode="#,##0.000000_);[Red]\(#,##0.000000\)"/>
    <numFmt numFmtId="170" formatCode="&quot;$&quot;#,##0.0_);[Red]\(&quot;$&quot;#,##0.0\)"/>
    <numFmt numFmtId="171" formatCode="#,##0.0_);\(#,##0.0\)"/>
    <numFmt numFmtId="172" formatCode=";;;"/>
    <numFmt numFmtId="173" formatCode="dd\-mmm\-yy_)"/>
    <numFmt numFmtId="175" formatCode="&quot;As of &quot;mmmm\ dd\,\ yyyy"/>
    <numFmt numFmtId="176" formatCode="&quot;Through &quot;mmmm\ dd\,\ yyyy"/>
    <numFmt numFmtId="177" formatCode="&quot;Change since &quot;mmmm\ dd\,\ yyyy"/>
    <numFmt numFmtId="178" formatCode="mm/dd"/>
    <numFmt numFmtId="179" formatCode="&quot;LTD Through &quot;mmmm\ dd\,\ yyyy"/>
    <numFmt numFmtId="180" formatCode="&quot;MTD Through &quot;mmmm\ dd\,\ yyyy"/>
    <numFmt numFmtId="181" formatCode="&quot;YTD Through &quot;mmmm\ dd\,\ yyyy"/>
    <numFmt numFmtId="183" formatCode="#,##0.000_);\(#,##0.000\)"/>
    <numFmt numFmtId="186" formatCode="\C&quot;$&quot;#,##0_);\(\C&quot;$&quot;#,##0\)"/>
    <numFmt numFmtId="188" formatCode="#,##0.0000_);\(#,##0.0000\)"/>
    <numFmt numFmtId="189" formatCode="0.00000"/>
    <numFmt numFmtId="190" formatCode="0.0000"/>
    <numFmt numFmtId="192" formatCode="_(\C&quot;$&quot;* #,##0_);_(\C&quot;$&quot;* \(#,##0\);_(\C&quot;$&quot;* &quot;0&quot;_);_(@_)"/>
    <numFmt numFmtId="198" formatCode="0.000"/>
    <numFmt numFmtId="209" formatCode="&quot;$&quot;#,##0.000_);[Red]\(&quot;$&quot;#,##0.000\)"/>
    <numFmt numFmtId="210" formatCode="&quot;$&quot;#,##0.0000_);[Red]\(&quot;$&quot;#,##0.0000\)"/>
    <numFmt numFmtId="213" formatCode="#,##0.0000000000_);[Red]\(#,##0.0000000000\)"/>
    <numFmt numFmtId="220" formatCode="#,##0.00000_);\(#,##0.00000\)"/>
    <numFmt numFmtId="225" formatCode="&quot;$&quot;#,##0.000000_);\(&quot;$&quot;#,##0.000000\)"/>
    <numFmt numFmtId="226" formatCode="mmmm\ d\,\ yyyy"/>
    <numFmt numFmtId="227" formatCode="d\-mmm\-yyyy"/>
    <numFmt numFmtId="228" formatCode="###\ ###"/>
    <numFmt numFmtId="229" formatCode="_(&quot;$&quot;* #,##0.0000_);_(&quot;$&quot;* \(#,##0.0000\);_(&quot;$&quot;* &quot;-&quot;????_);_(@_)"/>
    <numFmt numFmtId="233" formatCode="0.000000000000"/>
    <numFmt numFmtId="239" formatCode="#,##0.0000000_);\(#,##0.0000000\)"/>
    <numFmt numFmtId="240" formatCode="_(\U&quot;$&quot;* #,##0_);_(\U&quot;$&quot;* \(#,##0\);_(\U&quot;$&quot;* &quot;0&quot;_);_(@_)"/>
  </numFmts>
  <fonts count="76" x14ac:knownFonts="1">
    <font>
      <sz val="10"/>
      <name val="Arial"/>
    </font>
    <font>
      <b/>
      <sz val="10"/>
      <name val="Arial"/>
    </font>
    <font>
      <sz val="10"/>
      <name val="Arial"/>
    </font>
    <font>
      <sz val="10"/>
      <name val="Tms Rmn"/>
    </font>
    <font>
      <sz val="10"/>
      <name val="Times New Roman"/>
      <family val="1"/>
    </font>
    <font>
      <b/>
      <sz val="10"/>
      <name val="Times New Roman"/>
      <family val="1"/>
    </font>
    <font>
      <b/>
      <sz val="10"/>
      <color indexed="12"/>
      <name val="Times New Roman"/>
      <family val="1"/>
    </font>
    <font>
      <sz val="10"/>
      <color indexed="39"/>
      <name val="Times New Roman"/>
      <family val="1"/>
    </font>
    <font>
      <b/>
      <u/>
      <sz val="10"/>
      <name val="Times New Roman"/>
      <family val="1"/>
    </font>
    <font>
      <sz val="10"/>
      <color indexed="12"/>
      <name val="Times New Roman"/>
      <family val="1"/>
    </font>
    <font>
      <sz val="10"/>
      <color indexed="8"/>
      <name val="Times New Roman"/>
      <family val="1"/>
    </font>
    <font>
      <b/>
      <sz val="10"/>
      <color indexed="16"/>
      <name val="Times New Roman"/>
      <family val="1"/>
    </font>
    <font>
      <b/>
      <sz val="12"/>
      <color indexed="8"/>
      <name val="Times New Roman"/>
      <family val="1"/>
    </font>
    <font>
      <b/>
      <sz val="12"/>
      <color indexed="16"/>
      <name val="Times New Roman"/>
      <family val="1"/>
    </font>
    <font>
      <b/>
      <i/>
      <sz val="11"/>
      <color indexed="12"/>
      <name val="Times New Roman"/>
      <family val="1"/>
    </font>
    <font>
      <b/>
      <u/>
      <sz val="10"/>
      <color indexed="16"/>
      <name val="Times New Roman"/>
      <family val="1"/>
    </font>
    <font>
      <sz val="10"/>
      <color indexed="16"/>
      <name val="Times New Roman"/>
      <family val="1"/>
    </font>
    <font>
      <b/>
      <sz val="10"/>
      <name val="Times New Roman"/>
    </font>
    <font>
      <b/>
      <i/>
      <u/>
      <sz val="10"/>
      <name val="Times New Roman"/>
      <family val="1"/>
    </font>
    <font>
      <b/>
      <sz val="10"/>
      <color indexed="8"/>
      <name val="Times New Roman"/>
      <family val="1"/>
    </font>
    <font>
      <u/>
      <sz val="10"/>
      <name val="Times New Roman"/>
      <family val="1"/>
    </font>
    <font>
      <sz val="10"/>
      <name val="Times New Roman"/>
    </font>
    <font>
      <i/>
      <u/>
      <sz val="10"/>
      <name val="Times New Roman"/>
      <family val="1"/>
    </font>
    <font>
      <b/>
      <i/>
      <sz val="10"/>
      <name val="Times New Roman"/>
      <family val="1"/>
    </font>
    <font>
      <b/>
      <i/>
      <sz val="10"/>
      <name val="Times New Roman"/>
    </font>
    <font>
      <b/>
      <i/>
      <sz val="12"/>
      <name val="Times New Roman"/>
      <family val="1"/>
    </font>
    <font>
      <b/>
      <i/>
      <u/>
      <sz val="12"/>
      <name val="Times New Roman"/>
      <family val="1"/>
    </font>
    <font>
      <b/>
      <sz val="10"/>
      <color indexed="37"/>
      <name val="Times New Roman"/>
      <family val="1"/>
    </font>
    <font>
      <b/>
      <sz val="10"/>
      <name val="Arial"/>
      <family val="2"/>
    </font>
    <font>
      <sz val="10"/>
      <name val="Arial"/>
      <family val="2"/>
    </font>
    <font>
      <sz val="10"/>
      <color indexed="33"/>
      <name val="Arial"/>
      <family val="2"/>
    </font>
    <font>
      <sz val="10"/>
      <color indexed="18"/>
      <name val="Times New Roman"/>
      <family val="1"/>
    </font>
    <font>
      <sz val="10"/>
      <color indexed="10"/>
      <name val="Times New Roman"/>
      <family val="1"/>
    </font>
    <font>
      <b/>
      <sz val="8"/>
      <name val="Times New Roman"/>
      <family val="1"/>
    </font>
    <font>
      <sz val="8"/>
      <name val="Times New Roman"/>
      <family val="1"/>
    </font>
    <font>
      <b/>
      <sz val="8"/>
      <color indexed="16"/>
      <name val="Times New Roman"/>
      <family val="1"/>
    </font>
    <font>
      <b/>
      <sz val="10"/>
      <color indexed="10"/>
      <name val="Arial"/>
      <family val="2"/>
    </font>
    <font>
      <sz val="10"/>
      <color indexed="12"/>
      <name val="Arial"/>
      <family val="2"/>
    </font>
    <font>
      <b/>
      <sz val="10"/>
      <color indexed="12"/>
      <name val="Arial"/>
      <family val="2"/>
    </font>
    <font>
      <b/>
      <u/>
      <sz val="10"/>
      <name val="Arial"/>
      <family val="2"/>
    </font>
    <font>
      <i/>
      <u/>
      <sz val="10"/>
      <name val="Arial"/>
      <family val="2"/>
    </font>
    <font>
      <u/>
      <sz val="10"/>
      <name val="Arial"/>
      <family val="2"/>
    </font>
    <font>
      <sz val="12"/>
      <color indexed="81"/>
      <name val="Tahoma"/>
    </font>
    <font>
      <sz val="10"/>
      <color indexed="81"/>
      <name val="Arial"/>
      <family val="2"/>
    </font>
    <font>
      <b/>
      <sz val="12"/>
      <color indexed="81"/>
      <name val="Tahoma"/>
    </font>
    <font>
      <sz val="8"/>
      <color indexed="81"/>
      <name val="Tahoma"/>
    </font>
    <font>
      <b/>
      <sz val="8"/>
      <color indexed="81"/>
      <name val="Tahoma"/>
    </font>
    <font>
      <i/>
      <sz val="10"/>
      <name val="Arial"/>
      <family val="2"/>
    </font>
    <font>
      <b/>
      <i/>
      <sz val="10"/>
      <name val="Arial"/>
      <family val="2"/>
    </font>
    <font>
      <b/>
      <sz val="13"/>
      <name val="Arial"/>
      <family val="2"/>
    </font>
    <font>
      <i/>
      <sz val="6"/>
      <name val="Arial"/>
      <family val="2"/>
    </font>
    <font>
      <b/>
      <i/>
      <u/>
      <sz val="10"/>
      <name val="Arial"/>
      <family val="2"/>
    </font>
    <font>
      <sz val="10"/>
      <name val="Arial"/>
    </font>
    <font>
      <sz val="10"/>
      <name val="Arial"/>
    </font>
    <font>
      <sz val="10"/>
      <color indexed="39"/>
      <name val="Arial"/>
      <family val="2"/>
    </font>
    <font>
      <b/>
      <sz val="10"/>
      <color indexed="10"/>
      <name val="Arial Black"/>
      <family val="2"/>
    </font>
    <font>
      <b/>
      <sz val="18"/>
      <name val="Arial"/>
      <family val="2"/>
    </font>
    <font>
      <b/>
      <sz val="12"/>
      <name val="Arial"/>
      <family val="2"/>
    </font>
    <font>
      <b/>
      <sz val="16"/>
      <name val="Arial"/>
      <family val="2"/>
    </font>
    <font>
      <b/>
      <sz val="9"/>
      <color indexed="10"/>
      <name val="Times New Roman"/>
      <family val="1"/>
    </font>
    <font>
      <sz val="6"/>
      <name val="Arial"/>
      <family val="2"/>
    </font>
    <font>
      <sz val="10"/>
      <color indexed="8"/>
      <name val="Arial"/>
      <family val="2"/>
    </font>
    <font>
      <b/>
      <i/>
      <sz val="11"/>
      <color indexed="12"/>
      <name val="Arial"/>
      <family val="2"/>
    </font>
    <font>
      <b/>
      <sz val="10"/>
      <color indexed="16"/>
      <name val="Arial"/>
      <family val="2"/>
    </font>
    <font>
      <b/>
      <sz val="10"/>
      <color indexed="8"/>
      <name val="Arial"/>
      <family val="2"/>
    </font>
    <font>
      <b/>
      <sz val="12"/>
      <color indexed="8"/>
      <name val="Arial"/>
      <family val="2"/>
    </font>
    <font>
      <b/>
      <sz val="12"/>
      <color indexed="16"/>
      <name val="Arial"/>
      <family val="2"/>
    </font>
    <font>
      <b/>
      <u/>
      <sz val="10"/>
      <color indexed="16"/>
      <name val="Arial"/>
      <family val="2"/>
    </font>
    <font>
      <sz val="10"/>
      <color indexed="16"/>
      <name val="Arial"/>
      <family val="2"/>
    </font>
    <font>
      <b/>
      <sz val="14"/>
      <name val="Arial"/>
      <family val="2"/>
    </font>
    <font>
      <b/>
      <sz val="10"/>
      <color indexed="56"/>
      <name val="Arial"/>
      <family val="2"/>
    </font>
    <font>
      <u/>
      <sz val="7.5"/>
      <color indexed="12"/>
      <name val="Arial"/>
    </font>
    <font>
      <sz val="10"/>
      <color indexed="56"/>
      <name val="Arial"/>
      <family val="2"/>
    </font>
    <font>
      <sz val="7"/>
      <name val="Arial"/>
      <family val="2"/>
    </font>
    <font>
      <b/>
      <sz val="10"/>
      <color indexed="9"/>
      <name val="Arial"/>
      <family val="2"/>
    </font>
    <font>
      <b/>
      <sz val="9"/>
      <name val="Arial"/>
      <family val="2"/>
    </font>
  </fonts>
  <fills count="17">
    <fill>
      <patternFill patternType="none"/>
    </fill>
    <fill>
      <patternFill patternType="gray125"/>
    </fill>
    <fill>
      <patternFill patternType="solid">
        <fgColor indexed="22"/>
      </patternFill>
    </fill>
    <fill>
      <patternFill patternType="solid">
        <fgColor indexed="43"/>
        <bgColor indexed="64"/>
      </patternFill>
    </fill>
    <fill>
      <patternFill patternType="solid">
        <fgColor indexed="65"/>
        <bgColor indexed="63"/>
      </patternFill>
    </fill>
    <fill>
      <patternFill patternType="solid">
        <fgColor indexed="65"/>
        <bgColor indexed="64"/>
      </patternFill>
    </fill>
    <fill>
      <patternFill patternType="solid">
        <fgColor indexed="13"/>
        <bgColor indexed="64"/>
      </patternFill>
    </fill>
    <fill>
      <patternFill patternType="solid">
        <fgColor indexed="9"/>
        <bgColor indexed="64"/>
      </patternFill>
    </fill>
    <fill>
      <patternFill patternType="solid">
        <fgColor indexed="65"/>
        <bgColor indexed="8"/>
      </patternFill>
    </fill>
    <fill>
      <patternFill patternType="solid">
        <fgColor indexed="22"/>
        <bgColor indexed="64"/>
      </patternFill>
    </fill>
    <fill>
      <patternFill patternType="solid">
        <fgColor indexed="26"/>
        <bgColor indexed="64"/>
      </patternFill>
    </fill>
    <fill>
      <patternFill patternType="solid">
        <fgColor indexed="26"/>
        <bgColor indexed="8"/>
      </patternFill>
    </fill>
    <fill>
      <patternFill patternType="solid">
        <fgColor indexed="42"/>
        <bgColor indexed="64"/>
      </patternFill>
    </fill>
    <fill>
      <patternFill patternType="solid">
        <fgColor indexed="15"/>
        <bgColor indexed="64"/>
      </patternFill>
    </fill>
    <fill>
      <patternFill patternType="solid">
        <fgColor indexed="49"/>
        <bgColor indexed="64"/>
      </patternFill>
    </fill>
    <fill>
      <patternFill patternType="solid">
        <fgColor indexed="26"/>
        <bgColor indexed="9"/>
      </patternFill>
    </fill>
    <fill>
      <patternFill patternType="solid">
        <fgColor indexed="18"/>
        <bgColor indexed="64"/>
      </patternFill>
    </fill>
  </fills>
  <borders count="66">
    <border>
      <left/>
      <right/>
      <top/>
      <bottom/>
      <diagonal/>
    </border>
    <border>
      <left/>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ck">
        <color indexed="64"/>
      </bottom>
      <diagonal/>
    </border>
    <border>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ck">
        <color indexed="64"/>
      </top>
      <bottom/>
      <diagonal/>
    </border>
    <border>
      <left/>
      <right style="thick">
        <color indexed="64"/>
      </right>
      <top style="thick">
        <color indexed="64"/>
      </top>
      <bottom/>
      <diagonal/>
    </border>
    <border>
      <left style="medium">
        <color indexed="64"/>
      </left>
      <right/>
      <top style="medium">
        <color indexed="64"/>
      </top>
      <bottom/>
      <diagonal/>
    </border>
    <border>
      <left/>
      <right/>
      <top style="medium">
        <color indexed="64"/>
      </top>
      <bottom/>
      <diagonal/>
    </border>
    <border>
      <left style="thick">
        <color indexed="64"/>
      </left>
      <right/>
      <top/>
      <bottom/>
      <diagonal/>
    </border>
    <border>
      <left style="medium">
        <color indexed="64"/>
      </left>
      <right/>
      <top/>
      <bottom/>
      <diagonal/>
    </border>
    <border>
      <left/>
      <right style="medium">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ck">
        <color indexed="64"/>
      </right>
      <top/>
      <bottom/>
      <diagonal/>
    </border>
    <border>
      <left style="thin">
        <color indexed="64"/>
      </left>
      <right style="thick">
        <color indexed="64"/>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right style="medium">
        <color indexed="64"/>
      </right>
      <top/>
      <bottom style="medium">
        <color indexed="64"/>
      </bottom>
      <diagonal/>
    </border>
    <border>
      <left style="thick">
        <color indexed="64"/>
      </left>
      <right style="thin">
        <color indexed="64"/>
      </right>
      <top/>
      <bottom style="thin">
        <color indexed="64"/>
      </bottom>
      <diagonal/>
    </border>
    <border>
      <left/>
      <right style="thick">
        <color indexed="64"/>
      </right>
      <top/>
      <bottom/>
      <diagonal/>
    </border>
    <border>
      <left/>
      <right style="thick">
        <color indexed="64"/>
      </right>
      <top style="thin">
        <color indexed="64"/>
      </top>
      <bottom style="double">
        <color indexed="64"/>
      </bottom>
      <diagonal/>
    </border>
    <border>
      <left/>
      <right style="thick">
        <color indexed="64"/>
      </right>
      <top/>
      <bottom style="thin">
        <color indexed="64"/>
      </bottom>
      <diagonal/>
    </border>
    <border>
      <left style="thick">
        <color indexed="64"/>
      </left>
      <right style="thin">
        <color indexed="64"/>
      </right>
      <top/>
      <bottom/>
      <diagonal/>
    </border>
    <border>
      <left/>
      <right/>
      <top style="thick">
        <color indexed="64"/>
      </top>
      <bottom style="medium">
        <color indexed="64"/>
      </bottom>
      <diagonal/>
    </border>
    <border>
      <left style="thick">
        <color indexed="64"/>
      </left>
      <right/>
      <top style="thick">
        <color indexed="64"/>
      </top>
      <bottom style="medium">
        <color indexed="64"/>
      </bottom>
      <diagonal/>
    </border>
    <border>
      <left style="thick">
        <color indexed="64"/>
      </left>
      <right/>
      <top/>
      <bottom style="medium">
        <color indexed="64"/>
      </bottom>
      <diagonal/>
    </border>
    <border>
      <left/>
      <right style="thick">
        <color indexed="64"/>
      </right>
      <top style="thick">
        <color indexed="64"/>
      </top>
      <bottom style="medium">
        <color indexed="64"/>
      </bottom>
      <diagonal/>
    </border>
    <border>
      <left/>
      <right style="thick">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thick">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style="hair">
        <color indexed="64"/>
      </bottom>
      <diagonal/>
    </border>
    <border>
      <left/>
      <right style="thin">
        <color indexed="64"/>
      </right>
      <top style="thin">
        <color indexed="64"/>
      </top>
      <bottom/>
      <diagonal/>
    </border>
  </borders>
  <cellStyleXfs count="5">
    <xf numFmtId="0" fontId="0" fillId="0" borderId="0"/>
    <xf numFmtId="40" fontId="2" fillId="0" borderId="0" applyFont="0" applyFill="0" applyBorder="0" applyAlignment="0" applyProtection="0"/>
    <xf numFmtId="8" fontId="2" fillId="0" borderId="0" applyFont="0" applyFill="0" applyBorder="0" applyAlignment="0" applyProtection="0"/>
    <xf numFmtId="0" fontId="71" fillId="0" borderId="0" applyNumberFormat="0" applyFill="0" applyBorder="0" applyAlignment="0" applyProtection="0">
      <alignment vertical="top"/>
      <protection locked="0"/>
    </xf>
    <xf numFmtId="164" fontId="3" fillId="0" borderId="0"/>
  </cellStyleXfs>
  <cellXfs count="856">
    <xf numFmtId="0" fontId="0" fillId="0" borderId="0" xfId="0"/>
    <xf numFmtId="0" fontId="4" fillId="0" borderId="0" xfId="0" applyFont="1"/>
    <xf numFmtId="14" fontId="4" fillId="0" borderId="0" xfId="0" applyNumberFormat="1" applyFont="1"/>
    <xf numFmtId="22" fontId="4" fillId="0" borderId="0" xfId="0" applyNumberFormat="1" applyFont="1"/>
    <xf numFmtId="0" fontId="4" fillId="0" borderId="0" xfId="0" quotePrefix="1" applyFont="1" applyAlignment="1">
      <alignment horizontal="left"/>
    </xf>
    <xf numFmtId="0" fontId="4" fillId="0" borderId="1" xfId="0" applyFont="1" applyBorder="1"/>
    <xf numFmtId="5" fontId="4" fillId="0" borderId="0" xfId="0" applyNumberFormat="1" applyFont="1"/>
    <xf numFmtId="37" fontId="4" fillId="0" borderId="2" xfId="0" applyNumberFormat="1" applyFont="1" applyBorder="1"/>
    <xf numFmtId="5" fontId="4" fillId="0" borderId="0" xfId="0" applyNumberFormat="1" applyFont="1" applyBorder="1"/>
    <xf numFmtId="0" fontId="4" fillId="0" borderId="0" xfId="0" applyFont="1" applyBorder="1"/>
    <xf numFmtId="40" fontId="4" fillId="0" borderId="0" xfId="1" applyNumberFormat="1" applyFont="1" applyBorder="1"/>
    <xf numFmtId="0" fontId="5" fillId="0" borderId="0" xfId="0" applyFont="1"/>
    <xf numFmtId="173" fontId="4" fillId="0" borderId="0" xfId="0" applyNumberFormat="1" applyFont="1" applyProtection="1"/>
    <xf numFmtId="37" fontId="4" fillId="0" borderId="0" xfId="0" applyNumberFormat="1" applyFont="1"/>
    <xf numFmtId="15" fontId="5" fillId="0" borderId="0" xfId="0" applyNumberFormat="1" applyFont="1" applyAlignment="1">
      <alignment horizontal="left"/>
    </xf>
    <xf numFmtId="15" fontId="5" fillId="0" borderId="0" xfId="0" applyNumberFormat="1" applyFont="1"/>
    <xf numFmtId="37" fontId="6" fillId="0" borderId="0" xfId="0" applyNumberFormat="1" applyFont="1"/>
    <xf numFmtId="37" fontId="5" fillId="0" borderId="0" xfId="0" applyNumberFormat="1" applyFont="1"/>
    <xf numFmtId="37" fontId="7" fillId="0" borderId="3" xfId="0" applyNumberFormat="1" applyFont="1" applyBorder="1"/>
    <xf numFmtId="37" fontId="4" fillId="0" borderId="0" xfId="0" quotePrefix="1" applyNumberFormat="1" applyFont="1"/>
    <xf numFmtId="38" fontId="7" fillId="0" borderId="0" xfId="1" applyNumberFormat="1" applyFont="1"/>
    <xf numFmtId="37" fontId="7" fillId="0" borderId="4" xfId="0" applyNumberFormat="1" applyFont="1" applyBorder="1"/>
    <xf numFmtId="37" fontId="4" fillId="0" borderId="4" xfId="0" applyNumberFormat="1" applyFont="1" applyBorder="1"/>
    <xf numFmtId="37" fontId="8" fillId="0" borderId="0" xfId="0" applyNumberFormat="1" applyFont="1" applyBorder="1"/>
    <xf numFmtId="37" fontId="4" fillId="0" borderId="0" xfId="0" applyNumberFormat="1" applyFont="1" applyBorder="1"/>
    <xf numFmtId="37" fontId="5" fillId="0" borderId="5" xfId="0" applyNumberFormat="1" applyFont="1" applyBorder="1"/>
    <xf numFmtId="38" fontId="9" fillId="0" borderId="0" xfId="1" applyNumberFormat="1" applyFont="1" applyBorder="1"/>
    <xf numFmtId="38" fontId="4" fillId="0" borderId="0" xfId="1" applyNumberFormat="1" applyFont="1" applyBorder="1"/>
    <xf numFmtId="37" fontId="9" fillId="0" borderId="4" xfId="0" applyNumberFormat="1" applyFont="1" applyBorder="1"/>
    <xf numFmtId="37" fontId="10" fillId="0" borderId="4" xfId="0" applyNumberFormat="1" applyFont="1" applyBorder="1"/>
    <xf numFmtId="37" fontId="11" fillId="0" borderId="3" xfId="0" applyNumberFormat="1" applyFont="1" applyBorder="1" applyAlignment="1">
      <alignment horizontal="center"/>
    </xf>
    <xf numFmtId="37" fontId="11" fillId="0" borderId="5" xfId="0" applyNumberFormat="1" applyFont="1" applyBorder="1" applyAlignment="1">
      <alignment horizontal="center"/>
    </xf>
    <xf numFmtId="37" fontId="11" fillId="0" borderId="5" xfId="0" applyNumberFormat="1" applyFont="1" applyBorder="1" applyAlignment="1">
      <alignment horizontal="right"/>
    </xf>
    <xf numFmtId="37" fontId="4" fillId="0" borderId="0" xfId="0" applyNumberFormat="1" applyFont="1" applyBorder="1" applyAlignment="1">
      <alignment horizontal="center"/>
    </xf>
    <xf numFmtId="37" fontId="11" fillId="0" borderId="6" xfId="0" applyNumberFormat="1" applyFont="1" applyBorder="1" applyAlignment="1">
      <alignment horizontal="center"/>
    </xf>
    <xf numFmtId="37" fontId="11" fillId="0" borderId="7" xfId="0" applyNumberFormat="1" applyFont="1" applyBorder="1" applyAlignment="1">
      <alignment horizontal="center"/>
    </xf>
    <xf numFmtId="37" fontId="13" fillId="0" borderId="0" xfId="0" applyNumberFormat="1" applyFont="1" applyBorder="1" applyAlignment="1">
      <alignment horizontal="center"/>
    </xf>
    <xf numFmtId="37" fontId="13" fillId="0" borderId="8" xfId="0" applyNumberFormat="1" applyFont="1" applyBorder="1" applyAlignment="1">
      <alignment horizontal="center"/>
    </xf>
    <xf numFmtId="37" fontId="4" fillId="0" borderId="8" xfId="0" applyNumberFormat="1" applyFont="1" applyBorder="1"/>
    <xf numFmtId="37" fontId="11" fillId="0" borderId="4" xfId="0" applyNumberFormat="1" applyFont="1" applyBorder="1" applyAlignment="1">
      <alignment horizontal="right"/>
    </xf>
    <xf numFmtId="38" fontId="7" fillId="0" borderId="8" xfId="1" applyNumberFormat="1" applyFont="1" applyBorder="1"/>
    <xf numFmtId="0" fontId="4" fillId="0" borderId="0" xfId="0" applyFont="1" applyFill="1"/>
    <xf numFmtId="38" fontId="4" fillId="0" borderId="0" xfId="1" applyNumberFormat="1" applyFont="1"/>
    <xf numFmtId="38" fontId="4" fillId="0" borderId="0" xfId="0" applyNumberFormat="1" applyFont="1"/>
    <xf numFmtId="37" fontId="4" fillId="0" borderId="4" xfId="0" applyNumberFormat="1" applyFont="1" applyFill="1" applyBorder="1"/>
    <xf numFmtId="38" fontId="7" fillId="0" borderId="0" xfId="1" applyNumberFormat="1" applyFont="1" applyFill="1"/>
    <xf numFmtId="37" fontId="4" fillId="0" borderId="0" xfId="0" applyNumberFormat="1" applyFont="1" applyFill="1"/>
    <xf numFmtId="38" fontId="4" fillId="0" borderId="0" xfId="0" applyNumberFormat="1" applyFont="1" applyFill="1"/>
    <xf numFmtId="38" fontId="4" fillId="0" borderId="0" xfId="1" applyNumberFormat="1" applyFont="1" applyFill="1"/>
    <xf numFmtId="38" fontId="4" fillId="0" borderId="8" xfId="1" applyNumberFormat="1" applyFont="1" applyBorder="1"/>
    <xf numFmtId="37" fontId="11" fillId="0" borderId="9" xfId="0" applyNumberFormat="1" applyFont="1" applyBorder="1" applyAlignment="1">
      <alignment horizontal="right"/>
    </xf>
    <xf numFmtId="37" fontId="11" fillId="0" borderId="10" xfId="0" applyNumberFormat="1" applyFont="1" applyBorder="1" applyAlignment="1">
      <alignment horizontal="right"/>
    </xf>
    <xf numFmtId="37" fontId="11" fillId="0" borderId="6" xfId="0" applyNumberFormat="1" applyFont="1" applyBorder="1" applyAlignment="1">
      <alignment horizontal="right"/>
    </xf>
    <xf numFmtId="38" fontId="4" fillId="0" borderId="11" xfId="1" applyNumberFormat="1" applyFont="1" applyBorder="1"/>
    <xf numFmtId="38" fontId="4" fillId="0" borderId="12" xfId="1" applyNumberFormat="1" applyFont="1" applyBorder="1"/>
    <xf numFmtId="37" fontId="11" fillId="0" borderId="0" xfId="0" applyNumberFormat="1" applyFont="1" applyBorder="1" applyAlignment="1">
      <alignment horizontal="right"/>
    </xf>
    <xf numFmtId="37" fontId="14" fillId="2" borderId="13" xfId="0" applyNumberFormat="1" applyFont="1" applyFill="1" applyBorder="1" applyAlignment="1">
      <alignment horizontal="centerContinuous"/>
    </xf>
    <xf numFmtId="37" fontId="14" fillId="2" borderId="14" xfId="0" applyNumberFormat="1" applyFont="1" applyFill="1" applyBorder="1" applyAlignment="1">
      <alignment horizontal="centerContinuous"/>
    </xf>
    <xf numFmtId="38" fontId="7" fillId="0" borderId="12" xfId="1" applyNumberFormat="1" applyFont="1" applyBorder="1"/>
    <xf numFmtId="37" fontId="4" fillId="0" borderId="15" xfId="0" applyNumberFormat="1" applyFont="1" applyBorder="1"/>
    <xf numFmtId="37" fontId="4" fillId="0" borderId="16" xfId="0" applyNumberFormat="1" applyFont="1" applyBorder="1"/>
    <xf numFmtId="37" fontId="4" fillId="0" borderId="17" xfId="0" applyNumberFormat="1" applyFont="1" applyBorder="1"/>
    <xf numFmtId="37" fontId="4" fillId="0" borderId="18" xfId="0" applyNumberFormat="1" applyFont="1" applyBorder="1"/>
    <xf numFmtId="37" fontId="4" fillId="0" borderId="19" xfId="0" applyNumberFormat="1" applyFont="1" applyBorder="1"/>
    <xf numFmtId="37" fontId="8" fillId="0" borderId="20" xfId="0" applyNumberFormat="1" applyFont="1" applyBorder="1"/>
    <xf numFmtId="37" fontId="8" fillId="0" borderId="0" xfId="0" applyNumberFormat="1" applyFont="1" applyBorder="1" applyAlignment="1">
      <alignment horizontal="right"/>
    </xf>
    <xf numFmtId="37" fontId="8" fillId="0" borderId="21" xfId="0" applyNumberFormat="1" applyFont="1" applyBorder="1" applyAlignment="1">
      <alignment horizontal="right"/>
    </xf>
    <xf numFmtId="37" fontId="4" fillId="0" borderId="20" xfId="0" applyNumberFormat="1" applyFont="1" applyBorder="1"/>
    <xf numFmtId="37" fontId="4" fillId="0" borderId="21" xfId="0" applyNumberFormat="1" applyFont="1" applyBorder="1"/>
    <xf numFmtId="38" fontId="7" fillId="0" borderId="0" xfId="1" applyNumberFormat="1" applyFont="1" applyBorder="1"/>
    <xf numFmtId="38" fontId="7" fillId="0" borderId="21" xfId="1" applyNumberFormat="1" applyFont="1" applyBorder="1"/>
    <xf numFmtId="37" fontId="4" fillId="0" borderId="22" xfId="0" applyNumberFormat="1" applyFont="1" applyBorder="1"/>
    <xf numFmtId="37" fontId="4" fillId="0" borderId="23" xfId="0" applyNumberFormat="1" applyFont="1" applyBorder="1"/>
    <xf numFmtId="37" fontId="4" fillId="0" borderId="24" xfId="0" applyNumberFormat="1" applyFont="1" applyBorder="1"/>
    <xf numFmtId="37" fontId="4" fillId="0" borderId="25" xfId="0" applyNumberFormat="1" applyFont="1" applyBorder="1"/>
    <xf numFmtId="37" fontId="5" fillId="0" borderId="26" xfId="0" applyNumberFormat="1" applyFont="1" applyBorder="1"/>
    <xf numFmtId="37" fontId="4" fillId="0" borderId="26" xfId="0" applyNumberFormat="1" applyFont="1" applyBorder="1"/>
    <xf numFmtId="37" fontId="4" fillId="0" borderId="27" xfId="0" applyNumberFormat="1" applyFont="1" applyBorder="1"/>
    <xf numFmtId="37" fontId="4" fillId="0" borderId="28" xfId="0" applyNumberFormat="1" applyFont="1" applyBorder="1"/>
    <xf numFmtId="15" fontId="4" fillId="0" borderId="19" xfId="0" applyNumberFormat="1" applyFont="1" applyBorder="1" applyAlignment="1">
      <alignment horizontal="left"/>
    </xf>
    <xf numFmtId="37" fontId="4" fillId="0" borderId="0" xfId="0" applyNumberFormat="1" applyFont="1" applyBorder="1" applyAlignment="1">
      <alignment horizontal="left"/>
    </xf>
    <xf numFmtId="15" fontId="4" fillId="0" borderId="19" xfId="0" applyNumberFormat="1" applyFont="1" applyBorder="1"/>
    <xf numFmtId="37" fontId="4" fillId="0" borderId="0" xfId="0" applyNumberFormat="1" applyFont="1" applyBorder="1" applyProtection="1"/>
    <xf numFmtId="37" fontId="4" fillId="0" borderId="0" xfId="0" applyNumberFormat="1" applyFont="1" applyBorder="1" applyAlignment="1">
      <alignment horizontal="fill" wrapText="1"/>
    </xf>
    <xf numFmtId="37" fontId="5" fillId="0" borderId="29" xfId="0" applyNumberFormat="1" applyFont="1" applyBorder="1"/>
    <xf numFmtId="0" fontId="11" fillId="0" borderId="30" xfId="0" applyFont="1" applyBorder="1" applyAlignment="1">
      <alignment horizontal="center"/>
    </xf>
    <xf numFmtId="0" fontId="11" fillId="0" borderId="5" xfId="0" applyFont="1" applyBorder="1" applyAlignment="1">
      <alignment horizontal="center"/>
    </xf>
    <xf numFmtId="37" fontId="11" fillId="0" borderId="14" xfId="0" applyNumberFormat="1" applyFont="1" applyBorder="1" applyAlignment="1">
      <alignment horizontal="center"/>
    </xf>
    <xf numFmtId="37" fontId="11" fillId="0" borderId="14" xfId="0" applyNumberFormat="1" applyFont="1" applyBorder="1" applyAlignment="1">
      <alignment horizontal="left"/>
    </xf>
    <xf numFmtId="0" fontId="16" fillId="0" borderId="31" xfId="0" applyFont="1" applyBorder="1" applyAlignment="1">
      <alignment horizontal="centerContinuous"/>
    </xf>
    <xf numFmtId="0" fontId="4" fillId="0" borderId="19" xfId="0" applyFont="1" applyBorder="1"/>
    <xf numFmtId="38" fontId="4" fillId="0" borderId="32" xfId="0" applyNumberFormat="1" applyFont="1" applyBorder="1"/>
    <xf numFmtId="38" fontId="4" fillId="0" borderId="33" xfId="0" applyNumberFormat="1" applyFont="1" applyBorder="1"/>
    <xf numFmtId="0" fontId="4" fillId="0" borderId="22" xfId="0" applyFont="1" applyBorder="1"/>
    <xf numFmtId="37" fontId="5" fillId="0" borderId="0" xfId="0" applyNumberFormat="1" applyFont="1" applyBorder="1"/>
    <xf numFmtId="14" fontId="11" fillId="0" borderId="34" xfId="0" applyNumberFormat="1" applyFont="1" applyBorder="1" applyAlignment="1">
      <alignment horizontal="center"/>
    </xf>
    <xf numFmtId="37" fontId="11" fillId="0" borderId="1" xfId="0" applyNumberFormat="1" applyFont="1" applyBorder="1"/>
    <xf numFmtId="14" fontId="5" fillId="0" borderId="4" xfId="0" applyNumberFormat="1" applyFont="1" applyBorder="1"/>
    <xf numFmtId="6" fontId="5" fillId="0" borderId="0" xfId="2" applyNumberFormat="1" applyFont="1" applyBorder="1"/>
    <xf numFmtId="178" fontId="4" fillId="0" borderId="0" xfId="0" applyNumberFormat="1" applyFont="1"/>
    <xf numFmtId="178" fontId="4" fillId="0" borderId="0" xfId="0" applyNumberFormat="1" applyFont="1" applyBorder="1"/>
    <xf numFmtId="37" fontId="18" fillId="0" borderId="0" xfId="0" applyNumberFormat="1" applyFont="1"/>
    <xf numFmtId="37" fontId="4" fillId="0" borderId="0" xfId="0" applyNumberFormat="1" applyFont="1" applyAlignment="1">
      <alignment horizontal="centerContinuous"/>
    </xf>
    <xf numFmtId="37" fontId="4" fillId="0" borderId="0" xfId="0" applyNumberFormat="1" applyFont="1" applyAlignment="1">
      <alignment horizontal="center"/>
    </xf>
    <xf numFmtId="178" fontId="12" fillId="0" borderId="3" xfId="0" applyNumberFormat="1" applyFont="1" applyBorder="1" applyAlignment="1">
      <alignment horizontal="center"/>
    </xf>
    <xf numFmtId="37" fontId="12" fillId="1" borderId="6" xfId="0" applyNumberFormat="1" applyFont="1" applyFill="1" applyBorder="1" applyAlignment="1">
      <alignment horizontal="center"/>
    </xf>
    <xf numFmtId="37" fontId="4" fillId="1" borderId="0" xfId="0" applyNumberFormat="1" applyFont="1" applyFill="1" applyAlignment="1">
      <alignment horizontal="centerContinuous"/>
    </xf>
    <xf numFmtId="0" fontId="4" fillId="1" borderId="0" xfId="0" applyFont="1" applyFill="1" applyAlignment="1">
      <alignment horizontal="centerContinuous"/>
    </xf>
    <xf numFmtId="37" fontId="4" fillId="1" borderId="13" xfId="0" applyNumberFormat="1" applyFont="1" applyFill="1" applyBorder="1" applyAlignment="1">
      <alignment horizontal="center"/>
    </xf>
    <xf numFmtId="0" fontId="4" fillId="1" borderId="14" xfId="0" applyFont="1" applyFill="1" applyBorder="1" applyAlignment="1">
      <alignment horizontal="center"/>
    </xf>
    <xf numFmtId="37" fontId="4" fillId="1" borderId="3" xfId="0" applyNumberFormat="1" applyFont="1" applyFill="1" applyBorder="1" applyAlignment="1">
      <alignment horizontal="center"/>
    </xf>
    <xf numFmtId="178" fontId="4" fillId="1" borderId="3" xfId="0" applyNumberFormat="1" applyFont="1" applyFill="1" applyBorder="1" applyAlignment="1">
      <alignment horizontal="center"/>
    </xf>
    <xf numFmtId="37" fontId="4" fillId="1" borderId="4" xfId="0" applyNumberFormat="1" applyFont="1" applyFill="1" applyBorder="1" applyAlignment="1">
      <alignment horizontal="center"/>
    </xf>
    <xf numFmtId="0" fontId="4" fillId="1" borderId="4" xfId="0" applyFont="1" applyFill="1" applyBorder="1" applyAlignment="1">
      <alignment horizontal="center"/>
    </xf>
    <xf numFmtId="37" fontId="4" fillId="1" borderId="6" xfId="0" applyNumberFormat="1" applyFont="1" applyFill="1" applyBorder="1" applyAlignment="1">
      <alignment horizontal="center"/>
    </xf>
    <xf numFmtId="0" fontId="4" fillId="1" borderId="6" xfId="0" applyFont="1" applyFill="1" applyBorder="1" applyAlignment="1">
      <alignment horizontal="center"/>
    </xf>
    <xf numFmtId="17" fontId="19" fillId="0" borderId="3" xfId="0" applyNumberFormat="1" applyFont="1" applyBorder="1" applyAlignment="1">
      <alignment horizontal="center"/>
    </xf>
    <xf numFmtId="37" fontId="4" fillId="0" borderId="0" xfId="0" applyNumberFormat="1" applyFont="1" applyFill="1" applyBorder="1" applyAlignment="1">
      <alignment horizontal="center"/>
    </xf>
    <xf numFmtId="0" fontId="4" fillId="0" borderId="0" xfId="0" applyFont="1" applyFill="1" applyBorder="1" applyAlignment="1">
      <alignment horizontal="center"/>
    </xf>
    <xf numFmtId="178" fontId="4" fillId="0" borderId="0" xfId="0" applyNumberFormat="1" applyFont="1" applyFill="1" applyBorder="1" applyAlignment="1">
      <alignment horizontal="center"/>
    </xf>
    <xf numFmtId="37" fontId="4" fillId="0" borderId="0" xfId="0" applyNumberFormat="1" applyFont="1" applyFill="1" applyBorder="1"/>
    <xf numFmtId="171" fontId="4" fillId="0" borderId="35" xfId="0" applyNumberFormat="1" applyFont="1" applyBorder="1"/>
    <xf numFmtId="165" fontId="4" fillId="0" borderId="1" xfId="1" applyNumberFormat="1" applyFont="1" applyBorder="1"/>
    <xf numFmtId="37" fontId="18" fillId="0" borderId="17" xfId="0" applyNumberFormat="1" applyFont="1" applyBorder="1"/>
    <xf numFmtId="37" fontId="20" fillId="0" borderId="20" xfId="0" applyNumberFormat="1" applyFont="1" applyBorder="1"/>
    <xf numFmtId="171" fontId="4" fillId="0" borderId="36" xfId="0" applyNumberFormat="1" applyFont="1" applyBorder="1"/>
    <xf numFmtId="37" fontId="18" fillId="0" borderId="0" xfId="0" applyNumberFormat="1" applyFont="1" applyBorder="1" applyAlignment="1">
      <alignment horizontal="centerContinuous"/>
    </xf>
    <xf numFmtId="37" fontId="22" fillId="0" borderId="0" xfId="0" applyNumberFormat="1" applyFont="1" applyBorder="1" applyAlignment="1">
      <alignment horizontal="center"/>
    </xf>
    <xf numFmtId="37" fontId="18" fillId="0" borderId="20" xfId="0" applyNumberFormat="1" applyFont="1" applyBorder="1" applyAlignment="1">
      <alignment horizontal="centerContinuous"/>
    </xf>
    <xf numFmtId="0" fontId="4" fillId="0" borderId="21" xfId="0" applyFont="1" applyBorder="1"/>
    <xf numFmtId="0" fontId="0" fillId="0" borderId="1" xfId="0" applyBorder="1"/>
    <xf numFmtId="37" fontId="4" fillId="0" borderId="1" xfId="0" applyNumberFormat="1" applyFont="1" applyBorder="1"/>
    <xf numFmtId="37" fontId="4" fillId="0" borderId="37" xfId="0" applyNumberFormat="1" applyFont="1" applyBorder="1"/>
    <xf numFmtId="37" fontId="9" fillId="0" borderId="1" xfId="0" applyNumberFormat="1" applyFont="1" applyBorder="1"/>
    <xf numFmtId="14" fontId="4" fillId="0" borderId="4" xfId="0" applyNumberFormat="1" applyFont="1" applyBorder="1" applyAlignment="1">
      <alignment horizontal="center"/>
    </xf>
    <xf numFmtId="0" fontId="11" fillId="0" borderId="5" xfId="0" applyFont="1" applyBorder="1" applyAlignment="1">
      <alignment horizontal="centerContinuous"/>
    </xf>
    <xf numFmtId="37" fontId="11" fillId="0" borderId="38" xfId="0" applyNumberFormat="1" applyFont="1" applyBorder="1" applyAlignment="1">
      <alignment horizontal="center"/>
    </xf>
    <xf numFmtId="37" fontId="11" fillId="0" borderId="13" xfId="0" applyNumberFormat="1" applyFont="1" applyBorder="1" applyAlignment="1">
      <alignment horizontal="centerContinuous"/>
    </xf>
    <xf numFmtId="37" fontId="4" fillId="0" borderId="31" xfId="0" applyNumberFormat="1" applyFont="1" applyBorder="1" applyAlignment="1">
      <alignment horizontal="centerContinuous"/>
    </xf>
    <xf numFmtId="37" fontId="4" fillId="0" borderId="14" xfId="0" applyNumberFormat="1" applyFont="1" applyBorder="1" applyAlignment="1">
      <alignment horizontal="centerContinuous"/>
    </xf>
    <xf numFmtId="37" fontId="4" fillId="0" borderId="8" xfId="0" applyNumberFormat="1" applyFont="1" applyBorder="1" applyProtection="1"/>
    <xf numFmtId="6" fontId="10" fillId="0" borderId="39" xfId="0" applyNumberFormat="1" applyFont="1" applyBorder="1"/>
    <xf numFmtId="6" fontId="10" fillId="0" borderId="39" xfId="1" applyNumberFormat="1" applyFont="1" applyBorder="1"/>
    <xf numFmtId="6" fontId="4" fillId="0" borderId="39" xfId="0" applyNumberFormat="1" applyFont="1" applyBorder="1"/>
    <xf numFmtId="6" fontId="4" fillId="0" borderId="40" xfId="0" applyNumberFormat="1" applyFont="1" applyBorder="1"/>
    <xf numFmtId="37" fontId="4" fillId="0" borderId="0" xfId="0" applyNumberFormat="1" applyFont="1" applyBorder="1" applyAlignment="1">
      <alignment horizontal="right"/>
    </xf>
    <xf numFmtId="37" fontId="11" fillId="0" borderId="38" xfId="0" applyNumberFormat="1" applyFont="1" applyBorder="1" applyAlignment="1">
      <alignment horizontal="centerContinuous"/>
    </xf>
    <xf numFmtId="37" fontId="15" fillId="0" borderId="12" xfId="0" applyNumberFormat="1" applyFont="1" applyBorder="1" applyAlignment="1">
      <alignment horizontal="centerContinuous"/>
    </xf>
    <xf numFmtId="37" fontId="16" fillId="0" borderId="12" xfId="0" applyNumberFormat="1" applyFont="1" applyBorder="1" applyAlignment="1">
      <alignment horizontal="centerContinuous"/>
    </xf>
    <xf numFmtId="0" fontId="4" fillId="0" borderId="8" xfId="0" applyFont="1" applyBorder="1"/>
    <xf numFmtId="38" fontId="11" fillId="0" borderId="41" xfId="1" applyNumberFormat="1" applyFont="1" applyBorder="1" applyAlignment="1">
      <alignment horizontal="center"/>
    </xf>
    <xf numFmtId="0" fontId="4" fillId="0" borderId="23" xfId="0" applyFont="1" applyBorder="1"/>
    <xf numFmtId="37" fontId="4" fillId="0" borderId="42" xfId="0" applyNumberFormat="1" applyFont="1" applyBorder="1" applyAlignment="1">
      <alignment horizontal="center"/>
    </xf>
    <xf numFmtId="17" fontId="4" fillId="0" borderId="42" xfId="0" applyNumberFormat="1" applyFont="1" applyBorder="1" applyAlignment="1">
      <alignment horizontal="center"/>
    </xf>
    <xf numFmtId="37" fontId="5" fillId="0" borderId="43" xfId="0" applyNumberFormat="1" applyFont="1" applyBorder="1"/>
    <xf numFmtId="37" fontId="5" fillId="0" borderId="44" xfId="0" applyNumberFormat="1" applyFont="1" applyBorder="1"/>
    <xf numFmtId="37" fontId="11" fillId="0" borderId="45" xfId="0" applyNumberFormat="1" applyFont="1" applyBorder="1" applyAlignment="1">
      <alignment horizontal="center"/>
    </xf>
    <xf numFmtId="37" fontId="5" fillId="0" borderId="46" xfId="0" applyNumberFormat="1" applyFont="1" applyBorder="1"/>
    <xf numFmtId="37" fontId="11" fillId="0" borderId="47" xfId="0" applyNumberFormat="1" applyFont="1" applyBorder="1" applyAlignment="1">
      <alignment horizontal="center"/>
    </xf>
    <xf numFmtId="38" fontId="5" fillId="0" borderId="39" xfId="2" applyNumberFormat="1" applyFont="1" applyBorder="1"/>
    <xf numFmtId="38" fontId="5" fillId="0" borderId="39" xfId="0" applyNumberFormat="1" applyFont="1" applyBorder="1"/>
    <xf numFmtId="37" fontId="5" fillId="0" borderId="22" xfId="0" applyNumberFormat="1" applyFont="1" applyBorder="1" applyAlignment="1">
      <alignment horizontal="center"/>
    </xf>
    <xf numFmtId="14" fontId="5" fillId="0" borderId="23" xfId="0" applyNumberFormat="1" applyFont="1" applyBorder="1"/>
    <xf numFmtId="37" fontId="5" fillId="0" borderId="23" xfId="0" applyNumberFormat="1" applyFont="1" applyBorder="1"/>
    <xf numFmtId="37" fontId="5" fillId="0" borderId="24" xfId="0" applyNumberFormat="1" applyFont="1" applyBorder="1"/>
    <xf numFmtId="37" fontId="11" fillId="0" borderId="48" xfId="0" applyNumberFormat="1" applyFont="1" applyBorder="1" applyAlignment="1">
      <alignment horizontal="centerContinuous"/>
    </xf>
    <xf numFmtId="37" fontId="11" fillId="0" borderId="49" xfId="0" applyNumberFormat="1" applyFont="1" applyBorder="1" applyAlignment="1">
      <alignment horizontal="centerContinuous"/>
    </xf>
    <xf numFmtId="37" fontId="5" fillId="0" borderId="8" xfId="0" applyNumberFormat="1" applyFont="1" applyBorder="1"/>
    <xf numFmtId="37" fontId="5" fillId="0" borderId="40" xfId="0" applyNumberFormat="1" applyFont="1" applyBorder="1"/>
    <xf numFmtId="6" fontId="4" fillId="0" borderId="0" xfId="2" applyNumberFormat="1" applyFont="1" applyBorder="1"/>
    <xf numFmtId="0" fontId="5" fillId="0" borderId="0" xfId="0" applyFont="1" applyAlignment="1">
      <alignment horizontal="left"/>
    </xf>
    <xf numFmtId="0" fontId="5" fillId="0" borderId="0" xfId="0" applyFont="1" applyBorder="1" applyAlignment="1">
      <alignment horizontal="left"/>
    </xf>
    <xf numFmtId="175" fontId="23" fillId="0" borderId="0" xfId="0" quotePrefix="1" applyNumberFormat="1" applyFont="1" applyAlignment="1">
      <alignment horizontal="left"/>
    </xf>
    <xf numFmtId="0" fontId="4" fillId="0" borderId="11" xfId="0" applyFont="1" applyBorder="1" applyAlignment="1">
      <alignment horizontal="left"/>
    </xf>
    <xf numFmtId="0" fontId="4" fillId="0" borderId="0" xfId="0" applyFont="1" applyBorder="1" applyAlignment="1">
      <alignment horizontal="center"/>
    </xf>
    <xf numFmtId="1" fontId="5" fillId="0" borderId="0" xfId="0" applyNumberFormat="1" applyFont="1" applyBorder="1" applyAlignment="1">
      <alignment horizontal="center"/>
    </xf>
    <xf numFmtId="0" fontId="20" fillId="0" borderId="0" xfId="0" applyFont="1" applyAlignment="1">
      <alignment horizontal="left"/>
    </xf>
    <xf numFmtId="176" fontId="23" fillId="0" borderId="0" xfId="0" quotePrefix="1" applyNumberFormat="1" applyFont="1" applyAlignment="1">
      <alignment horizontal="left"/>
    </xf>
    <xf numFmtId="0" fontId="4" fillId="0" borderId="0" xfId="0" applyFont="1" applyFill="1" applyAlignment="1">
      <alignment horizontal="left"/>
    </xf>
    <xf numFmtId="166" fontId="4" fillId="0" borderId="5" xfId="1" applyNumberFormat="1" applyFont="1" applyBorder="1"/>
    <xf numFmtId="171" fontId="4" fillId="0" borderId="5" xfId="0" applyNumberFormat="1" applyFont="1" applyFill="1" applyBorder="1" applyProtection="1"/>
    <xf numFmtId="0" fontId="4" fillId="0" borderId="0" xfId="0" applyFont="1" applyAlignment="1">
      <alignment horizontal="left"/>
    </xf>
    <xf numFmtId="171" fontId="4" fillId="0" borderId="0" xfId="0" applyNumberFormat="1" applyFont="1" applyProtection="1"/>
    <xf numFmtId="171" fontId="4" fillId="0" borderId="5" xfId="0" applyNumberFormat="1" applyFont="1" applyBorder="1" applyProtection="1"/>
    <xf numFmtId="172" fontId="4" fillId="0" borderId="0" xfId="0" applyNumberFormat="1" applyFont="1" applyProtection="1"/>
    <xf numFmtId="177" fontId="4" fillId="0" borderId="0" xfId="0" quotePrefix="1" applyNumberFormat="1" applyFont="1" applyAlignment="1">
      <alignment horizontal="left"/>
    </xf>
    <xf numFmtId="0" fontId="8" fillId="0" borderId="0" xfId="0" applyFont="1" applyAlignment="1">
      <alignment horizontal="left"/>
    </xf>
    <xf numFmtId="179" fontId="23" fillId="0" borderId="0" xfId="0" quotePrefix="1" applyNumberFormat="1" applyFont="1" applyAlignment="1">
      <alignment horizontal="left"/>
    </xf>
    <xf numFmtId="5" fontId="4" fillId="0" borderId="5" xfId="0" applyNumberFormat="1" applyFont="1" applyBorder="1" applyProtection="1"/>
    <xf numFmtId="5" fontId="4" fillId="0" borderId="0" xfId="0" applyNumberFormat="1" applyFont="1" applyProtection="1"/>
    <xf numFmtId="180" fontId="23" fillId="0" borderId="0" xfId="0" quotePrefix="1" applyNumberFormat="1" applyFont="1" applyAlignment="1">
      <alignment horizontal="left"/>
    </xf>
    <xf numFmtId="5" fontId="4" fillId="0" borderId="0" xfId="0" applyNumberFormat="1" applyFont="1" applyBorder="1" applyProtection="1"/>
    <xf numFmtId="38" fontId="4" fillId="0" borderId="0" xfId="1" applyNumberFormat="1" applyFont="1" applyProtection="1"/>
    <xf numFmtId="0" fontId="23" fillId="0" borderId="0" xfId="0" applyFont="1" applyAlignment="1">
      <alignment horizontal="left"/>
    </xf>
    <xf numFmtId="181" fontId="23" fillId="0" borderId="0" xfId="0" quotePrefix="1" applyNumberFormat="1" applyFont="1" applyAlignment="1">
      <alignment horizontal="left"/>
    </xf>
    <xf numFmtId="0" fontId="23" fillId="0" borderId="0" xfId="0" applyFont="1"/>
    <xf numFmtId="5" fontId="4" fillId="3" borderId="0" xfId="0" applyNumberFormat="1" applyFont="1" applyFill="1" applyProtection="1"/>
    <xf numFmtId="5" fontId="5" fillId="4" borderId="0" xfId="0" applyNumberFormat="1" applyFont="1" applyFill="1" applyBorder="1" applyProtection="1"/>
    <xf numFmtId="5" fontId="4" fillId="3" borderId="5" xfId="0" applyNumberFormat="1" applyFont="1" applyFill="1" applyBorder="1" applyProtection="1"/>
    <xf numFmtId="5" fontId="4" fillId="3" borderId="0" xfId="0" applyNumberFormat="1" applyFont="1" applyFill="1" applyBorder="1" applyProtection="1"/>
    <xf numFmtId="5" fontId="21" fillId="3" borderId="5" xfId="0" applyNumberFormat="1" applyFont="1" applyFill="1" applyBorder="1" applyProtection="1"/>
    <xf numFmtId="17" fontId="5" fillId="0" borderId="0" xfId="0" applyNumberFormat="1" applyFont="1" applyAlignment="1">
      <alignment horizontal="left"/>
    </xf>
    <xf numFmtId="0" fontId="4" fillId="0" borderId="25" xfId="0" applyFont="1" applyBorder="1"/>
    <xf numFmtId="0" fontId="4" fillId="0" borderId="37" xfId="0" applyFont="1" applyBorder="1"/>
    <xf numFmtId="0" fontId="4" fillId="0" borderId="18" xfId="0" applyFont="1" applyBorder="1"/>
    <xf numFmtId="0" fontId="4" fillId="0" borderId="2" xfId="0" applyFont="1" applyBorder="1"/>
    <xf numFmtId="0" fontId="4" fillId="0" borderId="20" xfId="0" applyFont="1" applyBorder="1"/>
    <xf numFmtId="37" fontId="23" fillId="0" borderId="0" xfId="0" applyNumberFormat="1" applyFont="1" applyBorder="1"/>
    <xf numFmtId="38" fontId="5" fillId="0" borderId="0" xfId="1" applyNumberFormat="1" applyFont="1" applyBorder="1"/>
    <xf numFmtId="38" fontId="5" fillId="0" borderId="0" xfId="1" applyNumberFormat="1" applyFont="1" applyBorder="1" applyAlignment="1"/>
    <xf numFmtId="38" fontId="11" fillId="0" borderId="50" xfId="1" applyNumberFormat="1" applyFont="1" applyBorder="1" applyAlignment="1">
      <alignment horizontal="center"/>
    </xf>
    <xf numFmtId="37" fontId="11" fillId="0" borderId="51" xfId="0" applyNumberFormat="1" applyFont="1" applyBorder="1" applyAlignment="1">
      <alignment horizontal="centerContinuous"/>
    </xf>
    <xf numFmtId="37" fontId="4" fillId="0" borderId="23" xfId="0" applyNumberFormat="1" applyFont="1" applyBorder="1" applyAlignment="1">
      <alignment horizontal="right"/>
    </xf>
    <xf numFmtId="171" fontId="4" fillId="0" borderId="0" xfId="0" applyNumberFormat="1" applyFont="1"/>
    <xf numFmtId="171" fontId="4" fillId="0" borderId="0" xfId="0" applyNumberFormat="1" applyFont="1" applyBorder="1"/>
    <xf numFmtId="171" fontId="4" fillId="0" borderId="0" xfId="1" applyNumberFormat="1" applyFont="1" applyBorder="1" applyAlignment="1">
      <alignment horizontal="center"/>
    </xf>
    <xf numFmtId="37" fontId="11" fillId="0" borderId="52" xfId="0" applyNumberFormat="1" applyFont="1" applyBorder="1" applyAlignment="1">
      <alignment horizontal="center"/>
    </xf>
    <xf numFmtId="37" fontId="11" fillId="0" borderId="4" xfId="0" applyNumberFormat="1" applyFont="1" applyBorder="1" applyAlignment="1">
      <alignment horizontal="center"/>
    </xf>
    <xf numFmtId="38" fontId="7" fillId="0" borderId="11" xfId="1" applyNumberFormat="1" applyFont="1" applyBorder="1"/>
    <xf numFmtId="37" fontId="4" fillId="0" borderId="10" xfId="0" applyNumberFormat="1" applyFont="1" applyBorder="1"/>
    <xf numFmtId="14" fontId="4" fillId="0" borderId="22" xfId="0" applyNumberFormat="1" applyFont="1" applyBorder="1"/>
    <xf numFmtId="14" fontId="4" fillId="0" borderId="42" xfId="0" applyNumberFormat="1" applyFont="1" applyBorder="1" applyAlignment="1">
      <alignment horizontal="center"/>
    </xf>
    <xf numFmtId="14" fontId="4" fillId="0" borderId="19" xfId="0" applyNumberFormat="1" applyFont="1" applyBorder="1" applyAlignment="1">
      <alignment horizontal="center"/>
    </xf>
    <xf numFmtId="2" fontId="4" fillId="0" borderId="8" xfId="0" applyNumberFormat="1" applyFont="1" applyBorder="1"/>
    <xf numFmtId="2" fontId="4" fillId="0" borderId="8" xfId="0" applyNumberFormat="1" applyFont="1" applyBorder="1" applyAlignment="1">
      <alignment horizontal="center"/>
    </xf>
    <xf numFmtId="2" fontId="4" fillId="0" borderId="8" xfId="1" applyNumberFormat="1" applyFont="1" applyBorder="1"/>
    <xf numFmtId="2" fontId="4" fillId="0" borderId="8" xfId="1" applyNumberFormat="1" applyFont="1" applyBorder="1" applyAlignment="1">
      <alignment horizontal="center"/>
    </xf>
    <xf numFmtId="0" fontId="4" fillId="0" borderId="19" xfId="0" applyFont="1" applyBorder="1" applyAlignment="1">
      <alignment horizontal="center"/>
    </xf>
    <xf numFmtId="37" fontId="5" fillId="0" borderId="53" xfId="0" applyNumberFormat="1" applyFont="1" applyBorder="1"/>
    <xf numFmtId="37" fontId="4" fillId="0" borderId="53" xfId="0" applyNumberFormat="1" applyFont="1" applyBorder="1"/>
    <xf numFmtId="0" fontId="4" fillId="0" borderId="0" xfId="0" quotePrefix="1" applyFont="1" applyBorder="1" applyAlignment="1">
      <alignment horizontal="center"/>
    </xf>
    <xf numFmtId="37" fontId="4" fillId="0" borderId="19" xfId="0" applyNumberFormat="1" applyFont="1" applyBorder="1" applyAlignment="1">
      <alignment horizontal="center"/>
    </xf>
    <xf numFmtId="38" fontId="4" fillId="0" borderId="39" xfId="2" applyNumberFormat="1" applyFont="1" applyBorder="1"/>
    <xf numFmtId="37" fontId="4" fillId="0" borderId="52" xfId="0" applyNumberFormat="1" applyFont="1" applyBorder="1"/>
    <xf numFmtId="164" fontId="4" fillId="0" borderId="0" xfId="4" applyFont="1"/>
    <xf numFmtId="164" fontId="5" fillId="0" borderId="0" xfId="4" applyFont="1"/>
    <xf numFmtId="38" fontId="5" fillId="0" borderId="0" xfId="1" applyNumberFormat="1" applyFont="1"/>
    <xf numFmtId="164" fontId="4" fillId="0" borderId="0" xfId="4" applyFont="1" applyAlignment="1">
      <alignment horizontal="center"/>
    </xf>
    <xf numFmtId="164" fontId="4" fillId="0" borderId="11" xfId="4" applyFont="1" applyBorder="1" applyAlignment="1">
      <alignment horizontal="center"/>
    </xf>
    <xf numFmtId="164" fontId="4" fillId="0" borderId="0" xfId="4" applyFont="1" applyAlignment="1">
      <alignment horizontal="left"/>
    </xf>
    <xf numFmtId="14" fontId="4" fillId="0" borderId="0" xfId="4" quotePrefix="1" applyNumberFormat="1" applyFont="1" applyAlignment="1">
      <alignment horizontal="center"/>
    </xf>
    <xf numFmtId="14" fontId="4" fillId="0" borderId="0" xfId="4" applyNumberFormat="1" applyFont="1" applyAlignment="1">
      <alignment horizontal="center"/>
    </xf>
    <xf numFmtId="1" fontId="4" fillId="0" borderId="0" xfId="4" quotePrefix="1" applyNumberFormat="1" applyFont="1" applyAlignment="1">
      <alignment horizontal="center"/>
    </xf>
    <xf numFmtId="37" fontId="4" fillId="0" borderId="0" xfId="4" applyNumberFormat="1" applyFont="1" applyProtection="1"/>
    <xf numFmtId="164" fontId="5" fillId="0" borderId="0" xfId="4" applyFont="1" applyAlignment="1">
      <alignment horizontal="left"/>
    </xf>
    <xf numFmtId="37" fontId="4" fillId="0" borderId="0" xfId="4" applyNumberFormat="1" applyFont="1"/>
    <xf numFmtId="37" fontId="4" fillId="0" borderId="0" xfId="4" applyNumberFormat="1" applyFont="1" applyBorder="1"/>
    <xf numFmtId="1" fontId="4" fillId="0" borderId="0" xfId="4" applyNumberFormat="1" applyFont="1" applyAlignment="1">
      <alignment horizontal="center"/>
    </xf>
    <xf numFmtId="165" fontId="4" fillId="0" borderId="0" xfId="1" applyNumberFormat="1" applyFont="1" applyBorder="1"/>
    <xf numFmtId="166" fontId="4" fillId="0" borderId="0" xfId="1" applyNumberFormat="1" applyFont="1" applyBorder="1"/>
    <xf numFmtId="171" fontId="4" fillId="0" borderId="0" xfId="0" applyNumberFormat="1" applyFont="1" applyBorder="1" applyAlignment="1">
      <alignment horizontal="center"/>
    </xf>
    <xf numFmtId="165" fontId="7" fillId="0" borderId="21" xfId="1" applyNumberFormat="1" applyFont="1" applyBorder="1"/>
    <xf numFmtId="0" fontId="0" fillId="0" borderId="25" xfId="0" applyBorder="1"/>
    <xf numFmtId="165" fontId="4" fillId="0" borderId="37" xfId="0" applyNumberFormat="1" applyFont="1" applyBorder="1"/>
    <xf numFmtId="183" fontId="4" fillId="0" borderId="21" xfId="0" applyNumberFormat="1" applyFont="1" applyBorder="1"/>
    <xf numFmtId="37" fontId="9" fillId="0" borderId="0" xfId="0" applyNumberFormat="1" applyFont="1"/>
    <xf numFmtId="15" fontId="6" fillId="0" borderId="0" xfId="0" applyNumberFormat="1" applyFont="1" applyAlignment="1">
      <alignment horizontal="left"/>
    </xf>
    <xf numFmtId="37" fontId="24" fillId="0" borderId="0" xfId="0" applyNumberFormat="1" applyFont="1" applyAlignment="1">
      <alignment horizontal="right"/>
    </xf>
    <xf numFmtId="40" fontId="4" fillId="0" borderId="0" xfId="1" applyFont="1"/>
    <xf numFmtId="165" fontId="10" fillId="0" borderId="21" xfId="1" applyNumberFormat="1" applyFont="1" applyBorder="1"/>
    <xf numFmtId="164" fontId="9" fillId="0" borderId="0" xfId="4" applyFont="1"/>
    <xf numFmtId="164" fontId="5" fillId="0" borderId="0" xfId="4" applyFont="1" applyAlignment="1">
      <alignment horizontal="center"/>
    </xf>
    <xf numFmtId="164" fontId="5" fillId="0" borderId="0" xfId="4" quotePrefix="1" applyFont="1" applyAlignment="1">
      <alignment horizontal="center"/>
    </xf>
    <xf numFmtId="38" fontId="4" fillId="0" borderId="1" xfId="1" applyNumberFormat="1" applyFont="1" applyBorder="1"/>
    <xf numFmtId="38" fontId="5" fillId="0" borderId="0" xfId="1" applyNumberFormat="1" applyFont="1" applyProtection="1"/>
    <xf numFmtId="38" fontId="5" fillId="5" borderId="0" xfId="1" applyNumberFormat="1" applyFont="1" applyFill="1"/>
    <xf numFmtId="38" fontId="4" fillId="0" borderId="0" xfId="1" applyNumberFormat="1" applyFont="1" applyBorder="1" applyAlignment="1">
      <alignment horizontal="right"/>
    </xf>
    <xf numFmtId="37" fontId="4" fillId="0" borderId="11" xfId="0" applyNumberFormat="1" applyFont="1" applyBorder="1" applyAlignment="1">
      <alignment horizontal="center"/>
    </xf>
    <xf numFmtId="1" fontId="6" fillId="6" borderId="5" xfId="0" applyNumberFormat="1" applyFont="1" applyFill="1" applyBorder="1" applyAlignment="1">
      <alignment horizontal="center"/>
    </xf>
    <xf numFmtId="0" fontId="5" fillId="7" borderId="0" xfId="0" applyFont="1" applyFill="1" applyAlignment="1">
      <alignment horizontal="left"/>
    </xf>
    <xf numFmtId="38" fontId="5" fillId="7" borderId="0" xfId="1" applyNumberFormat="1" applyFont="1" applyFill="1"/>
    <xf numFmtId="5" fontId="5" fillId="7" borderId="5" xfId="0" applyNumberFormat="1" applyFont="1" applyFill="1" applyBorder="1" applyProtection="1"/>
    <xf numFmtId="0" fontId="5" fillId="8" borderId="0" xfId="0" applyFont="1" applyFill="1" applyAlignment="1">
      <alignment horizontal="left"/>
    </xf>
    <xf numFmtId="38" fontId="5" fillId="8" borderId="0" xfId="1" applyNumberFormat="1" applyFont="1" applyFill="1" applyProtection="1"/>
    <xf numFmtId="171" fontId="5" fillId="5" borderId="5" xfId="0" applyNumberFormat="1" applyFont="1" applyFill="1" applyBorder="1" applyProtection="1"/>
    <xf numFmtId="171" fontId="4" fillId="5" borderId="5" xfId="0" applyNumberFormat="1" applyFont="1" applyFill="1" applyBorder="1" applyProtection="1"/>
    <xf numFmtId="37" fontId="15" fillId="0" borderId="4" xfId="0" applyNumberFormat="1" applyFont="1" applyBorder="1" applyAlignment="1">
      <alignment horizontal="right"/>
    </xf>
    <xf numFmtId="37" fontId="27" fillId="0" borderId="4" xfId="0" applyNumberFormat="1" applyFont="1" applyBorder="1" applyAlignment="1">
      <alignment horizontal="right"/>
    </xf>
    <xf numFmtId="38" fontId="9" fillId="0" borderId="0" xfId="1" applyNumberFormat="1" applyFont="1"/>
    <xf numFmtId="38" fontId="9" fillId="0" borderId="8" xfId="1" applyNumberFormat="1" applyFont="1" applyBorder="1"/>
    <xf numFmtId="37" fontId="11" fillId="0" borderId="0" xfId="0" applyNumberFormat="1" applyFont="1" applyBorder="1" applyAlignment="1">
      <alignment horizontal="center"/>
    </xf>
    <xf numFmtId="0" fontId="4" fillId="0" borderId="0" xfId="0" applyFont="1" applyAlignment="1">
      <alignment horizontal="right"/>
    </xf>
    <xf numFmtId="38" fontId="4" fillId="0" borderId="0" xfId="4" applyNumberFormat="1" applyFont="1"/>
    <xf numFmtId="0" fontId="28" fillId="0" borderId="0" xfId="0" applyFont="1" applyAlignment="1">
      <alignment horizontal="centerContinuous"/>
    </xf>
    <xf numFmtId="0" fontId="29" fillId="0" borderId="0" xfId="0" applyFont="1" applyAlignment="1">
      <alignment horizontal="centerContinuous"/>
    </xf>
    <xf numFmtId="38" fontId="29" fillId="0" borderId="0" xfId="0" applyNumberFormat="1" applyFont="1" applyAlignment="1">
      <alignment horizontal="centerContinuous"/>
    </xf>
    <xf numFmtId="37" fontId="29" fillId="0" borderId="0" xfId="0" applyNumberFormat="1" applyFont="1" applyAlignment="1">
      <alignment horizontal="centerContinuous"/>
    </xf>
    <xf numFmtId="0" fontId="29" fillId="0" borderId="0" xfId="0" applyFont="1"/>
    <xf numFmtId="0" fontId="0" fillId="0" borderId="0" xfId="0" applyAlignment="1">
      <alignment horizontal="centerContinuous"/>
    </xf>
    <xf numFmtId="38" fontId="0" fillId="0" borderId="0" xfId="0" applyNumberFormat="1" applyAlignment="1">
      <alignment horizontal="centerContinuous"/>
    </xf>
    <xf numFmtId="37" fontId="0" fillId="0" borderId="0" xfId="0" applyNumberFormat="1" applyAlignment="1">
      <alignment horizontal="centerContinuous"/>
    </xf>
    <xf numFmtId="0" fontId="1" fillId="0" borderId="0" xfId="0" applyFont="1"/>
    <xf numFmtId="38" fontId="0" fillId="0" borderId="0" xfId="0" applyNumberFormat="1"/>
    <xf numFmtId="37" fontId="0" fillId="0" borderId="0" xfId="0" applyNumberFormat="1"/>
    <xf numFmtId="38" fontId="0" fillId="0" borderId="0" xfId="0" applyNumberFormat="1" applyAlignment="1">
      <alignment horizontal="center"/>
    </xf>
    <xf numFmtId="38" fontId="1" fillId="0" borderId="0" xfId="0" applyNumberFormat="1" applyFont="1" applyAlignment="1">
      <alignment horizontal="center"/>
    </xf>
    <xf numFmtId="38" fontId="1" fillId="0" borderId="0" xfId="0" applyNumberFormat="1" applyFont="1"/>
    <xf numFmtId="37" fontId="1" fillId="0" borderId="0" xfId="0" applyNumberFormat="1" applyFont="1"/>
    <xf numFmtId="15" fontId="1" fillId="0" borderId="0" xfId="0" applyNumberFormat="1" applyFont="1"/>
    <xf numFmtId="38" fontId="0" fillId="0" borderId="13" xfId="0" applyNumberFormat="1" applyBorder="1"/>
    <xf numFmtId="38" fontId="0" fillId="0" borderId="31" xfId="0" applyNumberFormat="1" applyBorder="1"/>
    <xf numFmtId="0" fontId="0" fillId="0" borderId="31" xfId="0" applyBorder="1"/>
    <xf numFmtId="15" fontId="0" fillId="0" borderId="31" xfId="0" applyNumberFormat="1" applyBorder="1"/>
    <xf numFmtId="37" fontId="0" fillId="0" borderId="31" xfId="0" applyNumberFormat="1" applyBorder="1"/>
    <xf numFmtId="38" fontId="0" fillId="0" borderId="14" xfId="0" applyNumberFormat="1" applyBorder="1"/>
    <xf numFmtId="38" fontId="0" fillId="0" borderId="11" xfId="0" applyNumberFormat="1" applyBorder="1"/>
    <xf numFmtId="38" fontId="0" fillId="9" borderId="11" xfId="0" applyNumberFormat="1" applyFill="1" applyBorder="1"/>
    <xf numFmtId="0" fontId="0" fillId="0" borderId="11" xfId="0" applyBorder="1"/>
    <xf numFmtId="15" fontId="0" fillId="0" borderId="11" xfId="0" applyNumberFormat="1" applyBorder="1"/>
    <xf numFmtId="37" fontId="0" fillId="0" borderId="11" xfId="0" applyNumberFormat="1" applyBorder="1"/>
    <xf numFmtId="38" fontId="30" fillId="9" borderId="12" xfId="0" applyNumberFormat="1" applyFont="1" applyFill="1" applyBorder="1"/>
    <xf numFmtId="186" fontId="4" fillId="0" borderId="0" xfId="0" applyNumberFormat="1" applyFont="1" applyBorder="1" applyProtection="1"/>
    <xf numFmtId="186" fontId="4" fillId="3" borderId="0" xfId="0" applyNumberFormat="1" applyFont="1" applyFill="1" applyProtection="1"/>
    <xf numFmtId="186" fontId="4" fillId="3" borderId="5" xfId="0" applyNumberFormat="1" applyFont="1" applyFill="1" applyBorder="1" applyProtection="1"/>
    <xf numFmtId="186" fontId="4" fillId="3" borderId="0" xfId="0" applyNumberFormat="1" applyFont="1" applyFill="1" applyBorder="1" applyProtection="1"/>
    <xf numFmtId="5" fontId="5" fillId="7" borderId="0" xfId="0" applyNumberFormat="1" applyFont="1" applyFill="1" applyBorder="1"/>
    <xf numFmtId="5" fontId="5" fillId="7" borderId="0" xfId="0" applyNumberFormat="1" applyFont="1" applyFill="1" applyBorder="1" applyProtection="1"/>
    <xf numFmtId="186" fontId="5" fillId="0" borderId="0" xfId="0" applyNumberFormat="1" applyFont="1"/>
    <xf numFmtId="37" fontId="31" fillId="0" borderId="0" xfId="0" applyNumberFormat="1" applyFont="1" applyAlignment="1">
      <alignment horizontal="right"/>
    </xf>
    <xf numFmtId="188" fontId="31" fillId="0" borderId="0" xfId="0" applyNumberFormat="1" applyFont="1"/>
    <xf numFmtId="188" fontId="31" fillId="0" borderId="0" xfId="0" applyNumberFormat="1" applyFont="1" applyBorder="1"/>
    <xf numFmtId="0" fontId="32" fillId="0" borderId="0" xfId="0" applyFont="1" applyAlignment="1">
      <alignment horizontal="right"/>
    </xf>
    <xf numFmtId="37" fontId="10" fillId="0" borderId="0" xfId="0" applyNumberFormat="1" applyFont="1"/>
    <xf numFmtId="17" fontId="19" fillId="0" borderId="0" xfId="0" applyNumberFormat="1" applyFont="1" applyAlignment="1">
      <alignment horizontal="left"/>
    </xf>
    <xf numFmtId="15" fontId="4" fillId="0" borderId="0" xfId="0" applyNumberFormat="1" applyFont="1"/>
    <xf numFmtId="190" fontId="32" fillId="0" borderId="0" xfId="0" applyNumberFormat="1" applyFont="1" applyAlignment="1">
      <alignment horizontal="left"/>
    </xf>
    <xf numFmtId="190" fontId="9" fillId="0" borderId="0" xfId="0" applyNumberFormat="1" applyFont="1" applyAlignment="1">
      <alignment horizontal="left"/>
    </xf>
    <xf numFmtId="192" fontId="4" fillId="0" borderId="0" xfId="0" applyNumberFormat="1" applyFont="1" applyBorder="1" applyProtection="1"/>
    <xf numFmtId="192" fontId="4" fillId="0" borderId="5" xfId="0" applyNumberFormat="1" applyFont="1" applyBorder="1" applyProtection="1"/>
    <xf numFmtId="0" fontId="4" fillId="3" borderId="54" xfId="0" applyFont="1" applyFill="1" applyBorder="1"/>
    <xf numFmtId="38" fontId="4" fillId="3" borderId="55" xfId="1" applyNumberFormat="1" applyFont="1" applyFill="1" applyBorder="1" applyAlignment="1">
      <alignment horizontal="center"/>
    </xf>
    <xf numFmtId="17" fontId="32" fillId="0" borderId="0" xfId="0" applyNumberFormat="1" applyFont="1"/>
    <xf numFmtId="38" fontId="33" fillId="0" borderId="0" xfId="1" applyNumberFormat="1" applyFont="1" applyProtection="1"/>
    <xf numFmtId="38" fontId="34" fillId="0" borderId="0" xfId="1" applyNumberFormat="1" applyFont="1" applyProtection="1"/>
    <xf numFmtId="38" fontId="33" fillId="7" borderId="0" xfId="1" applyNumberFormat="1" applyFont="1" applyFill="1"/>
    <xf numFmtId="37" fontId="8" fillId="0" borderId="0" xfId="0" applyNumberFormat="1" applyFont="1" applyBorder="1" applyAlignment="1">
      <alignment horizontal="left"/>
    </xf>
    <xf numFmtId="0" fontId="4" fillId="0" borderId="0" xfId="0" applyFont="1" applyAlignment="1">
      <alignment horizontal="center"/>
    </xf>
    <xf numFmtId="37" fontId="5" fillId="0" borderId="11" xfId="0" applyNumberFormat="1" applyFont="1" applyBorder="1" applyAlignment="1">
      <alignment horizontal="center"/>
    </xf>
    <xf numFmtId="0" fontId="5" fillId="5" borderId="0" xfId="0" applyFont="1" applyFill="1" applyAlignment="1">
      <alignment horizontal="left"/>
    </xf>
    <xf numFmtId="38" fontId="5" fillId="0" borderId="0" xfId="1" quotePrefix="1" applyNumberFormat="1" applyFont="1"/>
    <xf numFmtId="170" fontId="4" fillId="0" borderId="0" xfId="4" applyNumberFormat="1" applyFont="1"/>
    <xf numFmtId="170" fontId="4" fillId="0" borderId="0" xfId="4" applyNumberFormat="1" applyFont="1" applyAlignment="1">
      <alignment horizontal="center"/>
    </xf>
    <xf numFmtId="170" fontId="4" fillId="0" borderId="11" xfId="4" applyNumberFormat="1" applyFont="1" applyBorder="1" applyAlignment="1">
      <alignment horizontal="center"/>
    </xf>
    <xf numFmtId="170" fontId="4" fillId="0" borderId="0" xfId="4" applyNumberFormat="1" applyFont="1" applyBorder="1" applyProtection="1"/>
    <xf numFmtId="170" fontId="4" fillId="0" borderId="0" xfId="4" applyNumberFormat="1" applyFont="1" applyProtection="1"/>
    <xf numFmtId="6" fontId="4" fillId="0" borderId="0" xfId="2" applyNumberFormat="1" applyFont="1"/>
    <xf numFmtId="37" fontId="7" fillId="0" borderId="6" xfId="0" applyNumberFormat="1" applyFont="1" applyBorder="1"/>
    <xf numFmtId="179" fontId="23" fillId="0" borderId="0" xfId="0" applyNumberFormat="1" applyFont="1" applyAlignment="1">
      <alignment horizontal="left"/>
    </xf>
    <xf numFmtId="14" fontId="21" fillId="0" borderId="0" xfId="4" applyNumberFormat="1" applyFont="1" applyAlignment="1">
      <alignment horizontal="center"/>
    </xf>
    <xf numFmtId="0" fontId="0" fillId="0" borderId="0" xfId="0" applyAlignment="1">
      <alignment horizontal="center"/>
    </xf>
    <xf numFmtId="0" fontId="4" fillId="9" borderId="56" xfId="0" applyFont="1" applyFill="1" applyBorder="1"/>
    <xf numFmtId="0" fontId="4" fillId="9" borderId="57" xfId="0" applyFont="1" applyFill="1" applyBorder="1"/>
    <xf numFmtId="0" fontId="17" fillId="0" borderId="0" xfId="0" applyFont="1" applyAlignment="1">
      <alignment horizontal="center"/>
    </xf>
    <xf numFmtId="0" fontId="4" fillId="9" borderId="58" xfId="0" applyFont="1" applyFill="1" applyBorder="1"/>
    <xf numFmtId="0" fontId="4" fillId="9" borderId="11" xfId="0" applyFont="1" applyFill="1" applyBorder="1"/>
    <xf numFmtId="15" fontId="5" fillId="0" borderId="1" xfId="0" applyNumberFormat="1" applyFont="1" applyBorder="1"/>
    <xf numFmtId="0" fontId="4" fillId="0" borderId="1" xfId="0" applyFont="1" applyBorder="1" applyAlignment="1">
      <alignment horizontal="center"/>
    </xf>
    <xf numFmtId="0" fontId="17" fillId="0" borderId="1" xfId="0" applyFont="1" applyBorder="1" applyAlignment="1">
      <alignment horizontal="center"/>
    </xf>
    <xf numFmtId="15" fontId="4" fillId="0" borderId="0" xfId="0" applyNumberFormat="1" applyFont="1" applyAlignment="1">
      <alignment horizontal="center"/>
    </xf>
    <xf numFmtId="37" fontId="17" fillId="0" borderId="11" xfId="0" applyNumberFormat="1" applyFont="1" applyBorder="1" applyAlignment="1">
      <alignment horizontal="center"/>
    </xf>
    <xf numFmtId="190" fontId="4" fillId="0" borderId="0" xfId="0" applyNumberFormat="1" applyFont="1"/>
    <xf numFmtId="167" fontId="4" fillId="0" borderId="0" xfId="1" applyNumberFormat="1" applyFont="1"/>
    <xf numFmtId="167" fontId="17" fillId="0" borderId="0" xfId="1" applyNumberFormat="1" applyFont="1" applyAlignment="1">
      <alignment horizontal="center"/>
    </xf>
    <xf numFmtId="167" fontId="17" fillId="0" borderId="1" xfId="1" applyNumberFormat="1" applyFont="1" applyBorder="1" applyAlignment="1">
      <alignment horizontal="center"/>
    </xf>
    <xf numFmtId="5" fontId="21" fillId="7" borderId="5" xfId="0" applyNumberFormat="1" applyFont="1" applyFill="1" applyBorder="1"/>
    <xf numFmtId="37" fontId="35" fillId="0" borderId="0" xfId="0" applyNumberFormat="1" applyFont="1" applyBorder="1" applyAlignment="1">
      <alignment horizontal="center"/>
    </xf>
    <xf numFmtId="164" fontId="4" fillId="0" borderId="0" xfId="4" applyFont="1" applyAlignment="1"/>
    <xf numFmtId="170" fontId="4" fillId="0" borderId="0" xfId="4" applyNumberFormat="1" applyFont="1" applyAlignment="1"/>
    <xf numFmtId="164" fontId="8" fillId="0" borderId="0" xfId="4" applyFont="1" applyAlignment="1">
      <alignment horizontal="center"/>
    </xf>
    <xf numFmtId="175" fontId="24" fillId="0" borderId="0" xfId="4" quotePrefix="1" applyNumberFormat="1" applyFont="1" applyAlignment="1">
      <alignment horizontal="center"/>
    </xf>
    <xf numFmtId="38" fontId="4" fillId="0" borderId="0" xfId="4" applyNumberFormat="1" applyFont="1" applyAlignment="1">
      <alignment horizontal="center"/>
    </xf>
    <xf numFmtId="38" fontId="4" fillId="0" borderId="0" xfId="4" applyNumberFormat="1" applyFont="1" applyBorder="1" applyAlignment="1">
      <alignment horizontal="center"/>
    </xf>
    <xf numFmtId="38" fontId="4" fillId="0" borderId="0" xfId="4" applyNumberFormat="1" applyFont="1" applyBorder="1"/>
    <xf numFmtId="38" fontId="4" fillId="0" borderId="11" xfId="4" applyNumberFormat="1" applyFont="1" applyBorder="1" applyAlignment="1">
      <alignment horizontal="center"/>
    </xf>
    <xf numFmtId="38" fontId="4" fillId="0" borderId="0" xfId="4" applyNumberFormat="1" applyFont="1" applyProtection="1"/>
    <xf numFmtId="38" fontId="4" fillId="0" borderId="0" xfId="4" applyNumberFormat="1" applyFont="1" applyAlignment="1" applyProtection="1">
      <alignment horizontal="right"/>
    </xf>
    <xf numFmtId="38" fontId="4" fillId="0" borderId="0" xfId="4" quotePrefix="1" applyNumberFormat="1" applyFont="1" applyAlignment="1" applyProtection="1">
      <alignment horizontal="right"/>
    </xf>
    <xf numFmtId="168" fontId="4" fillId="0" borderId="0" xfId="1" applyNumberFormat="1" applyFont="1"/>
    <xf numFmtId="168" fontId="4" fillId="0" borderId="0" xfId="0" applyNumberFormat="1" applyFont="1"/>
    <xf numFmtId="0" fontId="1" fillId="0" borderId="0" xfId="0" applyFont="1" applyAlignment="1"/>
    <xf numFmtId="38" fontId="36" fillId="10" borderId="54" xfId="0" applyNumberFormat="1" applyFont="1" applyFill="1" applyBorder="1" applyAlignment="1">
      <alignment horizontal="center"/>
    </xf>
    <xf numFmtId="38" fontId="1" fillId="10" borderId="59" xfId="0" applyNumberFormat="1" applyFont="1" applyFill="1" applyBorder="1" applyAlignment="1">
      <alignment horizontal="center"/>
    </xf>
    <xf numFmtId="38" fontId="1" fillId="10" borderId="55" xfId="0" applyNumberFormat="1" applyFont="1" applyFill="1" applyBorder="1" applyAlignment="1">
      <alignment horizontal="center"/>
    </xf>
    <xf numFmtId="0" fontId="0" fillId="0" borderId="60" xfId="0" applyBorder="1"/>
    <xf numFmtId="0" fontId="0" fillId="0" borderId="61" xfId="0" applyBorder="1"/>
    <xf numFmtId="38" fontId="0" fillId="0" borderId="62" xfId="0" applyNumberFormat="1" applyBorder="1"/>
    <xf numFmtId="38" fontId="0" fillId="0" borderId="41" xfId="0" applyNumberFormat="1" applyBorder="1"/>
    <xf numFmtId="37" fontId="37" fillId="0" borderId="0" xfId="0" applyNumberFormat="1" applyFont="1" applyAlignment="1">
      <alignment horizontal="centerContinuous"/>
    </xf>
    <xf numFmtId="37" fontId="37" fillId="0" borderId="0" xfId="0" applyNumberFormat="1" applyFont="1"/>
    <xf numFmtId="37" fontId="38" fillId="0" borderId="0" xfId="0" applyNumberFormat="1" applyFont="1"/>
    <xf numFmtId="37" fontId="37" fillId="0" borderId="31" xfId="0" applyNumberFormat="1" applyFont="1" applyBorder="1" applyAlignment="1">
      <alignment horizontal="left"/>
    </xf>
    <xf numFmtId="37" fontId="37" fillId="0" borderId="11" xfId="0" applyNumberFormat="1" applyFont="1" applyBorder="1" applyAlignment="1">
      <alignment horizontal="left"/>
    </xf>
    <xf numFmtId="38" fontId="28" fillId="0" borderId="0" xfId="0" applyNumberFormat="1" applyFont="1" applyAlignment="1">
      <alignment horizontal="center"/>
    </xf>
    <xf numFmtId="38" fontId="0" fillId="0" borderId="59" xfId="0" applyNumberFormat="1" applyBorder="1"/>
    <xf numFmtId="38" fontId="0" fillId="0" borderId="63" xfId="0" applyNumberFormat="1" applyBorder="1"/>
    <xf numFmtId="37" fontId="0" fillId="0" borderId="0" xfId="0" applyNumberFormat="1" applyProtection="1"/>
    <xf numFmtId="37" fontId="17" fillId="0" borderId="0" xfId="0" applyNumberFormat="1" applyFont="1" applyBorder="1" applyAlignment="1">
      <alignment horizontal="center"/>
    </xf>
    <xf numFmtId="38" fontId="5" fillId="7" borderId="0" xfId="1" applyNumberFormat="1" applyFont="1" applyFill="1" applyBorder="1"/>
    <xf numFmtId="38" fontId="4" fillId="9" borderId="0" xfId="1" applyNumberFormat="1" applyFont="1" applyFill="1"/>
    <xf numFmtId="5" fontId="4" fillId="9" borderId="0" xfId="0" applyNumberFormat="1" applyFont="1" applyFill="1" applyProtection="1"/>
    <xf numFmtId="0" fontId="4" fillId="9" borderId="0" xfId="0" applyFont="1" applyFill="1"/>
    <xf numFmtId="0" fontId="0" fillId="9" borderId="0" xfId="0" applyFill="1"/>
    <xf numFmtId="38" fontId="4" fillId="0" borderId="0" xfId="1" applyNumberFormat="1" applyFont="1" applyFill="1" applyProtection="1"/>
    <xf numFmtId="192" fontId="4" fillId="0" borderId="0" xfId="0" applyNumberFormat="1" applyFont="1" applyFill="1" applyBorder="1" applyProtection="1"/>
    <xf numFmtId="5" fontId="4" fillId="0" borderId="0" xfId="0" applyNumberFormat="1" applyFont="1" applyFill="1" applyProtection="1"/>
    <xf numFmtId="40" fontId="4" fillId="0" borderId="0" xfId="1" applyFont="1" applyFill="1"/>
    <xf numFmtId="0" fontId="0" fillId="0" borderId="0" xfId="0" applyFill="1"/>
    <xf numFmtId="5" fontId="4" fillId="0" borderId="0" xfId="0" applyNumberFormat="1" applyFont="1" applyFill="1" applyBorder="1"/>
    <xf numFmtId="0" fontId="4" fillId="0" borderId="0" xfId="0" applyFont="1" applyFill="1" applyBorder="1"/>
    <xf numFmtId="40" fontId="4" fillId="0" borderId="0" xfId="1" applyNumberFormat="1" applyFont="1" applyFill="1" applyBorder="1"/>
    <xf numFmtId="189" fontId="32" fillId="0" borderId="0" xfId="0" applyNumberFormat="1" applyFont="1"/>
    <xf numFmtId="189" fontId="4" fillId="0" borderId="0" xfId="0" applyNumberFormat="1" applyFont="1"/>
    <xf numFmtId="213" fontId="4" fillId="0" borderId="0" xfId="1" applyNumberFormat="1" applyFont="1"/>
    <xf numFmtId="167" fontId="5" fillId="7" borderId="0" xfId="1" applyNumberFormat="1" applyFont="1" applyFill="1"/>
    <xf numFmtId="6" fontId="0" fillId="0" borderId="0" xfId="0" applyNumberFormat="1"/>
    <xf numFmtId="164" fontId="5" fillId="11" borderId="0" xfId="4" applyFont="1" applyFill="1" applyAlignment="1">
      <alignment horizontal="left"/>
    </xf>
    <xf numFmtId="164" fontId="4" fillId="11" borderId="0" xfId="4" applyFont="1" applyFill="1" applyAlignment="1">
      <alignment horizontal="left"/>
    </xf>
    <xf numFmtId="14" fontId="4" fillId="11" borderId="0" xfId="4" applyNumberFormat="1" applyFont="1" applyFill="1" applyAlignment="1">
      <alignment horizontal="center"/>
    </xf>
    <xf numFmtId="164" fontId="4" fillId="11" borderId="0" xfId="4" applyFont="1" applyFill="1"/>
    <xf numFmtId="37" fontId="4" fillId="11" borderId="0" xfId="4" applyNumberFormat="1" applyFont="1" applyFill="1" applyProtection="1"/>
    <xf numFmtId="38" fontId="4" fillId="11" borderId="31" xfId="1" applyNumberFormat="1" applyFont="1" applyFill="1" applyBorder="1" applyProtection="1"/>
    <xf numFmtId="4" fontId="0" fillId="0" borderId="0" xfId="0" applyNumberFormat="1" applyProtection="1"/>
    <xf numFmtId="209" fontId="4" fillId="0" borderId="0" xfId="4" applyNumberFormat="1" applyFont="1" applyBorder="1" applyProtection="1"/>
    <xf numFmtId="210" fontId="0" fillId="0" borderId="0" xfId="0" applyNumberFormat="1"/>
    <xf numFmtId="39" fontId="0" fillId="0" borderId="0" xfId="0" applyNumberFormat="1" applyProtection="1"/>
    <xf numFmtId="14" fontId="21" fillId="0" borderId="0" xfId="4" applyNumberFormat="1" applyFont="1" applyAlignment="1">
      <alignment horizontal="left"/>
    </xf>
    <xf numFmtId="220" fontId="4" fillId="0" borderId="0" xfId="0" applyNumberFormat="1" applyFont="1" applyBorder="1"/>
    <xf numFmtId="37" fontId="20" fillId="0" borderId="0" xfId="0" applyNumberFormat="1" applyFont="1"/>
    <xf numFmtId="37" fontId="20" fillId="0" borderId="0" xfId="0" applyNumberFormat="1" applyFont="1" applyBorder="1"/>
    <xf numFmtId="183" fontId="4" fillId="0" borderId="0" xfId="4" applyNumberFormat="1" applyFont="1" applyBorder="1"/>
    <xf numFmtId="38" fontId="39" fillId="0" borderId="0" xfId="0" applyNumberFormat="1" applyFont="1"/>
    <xf numFmtId="38" fontId="40" fillId="0" borderId="0" xfId="0" applyNumberFormat="1" applyFont="1" applyAlignment="1">
      <alignment horizontal="center"/>
    </xf>
    <xf numFmtId="38" fontId="41" fillId="0" borderId="0" xfId="0" applyNumberFormat="1" applyFont="1" applyAlignment="1">
      <alignment horizontal="center"/>
    </xf>
    <xf numFmtId="37" fontId="8" fillId="0" borderId="0" xfId="0" applyNumberFormat="1" applyFont="1" applyAlignment="1">
      <alignment horizontal="center"/>
    </xf>
    <xf numFmtId="188" fontId="31" fillId="0" borderId="0" xfId="0" applyNumberFormat="1" applyFont="1" applyFill="1"/>
    <xf numFmtId="6" fontId="0" fillId="0" borderId="11" xfId="0" applyNumberFormat="1" applyBorder="1"/>
    <xf numFmtId="17" fontId="4" fillId="0" borderId="42" xfId="0" quotePrefix="1" applyNumberFormat="1" applyFont="1" applyBorder="1" applyAlignment="1">
      <alignment horizontal="center"/>
    </xf>
    <xf numFmtId="6" fontId="10" fillId="0" borderId="0" xfId="1" applyNumberFormat="1" applyFont="1" applyBorder="1"/>
    <xf numFmtId="37" fontId="11" fillId="0" borderId="0" xfId="0" quotePrefix="1" applyNumberFormat="1" applyFont="1" applyBorder="1" applyAlignment="1">
      <alignment horizontal="center"/>
    </xf>
    <xf numFmtId="0" fontId="17" fillId="0" borderId="0" xfId="0" applyFont="1" applyBorder="1"/>
    <xf numFmtId="14" fontId="17" fillId="0" borderId="0" xfId="4" applyNumberFormat="1" applyFont="1" applyAlignment="1">
      <alignment horizontal="center"/>
    </xf>
    <xf numFmtId="14" fontId="17" fillId="0" borderId="0" xfId="0" applyNumberFormat="1" applyFont="1" applyAlignment="1">
      <alignment horizontal="center"/>
    </xf>
    <xf numFmtId="0" fontId="4" fillId="0" borderId="0" xfId="0" applyFont="1" applyBorder="1" applyAlignment="1">
      <alignment horizontal="left"/>
    </xf>
    <xf numFmtId="37" fontId="5" fillId="0" borderId="0" xfId="0" applyNumberFormat="1" applyFont="1" applyBorder="1" applyAlignment="1">
      <alignment horizontal="center"/>
    </xf>
    <xf numFmtId="171" fontId="4" fillId="0" borderId="0" xfId="0" applyNumberFormat="1" applyFont="1" applyFill="1" applyBorder="1" applyProtection="1"/>
    <xf numFmtId="171" fontId="5" fillId="5" borderId="0" xfId="0" applyNumberFormat="1" applyFont="1" applyFill="1" applyBorder="1" applyProtection="1"/>
    <xf numFmtId="171" fontId="4" fillId="0" borderId="0" xfId="0" applyNumberFormat="1" applyFont="1" applyBorder="1" applyProtection="1"/>
    <xf numFmtId="0" fontId="5" fillId="0" borderId="0" xfId="0" applyFont="1" applyFill="1" applyBorder="1" applyAlignment="1">
      <alignment horizontal="left"/>
    </xf>
    <xf numFmtId="0" fontId="4" fillId="0" borderId="11" xfId="0" applyFont="1" applyFill="1" applyBorder="1" applyAlignment="1">
      <alignment horizontal="left"/>
    </xf>
    <xf numFmtId="1" fontId="5" fillId="0" borderId="0" xfId="0" applyNumberFormat="1" applyFont="1" applyFill="1" applyBorder="1" applyAlignment="1">
      <alignment horizontal="center"/>
    </xf>
    <xf numFmtId="166" fontId="4" fillId="0" borderId="5" xfId="1" applyNumberFormat="1" applyFont="1" applyFill="1" applyBorder="1"/>
    <xf numFmtId="171" fontId="5" fillId="0" borderId="5" xfId="0" applyNumberFormat="1" applyFont="1" applyFill="1" applyBorder="1" applyProtection="1"/>
    <xf numFmtId="171" fontId="4" fillId="0" borderId="0" xfId="0" applyNumberFormat="1" applyFont="1" applyFill="1" applyProtection="1"/>
    <xf numFmtId="192" fontId="4" fillId="0" borderId="5" xfId="0" applyNumberFormat="1" applyFont="1" applyFill="1" applyBorder="1" applyProtection="1"/>
    <xf numFmtId="5" fontId="4" fillId="0" borderId="0" xfId="0" applyNumberFormat="1" applyFont="1" applyFill="1" applyBorder="1" applyProtection="1"/>
    <xf numFmtId="186" fontId="4" fillId="0" borderId="0" xfId="0" applyNumberFormat="1" applyFont="1" applyFill="1" applyBorder="1" applyProtection="1"/>
    <xf numFmtId="186" fontId="4" fillId="0" borderId="0" xfId="0" applyNumberFormat="1" applyFont="1" applyFill="1" applyProtection="1"/>
    <xf numFmtId="186" fontId="5" fillId="0" borderId="0" xfId="0" applyNumberFormat="1" applyFont="1" applyFill="1"/>
    <xf numFmtId="41" fontId="28" fillId="0" borderId="0" xfId="0" applyNumberFormat="1" applyFont="1" applyAlignment="1">
      <alignment horizontal="centerContinuous"/>
    </xf>
    <xf numFmtId="6" fontId="0" fillId="0" borderId="0" xfId="2" applyNumberFormat="1" applyFont="1"/>
    <xf numFmtId="38" fontId="1" fillId="0" borderId="31" xfId="0" applyNumberFormat="1" applyFont="1" applyBorder="1"/>
    <xf numFmtId="37" fontId="1" fillId="0" borderId="31" xfId="0" applyNumberFormat="1" applyFont="1" applyBorder="1"/>
    <xf numFmtId="0" fontId="1" fillId="0" borderId="31" xfId="0" applyFont="1" applyBorder="1"/>
    <xf numFmtId="6" fontId="1" fillId="0" borderId="0" xfId="2" applyNumberFormat="1" applyFont="1"/>
    <xf numFmtId="14" fontId="4" fillId="0" borderId="0" xfId="4" applyNumberFormat="1" applyFont="1"/>
    <xf numFmtId="189" fontId="10" fillId="9" borderId="8" xfId="0" applyNumberFormat="1" applyFont="1" applyFill="1" applyBorder="1"/>
    <xf numFmtId="15" fontId="20" fillId="0" borderId="19" xfId="0" applyNumberFormat="1" applyFont="1" applyBorder="1"/>
    <xf numFmtId="225" fontId="0" fillId="0" borderId="0" xfId="0" applyNumberFormat="1"/>
    <xf numFmtId="169" fontId="0" fillId="0" borderId="0" xfId="1" applyNumberFormat="1" applyFont="1"/>
    <xf numFmtId="14" fontId="4" fillId="0" borderId="42" xfId="0" quotePrefix="1" applyNumberFormat="1" applyFont="1" applyBorder="1" applyAlignment="1">
      <alignment horizontal="center"/>
    </xf>
    <xf numFmtId="38" fontId="33" fillId="12" borderId="0" xfId="1" applyNumberFormat="1" applyFont="1" applyFill="1" applyProtection="1"/>
    <xf numFmtId="172" fontId="4" fillId="0" borderId="0" xfId="0" applyNumberFormat="1" applyFont="1" applyBorder="1" applyProtection="1"/>
    <xf numFmtId="5" fontId="17" fillId="0" borderId="0" xfId="0" applyNumberFormat="1" applyFont="1" applyBorder="1"/>
    <xf numFmtId="5" fontId="5" fillId="5" borderId="0" xfId="0" applyNumberFormat="1" applyFont="1" applyFill="1" applyBorder="1"/>
    <xf numFmtId="0" fontId="5" fillId="0" borderId="0" xfId="0" applyFont="1" applyBorder="1"/>
    <xf numFmtId="5" fontId="21" fillId="3" borderId="0" xfId="0" applyNumberFormat="1" applyFont="1" applyFill="1" applyBorder="1" applyProtection="1"/>
    <xf numFmtId="5" fontId="4" fillId="3" borderId="13" xfId="0" applyNumberFormat="1" applyFont="1" applyFill="1" applyBorder="1" applyProtection="1"/>
    <xf numFmtId="5" fontId="21" fillId="3" borderId="13" xfId="0" applyNumberFormat="1" applyFont="1" applyFill="1" applyBorder="1" applyProtection="1"/>
    <xf numFmtId="186" fontId="4" fillId="3" borderId="14" xfId="0" applyNumberFormat="1" applyFont="1" applyFill="1" applyBorder="1" applyProtection="1"/>
    <xf numFmtId="5" fontId="4" fillId="7" borderId="0" xfId="0" applyNumberFormat="1" applyFont="1" applyFill="1" applyBorder="1"/>
    <xf numFmtId="5" fontId="4" fillId="0" borderId="5" xfId="0" applyNumberFormat="1" applyFont="1" applyBorder="1"/>
    <xf numFmtId="5" fontId="4" fillId="4" borderId="0" xfId="0" applyNumberFormat="1" applyFont="1" applyFill="1" applyBorder="1" applyProtection="1"/>
    <xf numFmtId="192" fontId="4" fillId="7" borderId="5" xfId="0" applyNumberFormat="1" applyFont="1" applyFill="1" applyBorder="1"/>
    <xf numFmtId="186" fontId="4" fillId="0" borderId="5" xfId="0" applyNumberFormat="1" applyFont="1" applyFill="1" applyBorder="1" applyProtection="1"/>
    <xf numFmtId="189" fontId="4" fillId="9" borderId="12" xfId="0" applyNumberFormat="1" applyFont="1" applyFill="1" applyBorder="1"/>
    <xf numFmtId="37" fontId="4" fillId="0" borderId="11" xfId="0" applyNumberFormat="1" applyFont="1" applyFill="1" applyBorder="1" applyAlignment="1">
      <alignment horizontal="center"/>
    </xf>
    <xf numFmtId="6" fontId="10" fillId="0" borderId="39" xfId="0" applyNumberFormat="1" applyFont="1" applyFill="1" applyBorder="1"/>
    <xf numFmtId="6" fontId="10" fillId="0" borderId="39" xfId="1" applyNumberFormat="1" applyFont="1" applyFill="1" applyBorder="1"/>
    <xf numFmtId="6" fontId="4" fillId="0" borderId="40" xfId="0" applyNumberFormat="1" applyFont="1" applyFill="1" applyBorder="1"/>
    <xf numFmtId="189" fontId="32" fillId="0" borderId="0" xfId="0" applyNumberFormat="1" applyFont="1" applyFill="1" applyBorder="1"/>
    <xf numFmtId="5" fontId="4" fillId="13" borderId="5" xfId="0" applyNumberFormat="1" applyFont="1" applyFill="1" applyBorder="1" applyProtection="1"/>
    <xf numFmtId="38" fontId="4" fillId="13" borderId="0" xfId="1" applyNumberFormat="1" applyFont="1" applyFill="1" applyProtection="1"/>
    <xf numFmtId="38" fontId="4" fillId="13" borderId="0" xfId="1" applyNumberFormat="1" applyFont="1" applyFill="1"/>
    <xf numFmtId="0" fontId="5" fillId="13" borderId="0" xfId="0" applyFont="1" applyFill="1"/>
    <xf numFmtId="5" fontId="4" fillId="13" borderId="0" xfId="0" applyNumberFormat="1" applyFont="1" applyFill="1" applyProtection="1"/>
    <xf numFmtId="5" fontId="4" fillId="13" borderId="0" xfId="0" applyNumberFormat="1" applyFont="1" applyFill="1" applyBorder="1" applyProtection="1"/>
    <xf numFmtId="5" fontId="21" fillId="13" borderId="5" xfId="0" applyNumberFormat="1" applyFont="1" applyFill="1" applyBorder="1" applyProtection="1"/>
    <xf numFmtId="0" fontId="0" fillId="13" borderId="0" xfId="0" applyFill="1"/>
    <xf numFmtId="5" fontId="4" fillId="0" borderId="5" xfId="0" applyNumberFormat="1" applyFont="1" applyFill="1" applyBorder="1" applyProtection="1"/>
    <xf numFmtId="5" fontId="21" fillId="0" borderId="5" xfId="0" applyNumberFormat="1" applyFont="1" applyFill="1" applyBorder="1"/>
    <xf numFmtId="38" fontId="5" fillId="0" borderId="0" xfId="1" applyNumberFormat="1" applyFont="1" applyFill="1"/>
    <xf numFmtId="0" fontId="8" fillId="0" borderId="0" xfId="0" applyFont="1"/>
    <xf numFmtId="6" fontId="10" fillId="0" borderId="0" xfId="0" applyNumberFormat="1" applyFont="1" applyBorder="1"/>
    <xf numFmtId="6" fontId="4" fillId="0" borderId="0" xfId="0" applyNumberFormat="1" applyFont="1" applyBorder="1"/>
    <xf numFmtId="6" fontId="19" fillId="0" borderId="39" xfId="0" applyNumberFormat="1" applyFont="1" applyBorder="1"/>
    <xf numFmtId="15" fontId="5" fillId="0" borderId="19" xfId="0" applyNumberFormat="1" applyFont="1" applyBorder="1"/>
    <xf numFmtId="1" fontId="6" fillId="0" borderId="0" xfId="0" applyNumberFormat="1" applyFont="1" applyFill="1" applyBorder="1" applyAlignment="1">
      <alignment horizontal="center"/>
    </xf>
    <xf numFmtId="0" fontId="47" fillId="0" borderId="0" xfId="0" applyFont="1" applyAlignment="1">
      <alignment wrapText="1"/>
    </xf>
    <xf numFmtId="0" fontId="0" fillId="0" borderId="0" xfId="0" applyAlignment="1">
      <alignment vertical="top"/>
    </xf>
    <xf numFmtId="0" fontId="28" fillId="0" borderId="0" xfId="0" applyFont="1"/>
    <xf numFmtId="0" fontId="48" fillId="0" borderId="0" xfId="0" applyFont="1" applyAlignment="1">
      <alignment vertical="top"/>
    </xf>
    <xf numFmtId="15" fontId="48" fillId="0" borderId="0" xfId="0" applyNumberFormat="1" applyFont="1"/>
    <xf numFmtId="0" fontId="47" fillId="0" borderId="0" xfId="0" applyFont="1"/>
    <xf numFmtId="0" fontId="49" fillId="0" borderId="0" xfId="0" applyFont="1" applyAlignment="1">
      <alignment vertical="top"/>
    </xf>
    <xf numFmtId="0" fontId="28" fillId="0" borderId="31" xfId="0" applyFont="1" applyBorder="1" applyAlignment="1">
      <alignment vertical="top"/>
    </xf>
    <xf numFmtId="0" fontId="28" fillId="0" borderId="31" xfId="0" applyFont="1" applyBorder="1"/>
    <xf numFmtId="0" fontId="50" fillId="0" borderId="0" xfId="0" applyFont="1" applyAlignment="1">
      <alignment vertical="top"/>
    </xf>
    <xf numFmtId="0" fontId="50" fillId="0" borderId="0" xfId="0" applyFont="1"/>
    <xf numFmtId="6" fontId="0" fillId="0" borderId="0" xfId="2" applyNumberFormat="1" applyFont="1" applyAlignment="1">
      <alignment vertical="top"/>
    </xf>
    <xf numFmtId="6" fontId="47" fillId="0" borderId="0" xfId="2" applyNumberFormat="1" applyFont="1" applyAlignment="1">
      <alignment vertical="top"/>
    </xf>
    <xf numFmtId="6" fontId="28" fillId="0" borderId="31" xfId="2" applyNumberFormat="1" applyFont="1" applyBorder="1" applyAlignment="1">
      <alignment vertical="top"/>
    </xf>
    <xf numFmtId="6" fontId="50" fillId="0" borderId="0" xfId="2" applyNumberFormat="1" applyFont="1" applyAlignment="1">
      <alignment vertical="top"/>
    </xf>
    <xf numFmtId="0" fontId="51" fillId="0" borderId="0" xfId="0" applyFont="1"/>
    <xf numFmtId="0" fontId="0" fillId="0" borderId="0" xfId="0" applyAlignment="1">
      <alignment wrapText="1"/>
    </xf>
    <xf numFmtId="0" fontId="51" fillId="0" borderId="0" xfId="0" applyFont="1" applyAlignment="1">
      <alignment horizontal="center" wrapText="1"/>
    </xf>
    <xf numFmtId="0" fontId="0" fillId="0" borderId="0" xfId="0" applyAlignment="1">
      <alignment horizontal="center" vertical="top"/>
    </xf>
    <xf numFmtId="209" fontId="0" fillId="0" borderId="0" xfId="2" applyNumberFormat="1" applyFont="1" applyAlignment="1">
      <alignment vertical="top"/>
    </xf>
    <xf numFmtId="15" fontId="48" fillId="0" borderId="0" xfId="0" applyNumberFormat="1" applyFont="1" applyAlignment="1">
      <alignment horizontal="left" vertical="top"/>
    </xf>
    <xf numFmtId="15" fontId="48" fillId="0" borderId="0" xfId="0" applyNumberFormat="1" applyFont="1" applyAlignment="1">
      <alignment horizontal="center" vertical="top"/>
    </xf>
    <xf numFmtId="0" fontId="51" fillId="0" borderId="0" xfId="0" applyFont="1" applyAlignment="1">
      <alignment vertical="top"/>
    </xf>
    <xf numFmtId="209" fontId="51" fillId="0" borderId="0" xfId="2" applyNumberFormat="1" applyFont="1" applyAlignment="1">
      <alignment horizontal="center" vertical="top"/>
    </xf>
    <xf numFmtId="0" fontId="51" fillId="0" borderId="0" xfId="0" applyFont="1" applyAlignment="1">
      <alignment horizontal="center" vertical="top"/>
    </xf>
    <xf numFmtId="209" fontId="0" fillId="0" borderId="0" xfId="2" applyNumberFormat="1" applyFont="1" applyFill="1" applyAlignment="1">
      <alignment vertical="top"/>
    </xf>
    <xf numFmtId="38" fontId="5" fillId="0" borderId="0" xfId="1" applyNumberFormat="1" applyFont="1" applyAlignment="1">
      <alignment horizontal="left"/>
    </xf>
    <xf numFmtId="38" fontId="0" fillId="0" borderId="11" xfId="0" applyNumberFormat="1" applyFill="1" applyBorder="1"/>
    <xf numFmtId="15" fontId="1" fillId="6" borderId="0" xfId="0" applyNumberFormat="1" applyFont="1" applyFill="1"/>
    <xf numFmtId="0" fontId="0" fillId="6" borderId="0" xfId="0" applyFill="1"/>
    <xf numFmtId="38" fontId="0" fillId="6" borderId="63" xfId="0" applyNumberFormat="1" applyFill="1" applyBorder="1"/>
    <xf numFmtId="38" fontId="0" fillId="6" borderId="11" xfId="0" applyNumberFormat="1" applyFill="1" applyBorder="1"/>
    <xf numFmtId="0" fontId="0" fillId="6" borderId="61" xfId="0" applyFill="1" applyBorder="1"/>
    <xf numFmtId="15" fontId="0" fillId="6" borderId="11" xfId="0" applyNumberFormat="1" applyFill="1" applyBorder="1"/>
    <xf numFmtId="0" fontId="0" fillId="6" borderId="11" xfId="0" applyFill="1" applyBorder="1"/>
    <xf numFmtId="38" fontId="0" fillId="6" borderId="13" xfId="0" applyNumberFormat="1" applyFill="1" applyBorder="1"/>
    <xf numFmtId="37" fontId="0" fillId="6" borderId="11" xfId="0" applyNumberFormat="1" applyFill="1" applyBorder="1"/>
    <xf numFmtId="38" fontId="0" fillId="6" borderId="31" xfId="0" applyNumberFormat="1" applyFill="1" applyBorder="1"/>
    <xf numFmtId="37" fontId="37" fillId="6" borderId="11" xfId="0" applyNumberFormat="1" applyFont="1" applyFill="1" applyBorder="1" applyAlignment="1">
      <alignment horizontal="left"/>
    </xf>
    <xf numFmtId="38" fontId="0" fillId="6" borderId="41" xfId="0" applyNumberFormat="1" applyFill="1" applyBorder="1"/>
    <xf numFmtId="0" fontId="0" fillId="6" borderId="31" xfId="0" applyFill="1" applyBorder="1"/>
    <xf numFmtId="38" fontId="30" fillId="6" borderId="12" xfId="0" applyNumberFormat="1" applyFont="1" applyFill="1" applyBorder="1"/>
    <xf numFmtId="6" fontId="0" fillId="6" borderId="0" xfId="2" applyNumberFormat="1" applyFont="1" applyFill="1"/>
    <xf numFmtId="37" fontId="7" fillId="0" borderId="4" xfId="0" quotePrefix="1" applyNumberFormat="1" applyFont="1" applyBorder="1"/>
    <xf numFmtId="209" fontId="4" fillId="0" borderId="0" xfId="2" applyNumberFormat="1" applyFont="1"/>
    <xf numFmtId="39" fontId="11" fillId="0" borderId="4" xfId="0" applyNumberFormat="1" applyFont="1" applyBorder="1" applyAlignment="1">
      <alignment horizontal="right"/>
    </xf>
    <xf numFmtId="37" fontId="54" fillId="0" borderId="3" xfId="0" applyNumberFormat="1" applyFont="1" applyFill="1" applyBorder="1"/>
    <xf numFmtId="37" fontId="54" fillId="0" borderId="4" xfId="0" applyNumberFormat="1" applyFont="1" applyBorder="1"/>
    <xf numFmtId="37" fontId="29" fillId="0" borderId="0" xfId="0" applyNumberFormat="1" applyFont="1"/>
    <xf numFmtId="37" fontId="29" fillId="0" borderId="4" xfId="0" applyNumberFormat="1" applyFont="1" applyBorder="1"/>
    <xf numFmtId="37" fontId="54" fillId="0" borderId="3" xfId="0" applyNumberFormat="1" applyFont="1" applyBorder="1"/>
    <xf numFmtId="209" fontId="0" fillId="0" borderId="0" xfId="0" applyNumberFormat="1"/>
    <xf numFmtId="209" fontId="4" fillId="0" borderId="0" xfId="0" applyNumberFormat="1" applyFont="1"/>
    <xf numFmtId="0" fontId="55" fillId="0" borderId="0" xfId="0" applyFont="1" applyAlignment="1">
      <alignment horizontal="right"/>
    </xf>
    <xf numFmtId="0" fontId="36" fillId="0" borderId="0" xfId="0" applyFont="1" applyAlignment="1">
      <alignment horizontal="right"/>
    </xf>
    <xf numFmtId="0" fontId="56" fillId="0" borderId="11" xfId="0" applyFont="1" applyBorder="1"/>
    <xf numFmtId="226" fontId="28" fillId="0" borderId="0" xfId="0" applyNumberFormat="1" applyFont="1" applyAlignment="1">
      <alignment horizontal="left"/>
    </xf>
    <xf numFmtId="0" fontId="58" fillId="0" borderId="0" xfId="0" applyFont="1"/>
    <xf numFmtId="0" fontId="57" fillId="9" borderId="0" xfId="0" applyFont="1" applyFill="1"/>
    <xf numFmtId="0" fontId="32" fillId="0" borderId="0" xfId="0" applyFont="1" applyFill="1" applyAlignment="1">
      <alignment horizontal="right"/>
    </xf>
    <xf numFmtId="190" fontId="9" fillId="0" borderId="0" xfId="0" applyNumberFormat="1" applyFont="1" applyFill="1" applyAlignment="1">
      <alignment horizontal="left"/>
    </xf>
    <xf numFmtId="37" fontId="10" fillId="0" borderId="0" xfId="0" applyNumberFormat="1" applyFont="1" applyFill="1"/>
    <xf numFmtId="15" fontId="5" fillId="0" borderId="0" xfId="0" applyNumberFormat="1" applyFont="1" applyFill="1"/>
    <xf numFmtId="227" fontId="5" fillId="0" borderId="0" xfId="0" applyNumberFormat="1" applyFont="1" applyAlignment="1">
      <alignment horizontal="left"/>
    </xf>
    <xf numFmtId="227" fontId="1" fillId="0" borderId="0" xfId="0" applyNumberFormat="1" applyFont="1"/>
    <xf numFmtId="37" fontId="59" fillId="0" borderId="0" xfId="0" applyNumberFormat="1" applyFont="1" applyAlignment="1">
      <alignment horizontal="right"/>
    </xf>
    <xf numFmtId="192" fontId="5" fillId="0" borderId="5" xfId="0" applyNumberFormat="1" applyFont="1" applyBorder="1" applyProtection="1"/>
    <xf numFmtId="5" fontId="5" fillId="7" borderId="5" xfId="0" applyNumberFormat="1" applyFont="1" applyFill="1" applyBorder="1"/>
    <xf numFmtId="38" fontId="60" fillId="0" borderId="0" xfId="1" applyNumberFormat="1" applyFont="1" applyAlignment="1">
      <alignment horizontal="left" indent="5"/>
    </xf>
    <xf numFmtId="0" fontId="28" fillId="0" borderId="64" xfId="0" applyFont="1" applyFill="1" applyBorder="1"/>
    <xf numFmtId="40" fontId="0" fillId="0" borderId="0" xfId="0" applyNumberFormat="1"/>
    <xf numFmtId="6" fontId="10" fillId="3" borderId="39" xfId="0" applyNumberFormat="1" applyFont="1" applyFill="1" applyBorder="1"/>
    <xf numFmtId="6" fontId="10" fillId="3" borderId="39" xfId="1" applyNumberFormat="1" applyFont="1" applyFill="1" applyBorder="1"/>
    <xf numFmtId="37" fontId="51" fillId="0" borderId="0" xfId="0" applyNumberFormat="1" applyFont="1"/>
    <xf numFmtId="37" fontId="48" fillId="0" borderId="0" xfId="0" applyNumberFormat="1" applyFont="1" applyAlignment="1">
      <alignment horizontal="right"/>
    </xf>
    <xf numFmtId="15" fontId="28" fillId="0" borderId="0" xfId="0" applyNumberFormat="1" applyFont="1"/>
    <xf numFmtId="37" fontId="29" fillId="0" borderId="0" xfId="0" applyNumberFormat="1" applyFont="1" applyBorder="1"/>
    <xf numFmtId="37" fontId="51" fillId="0" borderId="17" xfId="0" applyNumberFormat="1" applyFont="1" applyBorder="1"/>
    <xf numFmtId="37" fontId="29" fillId="0" borderId="18" xfId="0" applyNumberFormat="1" applyFont="1" applyBorder="1"/>
    <xf numFmtId="37" fontId="29" fillId="0" borderId="2" xfId="0" applyNumberFormat="1" applyFont="1" applyBorder="1"/>
    <xf numFmtId="37" fontId="29" fillId="0" borderId="0" xfId="0" applyNumberFormat="1" applyFont="1" applyAlignment="1">
      <alignment horizontal="center"/>
    </xf>
    <xf numFmtId="37" fontId="39" fillId="0" borderId="20" xfId="0" applyNumberFormat="1" applyFont="1" applyBorder="1"/>
    <xf numFmtId="37" fontId="39" fillId="0" borderId="0" xfId="0" applyNumberFormat="1" applyFont="1" applyBorder="1" applyAlignment="1">
      <alignment horizontal="right"/>
    </xf>
    <xf numFmtId="37" fontId="39" fillId="0" borderId="21" xfId="0" applyNumberFormat="1" applyFont="1" applyBorder="1" applyAlignment="1">
      <alignment horizontal="right"/>
    </xf>
    <xf numFmtId="37" fontId="29" fillId="0" borderId="20" xfId="0" applyNumberFormat="1" applyFont="1" applyBorder="1"/>
    <xf numFmtId="37" fontId="29" fillId="0" borderId="21" xfId="0" applyNumberFormat="1" applyFont="1" applyBorder="1"/>
    <xf numFmtId="37" fontId="28" fillId="0" borderId="0" xfId="0" applyNumberFormat="1" applyFont="1"/>
    <xf numFmtId="37" fontId="41" fillId="0" borderId="20" xfId="0" applyNumberFormat="1" applyFont="1" applyBorder="1"/>
    <xf numFmtId="0" fontId="29" fillId="0" borderId="0" xfId="0" applyFont="1" applyBorder="1"/>
    <xf numFmtId="37" fontId="29" fillId="0" borderId="0" xfId="0" quotePrefix="1" applyNumberFormat="1" applyFont="1"/>
    <xf numFmtId="38" fontId="54" fillId="0" borderId="0" xfId="1" applyNumberFormat="1" applyFont="1" applyBorder="1"/>
    <xf numFmtId="38" fontId="54" fillId="0" borderId="21" xfId="1" applyNumberFormat="1" applyFont="1" applyBorder="1"/>
    <xf numFmtId="171" fontId="29" fillId="0" borderId="0" xfId="0" applyNumberFormat="1" applyFont="1"/>
    <xf numFmtId="38" fontId="54" fillId="0" borderId="0" xfId="1" applyNumberFormat="1" applyFont="1"/>
    <xf numFmtId="171" fontId="29" fillId="0" borderId="0" xfId="0" applyNumberFormat="1" applyFont="1" applyBorder="1"/>
    <xf numFmtId="37" fontId="29" fillId="0" borderId="0" xfId="0" applyNumberFormat="1" applyFont="1" applyBorder="1" applyAlignment="1">
      <alignment horizontal="center"/>
    </xf>
    <xf numFmtId="171" fontId="29" fillId="0" borderId="35" xfId="0" applyNumberFormat="1" applyFont="1" applyBorder="1"/>
    <xf numFmtId="171" fontId="29" fillId="0" borderId="36" xfId="0" applyNumberFormat="1" applyFont="1" applyBorder="1"/>
    <xf numFmtId="166" fontId="29" fillId="0" borderId="0" xfId="1" applyNumberFormat="1" applyFont="1" applyBorder="1"/>
    <xf numFmtId="183" fontId="29" fillId="0" borderId="21" xfId="0" applyNumberFormat="1" applyFont="1" applyBorder="1"/>
    <xf numFmtId="171" fontId="29" fillId="0" borderId="0" xfId="1" applyNumberFormat="1" applyFont="1" applyBorder="1" applyAlignment="1">
      <alignment horizontal="center"/>
    </xf>
    <xf numFmtId="0" fontId="29" fillId="0" borderId="0" xfId="0" quotePrefix="1" applyFont="1" applyBorder="1" applyAlignment="1">
      <alignment horizontal="center"/>
    </xf>
    <xf numFmtId="37" fontId="39" fillId="0" borderId="0" xfId="0" applyNumberFormat="1" applyFont="1" applyBorder="1"/>
    <xf numFmtId="165" fontId="29" fillId="0" borderId="0" xfId="1" applyNumberFormat="1" applyFont="1" applyBorder="1"/>
    <xf numFmtId="165" fontId="54" fillId="0" borderId="21" xfId="1" applyNumberFormat="1" applyFont="1" applyBorder="1"/>
    <xf numFmtId="171" fontId="29" fillId="0" borderId="0" xfId="0" applyNumberFormat="1" applyFont="1" applyBorder="1" applyAlignment="1">
      <alignment horizontal="center"/>
    </xf>
    <xf numFmtId="0" fontId="29" fillId="0" borderId="25" xfId="0" applyFont="1" applyBorder="1"/>
    <xf numFmtId="165" fontId="29" fillId="0" borderId="1" xfId="1" applyNumberFormat="1" applyFont="1" applyBorder="1"/>
    <xf numFmtId="165" fontId="29" fillId="0" borderId="37" xfId="0" applyNumberFormat="1" applyFont="1" applyBorder="1"/>
    <xf numFmtId="37" fontId="28" fillId="0" borderId="53" xfId="0" applyNumberFormat="1" applyFont="1" applyBorder="1"/>
    <xf numFmtId="38" fontId="37" fillId="0" borderId="0" xfId="1" applyNumberFormat="1" applyFont="1" applyBorder="1"/>
    <xf numFmtId="0" fontId="29" fillId="0" borderId="1" xfId="0" applyFont="1" applyBorder="1"/>
    <xf numFmtId="0" fontId="29" fillId="0" borderId="37" xfId="0" applyFont="1" applyBorder="1"/>
    <xf numFmtId="38" fontId="29" fillId="0" borderId="0" xfId="1" applyNumberFormat="1" applyFont="1" applyBorder="1"/>
    <xf numFmtId="37" fontId="37" fillId="0" borderId="4" xfId="0" applyNumberFormat="1" applyFont="1" applyBorder="1"/>
    <xf numFmtId="37" fontId="29" fillId="0" borderId="53" xfId="0" applyNumberFormat="1" applyFont="1" applyBorder="1"/>
    <xf numFmtId="37" fontId="28" fillId="0" borderId="5" xfId="0" applyNumberFormat="1" applyFont="1" applyBorder="1"/>
    <xf numFmtId="37" fontId="29" fillId="0" borderId="17" xfId="0" applyNumberFormat="1" applyFont="1" applyBorder="1"/>
    <xf numFmtId="0" fontId="29" fillId="0" borderId="18" xfId="0" applyFont="1" applyBorder="1"/>
    <xf numFmtId="0" fontId="29" fillId="0" borderId="2" xfId="0" applyFont="1" applyBorder="1"/>
    <xf numFmtId="37" fontId="51" fillId="0" borderId="20" xfId="0" applyNumberFormat="1" applyFont="1" applyBorder="1" applyAlignment="1">
      <alignment horizontal="centerContinuous"/>
    </xf>
    <xf numFmtId="37" fontId="51" fillId="0" borderId="0" xfId="0" applyNumberFormat="1" applyFont="1" applyBorder="1" applyAlignment="1">
      <alignment horizontal="centerContinuous"/>
    </xf>
    <xf numFmtId="37" fontId="40" fillId="0" borderId="0" xfId="0" applyNumberFormat="1" applyFont="1" applyBorder="1" applyAlignment="1">
      <alignment horizontal="center"/>
    </xf>
    <xf numFmtId="0" fontId="29" fillId="0" borderId="21" xfId="0" applyFont="1" applyBorder="1"/>
    <xf numFmtId="37" fontId="61" fillId="0" borderId="4" xfId="0" applyNumberFormat="1" applyFont="1" applyBorder="1"/>
    <xf numFmtId="0" fontId="29" fillId="0" borderId="20" xfId="0" applyFont="1" applyBorder="1"/>
    <xf numFmtId="37" fontId="48" fillId="0" borderId="0" xfId="0" applyNumberFormat="1" applyFont="1" applyBorder="1"/>
    <xf numFmtId="38" fontId="28" fillId="0" borderId="0" xfId="1" applyNumberFormat="1" applyFont="1" applyBorder="1"/>
    <xf numFmtId="38" fontId="28" fillId="0" borderId="0" xfId="1" applyNumberFormat="1" applyFont="1" applyBorder="1" applyAlignment="1"/>
    <xf numFmtId="37" fontId="29" fillId="0" borderId="25" xfId="0" applyNumberFormat="1" applyFont="1" applyBorder="1"/>
    <xf numFmtId="37" fontId="29" fillId="0" borderId="1" xfId="0" applyNumberFormat="1" applyFont="1" applyBorder="1"/>
    <xf numFmtId="37" fontId="37" fillId="0" borderId="1" xfId="0" applyNumberFormat="1" applyFont="1" applyBorder="1"/>
    <xf numFmtId="37" fontId="29" fillId="0" borderId="37" xfId="0" applyNumberFormat="1" applyFont="1" applyBorder="1"/>
    <xf numFmtId="37" fontId="62" fillId="2" borderId="13" xfId="0" applyNumberFormat="1" applyFont="1" applyFill="1" applyBorder="1" applyAlignment="1">
      <alignment horizontal="centerContinuous"/>
    </xf>
    <xf numFmtId="37" fontId="62" fillId="2" borderId="14" xfId="0" applyNumberFormat="1" applyFont="1" applyFill="1" applyBorder="1" applyAlignment="1">
      <alignment horizontal="centerContinuous"/>
    </xf>
    <xf numFmtId="38" fontId="29" fillId="0" borderId="0" xfId="0" applyNumberFormat="1" applyFont="1"/>
    <xf numFmtId="37" fontId="29" fillId="1" borderId="0" xfId="0" applyNumberFormat="1" applyFont="1" applyFill="1" applyAlignment="1">
      <alignment horizontal="centerContinuous"/>
    </xf>
    <xf numFmtId="0" fontId="29" fillId="1" borderId="0" xfId="0" applyFont="1" applyFill="1" applyAlignment="1">
      <alignment horizontal="centerContinuous"/>
    </xf>
    <xf numFmtId="37" fontId="63" fillId="0" borderId="3" xfId="0" applyNumberFormat="1" applyFont="1" applyBorder="1" applyAlignment="1">
      <alignment horizontal="center"/>
    </xf>
    <xf numFmtId="37" fontId="63" fillId="0" borderId="5" xfId="0" applyNumberFormat="1" applyFont="1" applyBorder="1" applyAlignment="1">
      <alignment horizontal="center"/>
    </xf>
    <xf numFmtId="37" fontId="63" fillId="0" borderId="5" xfId="0" applyNumberFormat="1" applyFont="1" applyBorder="1" applyAlignment="1">
      <alignment horizontal="right"/>
    </xf>
    <xf numFmtId="37" fontId="29" fillId="1" borderId="13" xfId="0" applyNumberFormat="1" applyFont="1" applyFill="1" applyBorder="1" applyAlignment="1">
      <alignment horizontal="center"/>
    </xf>
    <xf numFmtId="0" fontId="29" fillId="1" borderId="14" xfId="0" applyFont="1" applyFill="1" applyBorder="1" applyAlignment="1">
      <alignment horizontal="center"/>
    </xf>
    <xf numFmtId="37" fontId="63" fillId="0" borderId="52" xfId="0" applyNumberFormat="1" applyFont="1" applyBorder="1" applyAlignment="1">
      <alignment horizontal="center"/>
    </xf>
    <xf numFmtId="17" fontId="64" fillId="0" borderId="3" xfId="0" applyNumberFormat="1" applyFont="1" applyBorder="1" applyAlignment="1">
      <alignment horizontal="center"/>
    </xf>
    <xf numFmtId="178" fontId="65" fillId="0" borderId="3" xfId="0" applyNumberFormat="1" applyFont="1" applyBorder="1" applyAlignment="1">
      <alignment horizontal="center"/>
    </xf>
    <xf numFmtId="178" fontId="29" fillId="0" borderId="0" xfId="0" applyNumberFormat="1" applyFont="1"/>
    <xf numFmtId="37" fontId="29" fillId="1" borderId="3" xfId="0" applyNumberFormat="1" applyFont="1" applyFill="1" applyBorder="1" applyAlignment="1">
      <alignment horizontal="center"/>
    </xf>
    <xf numFmtId="178" fontId="29" fillId="1" borderId="3" xfId="0" applyNumberFormat="1" applyFont="1" applyFill="1" applyBorder="1" applyAlignment="1">
      <alignment horizontal="center"/>
    </xf>
    <xf numFmtId="178" fontId="29" fillId="0" borderId="0" xfId="0" applyNumberFormat="1" applyFont="1" applyBorder="1"/>
    <xf numFmtId="37" fontId="63" fillId="0" borderId="6" xfId="0" applyNumberFormat="1" applyFont="1" applyBorder="1" applyAlignment="1">
      <alignment horizontal="center"/>
    </xf>
    <xf numFmtId="37" fontId="65" fillId="1" borderId="6" xfId="0" applyNumberFormat="1" applyFont="1" applyFill="1" applyBorder="1" applyAlignment="1">
      <alignment horizontal="center"/>
    </xf>
    <xf numFmtId="37" fontId="29" fillId="1" borderId="4" xfId="0" applyNumberFormat="1" applyFont="1" applyFill="1" applyBorder="1" applyAlignment="1">
      <alignment horizontal="center"/>
    </xf>
    <xf numFmtId="0" fontId="29" fillId="1" borderId="4" xfId="0" applyFont="1" applyFill="1" applyBorder="1" applyAlignment="1">
      <alignment horizontal="center"/>
    </xf>
    <xf numFmtId="37" fontId="63" fillId="0" borderId="4" xfId="0" applyNumberFormat="1" applyFont="1" applyBorder="1" applyAlignment="1">
      <alignment horizontal="center"/>
    </xf>
    <xf numFmtId="37" fontId="63" fillId="0" borderId="7" xfId="0" applyNumberFormat="1" applyFont="1" applyBorder="1" applyAlignment="1">
      <alignment horizontal="center"/>
    </xf>
    <xf numFmtId="37" fontId="66" fillId="0" borderId="0" xfId="0" applyNumberFormat="1" applyFont="1" applyBorder="1" applyAlignment="1">
      <alignment horizontal="center"/>
    </xf>
    <xf numFmtId="37" fontId="66" fillId="0" borderId="8" xfId="0" applyNumberFormat="1" applyFont="1" applyBorder="1" applyAlignment="1">
      <alignment horizontal="center"/>
    </xf>
    <xf numFmtId="37" fontId="63" fillId="0" borderId="4" xfId="0" applyNumberFormat="1" applyFont="1" applyBorder="1" applyAlignment="1">
      <alignment horizontal="right"/>
    </xf>
    <xf numFmtId="38" fontId="54" fillId="0" borderId="8" xfId="1" applyNumberFormat="1" applyFont="1" applyBorder="1"/>
    <xf numFmtId="0" fontId="29" fillId="0" borderId="0" xfId="0" applyFont="1" applyFill="1"/>
    <xf numFmtId="38" fontId="29" fillId="0" borderId="0" xfId="1" applyNumberFormat="1" applyFont="1"/>
    <xf numFmtId="37" fontId="29" fillId="0" borderId="4" xfId="0" applyNumberFormat="1" applyFont="1" applyFill="1" applyBorder="1"/>
    <xf numFmtId="38" fontId="54" fillId="0" borderId="0" xfId="1" applyNumberFormat="1" applyFont="1" applyFill="1"/>
    <xf numFmtId="38" fontId="29" fillId="0" borderId="0" xfId="0" applyNumberFormat="1" applyFont="1" applyFill="1"/>
    <xf numFmtId="37" fontId="29" fillId="0" borderId="0" xfId="0" applyNumberFormat="1" applyFont="1" applyFill="1"/>
    <xf numFmtId="37" fontId="29" fillId="1" borderId="6" xfId="0" applyNumberFormat="1" applyFont="1" applyFill="1" applyBorder="1" applyAlignment="1">
      <alignment horizontal="center"/>
    </xf>
    <xf numFmtId="0" fontId="29" fillId="1" borderId="6" xfId="0" applyFont="1" applyFill="1" applyBorder="1" applyAlignment="1">
      <alignment horizontal="center"/>
    </xf>
    <xf numFmtId="38" fontId="29" fillId="0" borderId="0" xfId="1" applyNumberFormat="1" applyFont="1" applyFill="1"/>
    <xf numFmtId="38" fontId="29" fillId="0" borderId="8" xfId="1" applyNumberFormat="1" applyFont="1" applyBorder="1"/>
    <xf numFmtId="37" fontId="63" fillId="0" borderId="9" xfId="0" applyNumberFormat="1" applyFont="1" applyBorder="1" applyAlignment="1">
      <alignment horizontal="right"/>
    </xf>
    <xf numFmtId="37" fontId="63" fillId="0" borderId="10" xfId="0" applyNumberFormat="1" applyFont="1" applyBorder="1" applyAlignment="1">
      <alignment horizontal="right"/>
    </xf>
    <xf numFmtId="37" fontId="63" fillId="0" borderId="6" xfId="0" applyNumberFormat="1" applyFont="1" applyBorder="1" applyAlignment="1">
      <alignment horizontal="right"/>
    </xf>
    <xf numFmtId="38" fontId="29" fillId="0" borderId="11" xfId="1" applyNumberFormat="1" applyFont="1" applyBorder="1"/>
    <xf numFmtId="38" fontId="29" fillId="0" borderId="12" xfId="1" applyNumberFormat="1" applyFont="1" applyBorder="1"/>
    <xf numFmtId="37" fontId="63" fillId="0" borderId="0" xfId="0" applyNumberFormat="1" applyFont="1" applyBorder="1" applyAlignment="1">
      <alignment horizontal="right"/>
    </xf>
    <xf numFmtId="37" fontId="29" fillId="0" borderId="0" xfId="0" applyNumberFormat="1" applyFont="1" applyFill="1" applyBorder="1" applyAlignment="1">
      <alignment horizontal="center"/>
    </xf>
    <xf numFmtId="0" fontId="29" fillId="0" borderId="0" xfId="0" applyFont="1" applyFill="1" applyBorder="1" applyAlignment="1">
      <alignment horizontal="center"/>
    </xf>
    <xf numFmtId="178" fontId="29" fillId="0" borderId="0" xfId="0" applyNumberFormat="1" applyFont="1" applyFill="1" applyBorder="1" applyAlignment="1">
      <alignment horizontal="center"/>
    </xf>
    <xf numFmtId="37" fontId="29" fillId="0" borderId="0" xfId="0" applyNumberFormat="1" applyFont="1" applyFill="1" applyBorder="1"/>
    <xf numFmtId="37" fontId="29" fillId="0" borderId="10" xfId="0" applyNumberFormat="1" applyFont="1" applyBorder="1"/>
    <xf numFmtId="38" fontId="54" fillId="0" borderId="11" xfId="1" applyNumberFormat="1" applyFont="1" applyBorder="1"/>
    <xf numFmtId="38" fontId="54" fillId="0" borderId="12" xfId="1" applyNumberFormat="1" applyFont="1" applyBorder="1"/>
    <xf numFmtId="37" fontId="28" fillId="0" borderId="26" xfId="0" applyNumberFormat="1" applyFont="1" applyBorder="1"/>
    <xf numFmtId="37" fontId="29" fillId="0" borderId="26" xfId="0" applyNumberFormat="1" applyFont="1" applyBorder="1"/>
    <xf numFmtId="37" fontId="29" fillId="0" borderId="27" xfId="0" applyNumberFormat="1" applyFont="1" applyBorder="1"/>
    <xf numFmtId="37" fontId="29" fillId="0" borderId="28" xfId="0" applyNumberFormat="1" applyFont="1" applyBorder="1"/>
    <xf numFmtId="37" fontId="63" fillId="0" borderId="38" xfId="0" applyNumberFormat="1" applyFont="1" applyBorder="1" applyAlignment="1">
      <alignment horizontal="center"/>
    </xf>
    <xf numFmtId="37" fontId="63" fillId="0" borderId="13" xfId="0" applyNumberFormat="1" applyFont="1" applyBorder="1" applyAlignment="1">
      <alignment horizontal="centerContinuous"/>
    </xf>
    <xf numFmtId="37" fontId="29" fillId="0" borderId="31" xfId="0" applyNumberFormat="1" applyFont="1" applyBorder="1" applyAlignment="1">
      <alignment horizontal="centerContinuous"/>
    </xf>
    <xf numFmtId="37" fontId="29" fillId="0" borderId="14" xfId="0" applyNumberFormat="1" applyFont="1" applyBorder="1" applyAlignment="1">
      <alignment horizontal="centerContinuous"/>
    </xf>
    <xf numFmtId="38" fontId="63" fillId="0" borderId="50" xfId="1" applyNumberFormat="1" applyFont="1" applyBorder="1" applyAlignment="1">
      <alignment horizontal="center"/>
    </xf>
    <xf numFmtId="37" fontId="63" fillId="0" borderId="38" xfId="0" applyNumberFormat="1" applyFont="1" applyBorder="1" applyAlignment="1">
      <alignment horizontal="centerContinuous"/>
    </xf>
    <xf numFmtId="37" fontId="67" fillId="0" borderId="12" xfId="0" applyNumberFormat="1" applyFont="1" applyBorder="1" applyAlignment="1">
      <alignment horizontal="centerContinuous"/>
    </xf>
    <xf numFmtId="37" fontId="68" fillId="0" borderId="12" xfId="0" applyNumberFormat="1" applyFont="1" applyBorder="1" applyAlignment="1">
      <alignment horizontal="centerContinuous"/>
    </xf>
    <xf numFmtId="38" fontId="63" fillId="0" borderId="41" xfId="1" applyNumberFormat="1" applyFont="1" applyBorder="1" applyAlignment="1">
      <alignment horizontal="center"/>
    </xf>
    <xf numFmtId="37" fontId="29" fillId="0" borderId="42" xfId="0" applyNumberFormat="1" applyFont="1" applyBorder="1" applyAlignment="1">
      <alignment horizontal="center"/>
    </xf>
    <xf numFmtId="37" fontId="29" fillId="0" borderId="8" xfId="0" applyNumberFormat="1" applyFont="1" applyBorder="1"/>
    <xf numFmtId="6" fontId="61" fillId="0" borderId="39" xfId="0" applyNumberFormat="1" applyFont="1" applyBorder="1"/>
    <xf numFmtId="15" fontId="29" fillId="0" borderId="19" xfId="0" applyNumberFormat="1" applyFont="1" applyBorder="1" applyAlignment="1">
      <alignment horizontal="left"/>
    </xf>
    <xf numFmtId="37" fontId="29" fillId="0" borderId="0" xfId="0" applyNumberFormat="1" applyFont="1" applyBorder="1" applyAlignment="1">
      <alignment horizontal="left"/>
    </xf>
    <xf numFmtId="0" fontId="29" fillId="0" borderId="8" xfId="0" applyFont="1" applyBorder="1"/>
    <xf numFmtId="17" fontId="29" fillId="0" borderId="42" xfId="0" applyNumberFormat="1" applyFont="1" applyBorder="1" applyAlignment="1">
      <alignment horizontal="center"/>
    </xf>
    <xf numFmtId="15" fontId="29" fillId="0" borderId="19" xfId="0" applyNumberFormat="1" applyFont="1" applyBorder="1"/>
    <xf numFmtId="37" fontId="29" fillId="0" borderId="0" xfId="0" applyNumberFormat="1" applyFont="1" applyBorder="1" applyProtection="1"/>
    <xf numFmtId="6" fontId="61" fillId="0" borderId="39" xfId="1" applyNumberFormat="1" applyFont="1" applyBorder="1"/>
    <xf numFmtId="37" fontId="29" fillId="0" borderId="8" xfId="0" applyNumberFormat="1" applyFont="1" applyBorder="1" applyProtection="1"/>
    <xf numFmtId="37" fontId="29" fillId="0" borderId="0" xfId="0" applyNumberFormat="1" applyFont="1" applyBorder="1" applyAlignment="1">
      <alignment horizontal="fill" wrapText="1"/>
    </xf>
    <xf numFmtId="6" fontId="29" fillId="0" borderId="39" xfId="0" applyNumberFormat="1" applyFont="1" applyBorder="1"/>
    <xf numFmtId="37" fontId="29" fillId="0" borderId="19" xfId="0" applyNumberFormat="1" applyFont="1" applyBorder="1"/>
    <xf numFmtId="37" fontId="29" fillId="0" borderId="0" xfId="0" applyNumberFormat="1" applyFont="1" applyBorder="1" applyAlignment="1">
      <alignment horizontal="right"/>
    </xf>
    <xf numFmtId="6" fontId="29" fillId="0" borderId="40" xfId="0" applyNumberFormat="1" applyFont="1" applyBorder="1"/>
    <xf numFmtId="37" fontId="29" fillId="0" borderId="22" xfId="0" applyNumberFormat="1" applyFont="1" applyBorder="1"/>
    <xf numFmtId="37" fontId="29" fillId="0" borderId="23" xfId="0" applyNumberFormat="1" applyFont="1" applyBorder="1"/>
    <xf numFmtId="37" fontId="29" fillId="0" borderId="24" xfId="0" applyNumberFormat="1" applyFont="1" applyBorder="1"/>
    <xf numFmtId="14" fontId="29" fillId="0" borderId="42" xfId="0" applyNumberFormat="1" applyFont="1" applyBorder="1" applyAlignment="1">
      <alignment horizontal="center"/>
    </xf>
    <xf numFmtId="14" fontId="29" fillId="0" borderId="19" xfId="0" applyNumberFormat="1" applyFont="1" applyBorder="1" applyAlignment="1">
      <alignment horizontal="center"/>
    </xf>
    <xf numFmtId="14" fontId="29" fillId="0" borderId="22" xfId="0" applyNumberFormat="1" applyFont="1" applyBorder="1"/>
    <xf numFmtId="37" fontId="28" fillId="0" borderId="29" xfId="0" applyNumberFormat="1" applyFont="1" applyBorder="1"/>
    <xf numFmtId="37" fontId="29" fillId="0" borderId="15" xfId="0" applyNumberFormat="1" applyFont="1" applyBorder="1"/>
    <xf numFmtId="37" fontId="29" fillId="0" borderId="16" xfId="0" applyNumberFormat="1" applyFont="1" applyBorder="1"/>
    <xf numFmtId="0" fontId="63" fillId="0" borderId="30" xfId="0" applyFont="1" applyBorder="1" applyAlignment="1">
      <alignment horizontal="center"/>
    </xf>
    <xf numFmtId="0" fontId="63" fillId="0" borderId="5" xfId="0" applyFont="1" applyBorder="1" applyAlignment="1">
      <alignment horizontal="center"/>
    </xf>
    <xf numFmtId="37" fontId="63" fillId="0" borderId="14" xfId="0" applyNumberFormat="1" applyFont="1" applyBorder="1" applyAlignment="1">
      <alignment horizontal="center"/>
    </xf>
    <xf numFmtId="37" fontId="63" fillId="0" borderId="14" xfId="0" applyNumberFormat="1" applyFont="1" applyBorder="1" applyAlignment="1">
      <alignment horizontal="left"/>
    </xf>
    <xf numFmtId="0" fontId="63" fillId="0" borderId="5" xfId="0" applyFont="1" applyBorder="1" applyAlignment="1">
      <alignment horizontal="centerContinuous"/>
    </xf>
    <xf numFmtId="0" fontId="68" fillId="0" borderId="31" xfId="0" applyFont="1" applyBorder="1" applyAlignment="1">
      <alignment horizontal="centerContinuous"/>
    </xf>
    <xf numFmtId="37" fontId="63" fillId="0" borderId="51" xfId="0" applyNumberFormat="1" applyFont="1" applyBorder="1" applyAlignment="1">
      <alignment horizontal="centerContinuous"/>
    </xf>
    <xf numFmtId="0" fontId="29" fillId="0" borderId="19" xfId="0" applyFont="1" applyBorder="1" applyAlignment="1">
      <alignment horizontal="center"/>
    </xf>
    <xf numFmtId="14" fontId="29" fillId="0" borderId="4" xfId="0" applyNumberFormat="1" applyFont="1" applyBorder="1" applyAlignment="1">
      <alignment horizontal="center"/>
    </xf>
    <xf numFmtId="2" fontId="29" fillId="0" borderId="8" xfId="0" applyNumberFormat="1" applyFont="1" applyBorder="1" applyAlignment="1">
      <alignment horizontal="center"/>
    </xf>
    <xf numFmtId="38" fontId="29" fillId="0" borderId="32" xfId="0" applyNumberFormat="1" applyFont="1" applyBorder="1"/>
    <xf numFmtId="0" fontId="29" fillId="0" borderId="19" xfId="0" applyFont="1" applyBorder="1"/>
    <xf numFmtId="2" fontId="29" fillId="0" borderId="8" xfId="1" applyNumberFormat="1" applyFont="1" applyBorder="1" applyAlignment="1">
      <alignment horizontal="center"/>
    </xf>
    <xf numFmtId="2" fontId="29" fillId="0" borderId="8" xfId="1" applyNumberFormat="1" applyFont="1" applyBorder="1"/>
    <xf numFmtId="2" fontId="29" fillId="0" borderId="8" xfId="0" applyNumberFormat="1" applyFont="1" applyBorder="1"/>
    <xf numFmtId="38" fontId="29" fillId="0" borderId="33" xfId="0" applyNumberFormat="1" applyFont="1" applyBorder="1"/>
    <xf numFmtId="0" fontId="29" fillId="0" borderId="22" xfId="0" applyFont="1" applyBorder="1"/>
    <xf numFmtId="0" fontId="29" fillId="0" borderId="23" xfId="0" applyFont="1" applyBorder="1"/>
    <xf numFmtId="37" fontId="28" fillId="0" borderId="44" xfId="0" applyNumberFormat="1" applyFont="1" applyBorder="1"/>
    <xf numFmtId="37" fontId="28" fillId="0" borderId="43" xfId="0" applyNumberFormat="1" applyFont="1" applyBorder="1"/>
    <xf numFmtId="37" fontId="28" fillId="0" borderId="46" xfId="0" applyNumberFormat="1" applyFont="1" applyBorder="1"/>
    <xf numFmtId="37" fontId="28" fillId="0" borderId="0" xfId="0" applyNumberFormat="1" applyFont="1" applyBorder="1"/>
    <xf numFmtId="37" fontId="63" fillId="0" borderId="45" xfId="0" applyNumberFormat="1" applyFont="1" applyBorder="1" applyAlignment="1">
      <alignment horizontal="center"/>
    </xf>
    <xf numFmtId="14" fontId="63" fillId="0" borderId="34" xfId="0" applyNumberFormat="1" applyFont="1" applyBorder="1" applyAlignment="1">
      <alignment horizontal="center"/>
    </xf>
    <xf numFmtId="37" fontId="63" fillId="0" borderId="1" xfId="0" applyNumberFormat="1" applyFont="1" applyBorder="1"/>
    <xf numFmtId="37" fontId="63" fillId="0" borderId="48" xfId="0" applyNumberFormat="1" applyFont="1" applyBorder="1" applyAlignment="1">
      <alignment horizontal="centerContinuous"/>
    </xf>
    <xf numFmtId="37" fontId="63" fillId="0" borderId="49" xfId="0" applyNumberFormat="1" applyFont="1" applyBorder="1" applyAlignment="1">
      <alignment horizontal="centerContinuous"/>
    </xf>
    <xf numFmtId="37" fontId="63" fillId="0" borderId="47" xfId="0" applyNumberFormat="1" applyFont="1" applyBorder="1" applyAlignment="1">
      <alignment horizontal="center"/>
    </xf>
    <xf numFmtId="37" fontId="29" fillId="0" borderId="19" xfId="0" applyNumberFormat="1" applyFont="1" applyBorder="1" applyAlignment="1">
      <alignment horizontal="center"/>
    </xf>
    <xf numFmtId="14" fontId="28" fillId="0" borderId="4" xfId="0" applyNumberFormat="1" applyFont="1" applyBorder="1"/>
    <xf numFmtId="37" fontId="28" fillId="0" borderId="8" xfId="0" applyNumberFormat="1" applyFont="1" applyBorder="1"/>
    <xf numFmtId="38" fontId="29" fillId="0" borderId="39" xfId="2" applyNumberFormat="1" applyFont="1" applyBorder="1"/>
    <xf numFmtId="6" fontId="28" fillId="0" borderId="0" xfId="2" applyNumberFormat="1" applyFont="1" applyBorder="1"/>
    <xf numFmtId="37" fontId="29" fillId="0" borderId="52" xfId="0" applyNumberFormat="1" applyFont="1" applyBorder="1"/>
    <xf numFmtId="38" fontId="28" fillId="0" borderId="39" xfId="2" applyNumberFormat="1" applyFont="1" applyBorder="1"/>
    <xf numFmtId="38" fontId="28" fillId="0" borderId="39" xfId="0" applyNumberFormat="1" applyFont="1" applyBorder="1"/>
    <xf numFmtId="37" fontId="28" fillId="0" borderId="40" xfId="0" applyNumberFormat="1" applyFont="1" applyBorder="1"/>
    <xf numFmtId="37" fontId="28" fillId="0" borderId="22" xfId="0" applyNumberFormat="1" applyFont="1" applyBorder="1" applyAlignment="1">
      <alignment horizontal="center"/>
    </xf>
    <xf numFmtId="14" fontId="28" fillId="0" borderId="23" xfId="0" applyNumberFormat="1" applyFont="1" applyBorder="1"/>
    <xf numFmtId="37" fontId="28" fillId="0" borderId="23" xfId="0" applyNumberFormat="1" applyFont="1" applyBorder="1"/>
    <xf numFmtId="37" fontId="29" fillId="0" borderId="23" xfId="0" applyNumberFormat="1" applyFont="1" applyBorder="1" applyAlignment="1">
      <alignment horizontal="right"/>
    </xf>
    <xf numFmtId="37" fontId="28" fillId="0" borderId="24" xfId="0" applyNumberFormat="1" applyFont="1" applyBorder="1"/>
    <xf numFmtId="37" fontId="69" fillId="14" borderId="0" xfId="0" applyNumberFormat="1" applyFont="1" applyFill="1"/>
    <xf numFmtId="0" fontId="69" fillId="14" borderId="0" xfId="0" applyFont="1" applyFill="1"/>
    <xf numFmtId="37" fontId="28" fillId="0" borderId="0" xfId="0" applyNumberFormat="1" applyFont="1" applyAlignment="1">
      <alignment horizontal="right"/>
    </xf>
    <xf numFmtId="17" fontId="38" fillId="0" borderId="0" xfId="0" applyNumberFormat="1" applyFont="1" applyAlignment="1">
      <alignment horizontal="left"/>
    </xf>
    <xf numFmtId="0" fontId="58" fillId="0" borderId="0" xfId="0" quotePrefix="1" applyFont="1"/>
    <xf numFmtId="228" fontId="70" fillId="0" borderId="0" xfId="0" applyNumberFormat="1" applyFont="1" applyFill="1" applyAlignment="1">
      <alignment horizontal="center"/>
    </xf>
    <xf numFmtId="1" fontId="5" fillId="0" borderId="5" xfId="0" applyNumberFormat="1" applyFont="1" applyFill="1" applyBorder="1" applyAlignment="1">
      <alignment horizontal="center"/>
    </xf>
    <xf numFmtId="1" fontId="28" fillId="0" borderId="5" xfId="0" applyNumberFormat="1" applyFont="1" applyFill="1" applyBorder="1" applyAlignment="1">
      <alignment horizontal="center"/>
    </xf>
    <xf numFmtId="0" fontId="57" fillId="0" borderId="0" xfId="0" applyFont="1"/>
    <xf numFmtId="0" fontId="57" fillId="0" borderId="0" xfId="0" quotePrefix="1" applyFont="1"/>
    <xf numFmtId="0" fontId="36" fillId="0" borderId="0" xfId="0" applyFont="1"/>
    <xf numFmtId="37" fontId="36" fillId="0" borderId="0" xfId="0" applyNumberFormat="1" applyFont="1"/>
    <xf numFmtId="0" fontId="72" fillId="0" borderId="0" xfId="0" applyFont="1"/>
    <xf numFmtId="209" fontId="4" fillId="0" borderId="31" xfId="2" applyNumberFormat="1" applyFont="1" applyBorder="1"/>
    <xf numFmtId="209" fontId="4" fillId="15" borderId="31" xfId="1" applyNumberFormat="1" applyFont="1" applyFill="1" applyBorder="1" applyProtection="1"/>
    <xf numFmtId="38" fontId="0" fillId="0" borderId="11" xfId="1" applyNumberFormat="1" applyFont="1" applyBorder="1"/>
    <xf numFmtId="38" fontId="0" fillId="0" borderId="0" xfId="1" applyNumberFormat="1" applyFont="1"/>
    <xf numFmtId="38" fontId="0" fillId="9" borderId="0" xfId="1" applyNumberFormat="1" applyFont="1" applyFill="1"/>
    <xf numFmtId="38" fontId="28" fillId="0" borderId="64" xfId="1" applyNumberFormat="1" applyFont="1" applyFill="1" applyBorder="1"/>
    <xf numFmtId="38" fontId="72" fillId="0" borderId="0" xfId="1" applyNumberFormat="1" applyFont="1"/>
    <xf numFmtId="38" fontId="0" fillId="0" borderId="0" xfId="1" applyNumberFormat="1" applyFont="1" applyBorder="1"/>
    <xf numFmtId="38" fontId="2" fillId="0" borderId="0" xfId="1" applyNumberFormat="1"/>
    <xf numFmtId="38" fontId="28" fillId="0" borderId="31" xfId="1" applyNumberFormat="1" applyFont="1" applyBorder="1"/>
    <xf numFmtId="38" fontId="50" fillId="0" borderId="0" xfId="1" applyNumberFormat="1" applyFont="1"/>
    <xf numFmtId="0" fontId="0" fillId="3" borderId="0" xfId="0" applyFill="1"/>
    <xf numFmtId="38" fontId="0" fillId="3" borderId="0" xfId="1" applyNumberFormat="1" applyFont="1" applyFill="1"/>
    <xf numFmtId="38" fontId="28" fillId="3" borderId="35" xfId="1" applyNumberFormat="1" applyFont="1" applyFill="1" applyBorder="1"/>
    <xf numFmtId="0" fontId="57" fillId="3" borderId="0" xfId="0" applyFont="1" applyFill="1"/>
    <xf numFmtId="0" fontId="0" fillId="3" borderId="56" xfId="0" applyFill="1" applyBorder="1"/>
    <xf numFmtId="0" fontId="0" fillId="3" borderId="57" xfId="0" applyFill="1" applyBorder="1"/>
    <xf numFmtId="38" fontId="0" fillId="3" borderId="57" xfId="1" applyNumberFormat="1" applyFont="1" applyFill="1" applyBorder="1"/>
    <xf numFmtId="38" fontId="28" fillId="3" borderId="57" xfId="1" applyNumberFormat="1" applyFont="1" applyFill="1" applyBorder="1" applyAlignment="1">
      <alignment horizontal="right"/>
    </xf>
    <xf numFmtId="0" fontId="28" fillId="3" borderId="65" xfId="0" applyFont="1" applyFill="1" applyBorder="1" applyAlignment="1">
      <alignment horizontal="right"/>
    </xf>
    <xf numFmtId="0" fontId="0" fillId="3" borderId="52" xfId="0" applyFill="1" applyBorder="1"/>
    <xf numFmtId="0" fontId="0" fillId="3" borderId="0" xfId="0" applyFill="1" applyBorder="1"/>
    <xf numFmtId="38" fontId="28" fillId="3" borderId="0" xfId="1" applyNumberFormat="1" applyFont="1" applyFill="1" applyBorder="1" applyAlignment="1">
      <alignment horizontal="right"/>
    </xf>
    <xf numFmtId="38" fontId="0" fillId="3" borderId="0" xfId="1" applyNumberFormat="1" applyFont="1" applyFill="1" applyBorder="1"/>
    <xf numFmtId="38" fontId="0" fillId="3" borderId="8" xfId="1" applyNumberFormat="1" applyFont="1" applyFill="1" applyBorder="1"/>
    <xf numFmtId="38" fontId="28" fillId="3" borderId="0" xfId="1" applyNumberFormat="1" applyFont="1" applyFill="1" applyBorder="1"/>
    <xf numFmtId="0" fontId="0" fillId="3" borderId="58" xfId="0" applyFill="1" applyBorder="1"/>
    <xf numFmtId="0" fontId="0" fillId="3" borderId="11" xfId="0" applyFill="1" applyBorder="1"/>
    <xf numFmtId="38" fontId="28" fillId="3" borderId="11" xfId="1" applyNumberFormat="1" applyFont="1" applyFill="1" applyBorder="1" applyAlignment="1">
      <alignment horizontal="right"/>
    </xf>
    <xf numFmtId="38" fontId="0" fillId="3" borderId="11" xfId="1" applyNumberFormat="1" applyFont="1" applyFill="1" applyBorder="1"/>
    <xf numFmtId="0" fontId="0" fillId="3" borderId="12" xfId="0" applyFill="1" applyBorder="1"/>
    <xf numFmtId="227" fontId="4" fillId="0" borderId="19" xfId="0" applyNumberFormat="1" applyFont="1" applyBorder="1"/>
    <xf numFmtId="37" fontId="4" fillId="12" borderId="0" xfId="0" applyNumberFormat="1" applyFont="1" applyFill="1"/>
    <xf numFmtId="37" fontId="5" fillId="12" borderId="0" xfId="0" applyNumberFormat="1" applyFont="1" applyFill="1"/>
    <xf numFmtId="38" fontId="73" fillId="0" borderId="0" xfId="1" applyNumberFormat="1" applyFont="1" applyBorder="1"/>
    <xf numFmtId="37" fontId="29" fillId="12" borderId="0" xfId="0" applyNumberFormat="1" applyFont="1" applyFill="1"/>
    <xf numFmtId="0" fontId="74" fillId="16" borderId="0" xfId="3" applyFont="1" applyFill="1" applyAlignment="1" applyProtection="1">
      <alignment horizontal="center" wrapText="1"/>
    </xf>
    <xf numFmtId="229" fontId="0" fillId="0" borderId="0" xfId="0" applyNumberFormat="1"/>
    <xf numFmtId="233" fontId="0" fillId="0" borderId="0" xfId="0" applyNumberFormat="1"/>
    <xf numFmtId="198" fontId="5" fillId="0" borderId="0" xfId="0" applyNumberFormat="1" applyFont="1" applyBorder="1" applyAlignment="1">
      <alignment horizontal="center"/>
    </xf>
    <xf numFmtId="16" fontId="4" fillId="0" borderId="0" xfId="0" applyNumberFormat="1" applyFont="1"/>
    <xf numFmtId="37" fontId="11" fillId="0" borderId="0" xfId="0" applyNumberFormat="1" applyFont="1" applyFill="1" applyBorder="1" applyAlignment="1">
      <alignment horizontal="center"/>
    </xf>
    <xf numFmtId="239" fontId="4" fillId="0" borderId="0" xfId="0" applyNumberFormat="1" applyFont="1" applyBorder="1"/>
    <xf numFmtId="188" fontId="4" fillId="0" borderId="0" xfId="0" applyNumberFormat="1" applyFont="1"/>
    <xf numFmtId="39" fontId="4" fillId="0" borderId="0" xfId="0" applyNumberFormat="1" applyFont="1"/>
    <xf numFmtId="227" fontId="38" fillId="6" borderId="0" xfId="0" applyNumberFormat="1" applyFont="1" applyFill="1" applyAlignment="1">
      <alignment horizontal="left"/>
    </xf>
    <xf numFmtId="164" fontId="4" fillId="0" borderId="0" xfId="4" applyFont="1" applyFill="1"/>
    <xf numFmtId="226" fontId="75" fillId="0" borderId="0" xfId="0" applyNumberFormat="1" applyFont="1" applyAlignment="1">
      <alignment horizontal="left"/>
    </xf>
    <xf numFmtId="164" fontId="4" fillId="0" borderId="3" xfId="4" applyFont="1" applyBorder="1"/>
    <xf numFmtId="164" fontId="4" fillId="0" borderId="4" xfId="4" applyFont="1" applyBorder="1"/>
    <xf numFmtId="0" fontId="0" fillId="0" borderId="4" xfId="0" applyBorder="1"/>
    <xf numFmtId="164" fontId="4" fillId="0" borderId="6" xfId="4" applyFont="1" applyBorder="1"/>
    <xf numFmtId="38" fontId="2" fillId="12" borderId="0" xfId="1" applyNumberFormat="1" applyFill="1"/>
    <xf numFmtId="8" fontId="4" fillId="0" borderId="0" xfId="2" applyNumberFormat="1" applyFont="1"/>
    <xf numFmtId="38" fontId="9" fillId="6" borderId="0" xfId="1" applyNumberFormat="1" applyFont="1" applyFill="1" applyBorder="1"/>
    <xf numFmtId="6" fontId="4" fillId="6" borderId="40" xfId="0" applyNumberFormat="1" applyFont="1" applyFill="1" applyBorder="1"/>
    <xf numFmtId="37" fontId="5" fillId="0" borderId="0" xfId="0" applyNumberFormat="1" applyFont="1" applyFill="1" applyBorder="1" applyAlignment="1">
      <alignment horizontal="center"/>
    </xf>
    <xf numFmtId="209" fontId="4" fillId="6" borderId="0" xfId="2" applyNumberFormat="1" applyFont="1" applyFill="1"/>
    <xf numFmtId="228" fontId="70" fillId="6" borderId="0" xfId="0" applyNumberFormat="1" applyFont="1" applyFill="1" applyAlignment="1">
      <alignment horizontal="center"/>
    </xf>
    <xf numFmtId="38" fontId="5" fillId="6" borderId="0" xfId="1" applyNumberFormat="1" applyFont="1" applyFill="1"/>
    <xf numFmtId="186" fontId="4" fillId="0" borderId="14" xfId="0" applyNumberFormat="1" applyFont="1" applyFill="1" applyBorder="1" applyProtection="1"/>
    <xf numFmtId="37" fontId="13" fillId="6" borderId="0" xfId="0" applyNumberFormat="1" applyFont="1" applyFill="1" applyBorder="1" applyAlignment="1">
      <alignment horizontal="center"/>
    </xf>
    <xf numFmtId="164" fontId="34" fillId="0" borderId="0" xfId="4" applyFont="1"/>
    <xf numFmtId="37" fontId="32" fillId="0" borderId="0" xfId="0" applyNumberFormat="1" applyFont="1" applyAlignment="1">
      <alignment horizontal="right"/>
    </xf>
    <xf numFmtId="7" fontId="4" fillId="0" borderId="0" xfId="0" applyNumberFormat="1" applyFont="1" applyBorder="1" applyProtection="1"/>
    <xf numFmtId="38" fontId="7" fillId="3" borderId="0" xfId="1" applyNumberFormat="1" applyFont="1" applyFill="1"/>
    <xf numFmtId="38" fontId="4" fillId="3" borderId="0" xfId="1" applyNumberFormat="1" applyFont="1" applyFill="1"/>
    <xf numFmtId="38" fontId="9" fillId="3" borderId="0" xfId="1" applyNumberFormat="1" applyFont="1" applyFill="1"/>
    <xf numFmtId="37" fontId="4" fillId="3" borderId="0" xfId="0" applyNumberFormat="1" applyFont="1" applyFill="1"/>
    <xf numFmtId="6" fontId="10" fillId="12" borderId="39" xfId="0" applyNumberFormat="1" applyFont="1" applyFill="1" applyBorder="1"/>
    <xf numFmtId="169" fontId="2" fillId="0" borderId="0" xfId="1" applyNumberFormat="1"/>
    <xf numFmtId="240" fontId="4" fillId="0" borderId="5" xfId="0" applyNumberFormat="1" applyFont="1" applyFill="1" applyBorder="1" applyProtection="1"/>
    <xf numFmtId="240" fontId="4" fillId="0" borderId="0" xfId="0" applyNumberFormat="1" applyFont="1" applyFill="1" applyBorder="1" applyProtection="1"/>
  </cellXfs>
  <cellStyles count="5">
    <cellStyle name="Comma" xfId="1" builtinId="3"/>
    <cellStyle name="Currency" xfId="2" builtinId="4"/>
    <cellStyle name="Hyperlink" xfId="3" builtinId="8"/>
    <cellStyle name="Normal" xfId="0" builtinId="0"/>
    <cellStyle name="Normal_0694ORG"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hartsheet" Target="chartsheets/sheet1.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32852386237514"/>
          <c:y val="3.4257748776508973E-2"/>
          <c:w val="0.80799112097669257"/>
          <c:h val="0.93148450244698211"/>
        </c:manualLayout>
      </c:layout>
      <c:barChart>
        <c:barDir val="col"/>
        <c:grouping val="clustered"/>
        <c:varyColors val="0"/>
        <c:ser>
          <c:idx val="0"/>
          <c:order val="0"/>
          <c:spPr>
            <a:solidFill>
              <a:srgbClr val="8080FF"/>
            </a:solidFill>
            <a:ln w="12700">
              <a:solidFill>
                <a:srgbClr val="000000"/>
              </a:solidFill>
              <a:prstDash val="solid"/>
            </a:ln>
          </c:spPr>
          <c:invertIfNegative val="0"/>
          <c:val>
            <c:numRef>
              <c:f>Report!$Y$107:$Y$120</c:f>
              <c:numCache>
                <c:formatCode>"$"#,##0_);\("$"#,##0\)</c:formatCode>
                <c:ptCount val="14"/>
                <c:pt idx="0">
                  <c:v>234617</c:v>
                </c:pt>
                <c:pt idx="1">
                  <c:v>-1959254</c:v>
                </c:pt>
                <c:pt idx="2">
                  <c:v>1926732</c:v>
                </c:pt>
                <c:pt idx="3">
                  <c:v>0</c:v>
                </c:pt>
                <c:pt idx="4">
                  <c:v>32136</c:v>
                </c:pt>
                <c:pt idx="5">
                  <c:v>0</c:v>
                </c:pt>
                <c:pt idx="6">
                  <c:v>0</c:v>
                </c:pt>
                <c:pt idx="7">
                  <c:v>0</c:v>
                </c:pt>
                <c:pt idx="8" formatCode="\C&quot;$&quot;#,##0_);\(\C&quot;$&quot;#,##0\)">
                  <c:v>0</c:v>
                </c:pt>
                <c:pt idx="9" formatCode="\C&quot;$&quot;#,##0_);\(\C&quot;$&quot;#,##0\)">
                  <c:v>0</c:v>
                </c:pt>
                <c:pt idx="10">
                  <c:v>234231</c:v>
                </c:pt>
                <c:pt idx="11">
                  <c:v>0</c:v>
                </c:pt>
                <c:pt idx="12">
                  <c:v>-1426</c:v>
                </c:pt>
                <c:pt idx="13" formatCode="General">
                  <c:v>232805</c:v>
                </c:pt>
              </c:numCache>
            </c:numRef>
          </c:val>
          <c:extLst>
            <c:ext xmlns:c16="http://schemas.microsoft.com/office/drawing/2014/chart" uri="{C3380CC4-5D6E-409C-BE32-E72D297353CC}">
              <c16:uniqueId val="{00000000-21DF-4A8B-B674-2DB5A7C6E140}"/>
            </c:ext>
          </c:extLst>
        </c:ser>
        <c:dLbls>
          <c:showLegendKey val="0"/>
          <c:showVal val="0"/>
          <c:showCatName val="0"/>
          <c:showSerName val="0"/>
          <c:showPercent val="0"/>
          <c:showBubbleSize val="0"/>
        </c:dLbls>
        <c:gapWidth val="150"/>
        <c:axId val="1000047903"/>
        <c:axId val="1"/>
      </c:barChart>
      <c:catAx>
        <c:axId val="1000047903"/>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quot;$&quot;#,##0_);\(&quot;$&quot;#,##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00047903"/>
        <c:crosses val="autoZero"/>
        <c:crossBetween val="between"/>
      </c:valAx>
      <c:spPr>
        <a:solidFill>
          <a:srgbClr val="C0C0C0"/>
        </a:solidFill>
        <a:ln w="12700">
          <a:solidFill>
            <a:srgbClr val="808080"/>
          </a:solidFill>
          <a:prstDash val="solid"/>
        </a:ln>
      </c:spPr>
    </c:plotArea>
    <c:legend>
      <c:legendPos val="r"/>
      <c:layout>
        <c:manualLayout>
          <c:xMode val="edge"/>
          <c:yMode val="edge"/>
          <c:x val="0.92452830188679247"/>
          <c:y val="0.4828711256117455"/>
          <c:w val="7.1032186459489458E-2"/>
          <c:h val="3.58890701468189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6.xml"/></Relationships>
</file>

<file path=xl/chartsheets/sheet1.xml><?xml version="1.0" encoding="utf-8"?>
<chartsheet xmlns="http://schemas.openxmlformats.org/spreadsheetml/2006/main" xmlns:r="http://schemas.openxmlformats.org/officeDocument/2006/relationships">
  <sheetPr codeName="Chart1"/>
  <sheetViews>
    <sheetView zoomScale="91" workbookViewId="0"/>
  </sheetViews>
  <pageMargins left="0.75" right="0.75" top="1" bottom="1" header="0.5" footer="0.5"/>
  <headerFooter alignWithMargins="0"/>
  <drawing r:id="rId1"/>
</chartsheet>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323850</xdr:colOff>
          <xdr:row>16</xdr:row>
          <xdr:rowOff>104775</xdr:rowOff>
        </xdr:from>
        <xdr:to>
          <xdr:col>3</xdr:col>
          <xdr:colOff>142875</xdr:colOff>
          <xdr:row>17</xdr:row>
          <xdr:rowOff>19050</xdr:rowOff>
        </xdr:to>
        <xdr:sp macro="" textlink="">
          <xdr:nvSpPr>
            <xdr:cNvPr id="15361" name="Button 1" hidden="1">
              <a:extLst>
                <a:ext uri="{63B3BB69-23CF-44E3-9099-C40C66FF867C}">
                  <a14:compatExt spid="_x0000_s15361"/>
                </a:ext>
                <a:ext uri="{FF2B5EF4-FFF2-40B4-BE49-F238E27FC236}">
                  <a16:creationId xmlns:a16="http://schemas.microsoft.com/office/drawing/2014/main" id="{9687AE4F-ED79-ADB1-0C6D-0874AB115393}"/>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Clear Daily P&amp;L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304800</xdr:colOff>
          <xdr:row>18</xdr:row>
          <xdr:rowOff>95250</xdr:rowOff>
        </xdr:from>
        <xdr:to>
          <xdr:col>3</xdr:col>
          <xdr:colOff>485775</xdr:colOff>
          <xdr:row>19</xdr:row>
          <xdr:rowOff>190500</xdr:rowOff>
        </xdr:to>
        <xdr:sp macro="" textlink="">
          <xdr:nvSpPr>
            <xdr:cNvPr id="15365" name="Button 5" hidden="1">
              <a:extLst>
                <a:ext uri="{63B3BB69-23CF-44E3-9099-C40C66FF867C}">
                  <a14:compatExt spid="_x0000_s15365"/>
                </a:ext>
                <a:ext uri="{FF2B5EF4-FFF2-40B4-BE49-F238E27FC236}">
                  <a16:creationId xmlns:a16="http://schemas.microsoft.com/office/drawing/2014/main" id="{AAD54D35-F538-FE4F-CFD2-F0C568EFB897}"/>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Copy Prior Day &amp; Clear New Deals</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3073" name="Rectangle 1">
          <a:extLst>
            <a:ext uri="{FF2B5EF4-FFF2-40B4-BE49-F238E27FC236}">
              <a16:creationId xmlns:a16="http://schemas.microsoft.com/office/drawing/2014/main" id="{FCB0CE48-7BBB-99BF-FBCD-9C562F4B9951}"/>
            </a:ext>
          </a:extLst>
        </xdr:cNvPr>
        <xdr:cNvSpPr>
          <a:spLocks noChangeArrowheads="1"/>
        </xdr:cNvSpPr>
      </xdr:nvSpPr>
      <xdr:spPr bwMode="auto">
        <a:xfrm>
          <a:off x="3433762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8193" name="Rectangle 1">
          <a:extLst>
            <a:ext uri="{FF2B5EF4-FFF2-40B4-BE49-F238E27FC236}">
              <a16:creationId xmlns:a16="http://schemas.microsoft.com/office/drawing/2014/main" id="{885308B3-D3F9-B50C-41F8-E253CA452F63}"/>
            </a:ext>
          </a:extLst>
        </xdr:cNvPr>
        <xdr:cNvSpPr>
          <a:spLocks noChangeArrowheads="1"/>
        </xdr:cNvSpPr>
      </xdr:nvSpPr>
      <xdr:spPr bwMode="auto">
        <a:xfrm>
          <a:off x="3389947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9217" name="Rectangle 1">
          <a:extLst>
            <a:ext uri="{FF2B5EF4-FFF2-40B4-BE49-F238E27FC236}">
              <a16:creationId xmlns:a16="http://schemas.microsoft.com/office/drawing/2014/main" id="{5A4C40AE-FDE2-EE36-7D31-F0D6B5A97732}"/>
            </a:ext>
          </a:extLst>
        </xdr:cNvPr>
        <xdr:cNvSpPr>
          <a:spLocks noChangeArrowheads="1"/>
        </xdr:cNvSpPr>
      </xdr:nvSpPr>
      <xdr:spPr bwMode="auto">
        <a:xfrm>
          <a:off x="3374707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13313" name="Rectangle 1">
          <a:extLst>
            <a:ext uri="{FF2B5EF4-FFF2-40B4-BE49-F238E27FC236}">
              <a16:creationId xmlns:a16="http://schemas.microsoft.com/office/drawing/2014/main" id="{6D507B5A-59AA-4810-4628-035A601EE9F3}"/>
            </a:ext>
          </a:extLst>
        </xdr:cNvPr>
        <xdr:cNvSpPr>
          <a:spLocks noChangeArrowheads="1"/>
        </xdr:cNvSpPr>
      </xdr:nvSpPr>
      <xdr:spPr bwMode="auto">
        <a:xfrm>
          <a:off x="3433762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5121" name="Rectangle 1">
          <a:extLst>
            <a:ext uri="{FF2B5EF4-FFF2-40B4-BE49-F238E27FC236}">
              <a16:creationId xmlns:a16="http://schemas.microsoft.com/office/drawing/2014/main" id="{48E5D2E4-3DB6-08EF-5669-003F2C471BEC}"/>
            </a:ext>
          </a:extLst>
        </xdr:cNvPr>
        <xdr:cNvSpPr>
          <a:spLocks noChangeArrowheads="1"/>
        </xdr:cNvSpPr>
      </xdr:nvSpPr>
      <xdr:spPr bwMode="auto">
        <a:xfrm>
          <a:off x="3349942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34</xdr:col>
      <xdr:colOff>0</xdr:colOff>
      <xdr:row>41</xdr:row>
      <xdr:rowOff>0</xdr:rowOff>
    </xdr:from>
    <xdr:to>
      <xdr:col>36</xdr:col>
      <xdr:colOff>0</xdr:colOff>
      <xdr:row>42</xdr:row>
      <xdr:rowOff>0</xdr:rowOff>
    </xdr:to>
    <xdr:sp macro="" textlink="">
      <xdr:nvSpPr>
        <xdr:cNvPr id="5122" name="Rectangle 2">
          <a:extLst>
            <a:ext uri="{FF2B5EF4-FFF2-40B4-BE49-F238E27FC236}">
              <a16:creationId xmlns:a16="http://schemas.microsoft.com/office/drawing/2014/main" id="{95E4C76B-7BBB-110D-9145-8797220A58BB}"/>
            </a:ext>
          </a:extLst>
        </xdr:cNvPr>
        <xdr:cNvSpPr>
          <a:spLocks noChangeArrowheads="1"/>
        </xdr:cNvSpPr>
      </xdr:nvSpPr>
      <xdr:spPr bwMode="auto">
        <a:xfrm>
          <a:off x="3349942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1025" name="Rectangle 1">
          <a:extLst>
            <a:ext uri="{FF2B5EF4-FFF2-40B4-BE49-F238E27FC236}">
              <a16:creationId xmlns:a16="http://schemas.microsoft.com/office/drawing/2014/main" id="{955A8BE2-ACBF-1158-55EC-4CB82AD8D43C}"/>
            </a:ext>
          </a:extLst>
        </xdr:cNvPr>
        <xdr:cNvSpPr>
          <a:spLocks noChangeArrowheads="1"/>
        </xdr:cNvSpPr>
      </xdr:nvSpPr>
      <xdr:spPr bwMode="auto">
        <a:xfrm>
          <a:off x="33832800"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6A0031FF-9851-EAE4-0718-A6AA104CDFF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118</xdr:col>
          <xdr:colOff>266700</xdr:colOff>
          <xdr:row>1</xdr:row>
          <xdr:rowOff>47625</xdr:rowOff>
        </xdr:from>
        <xdr:to>
          <xdr:col>119</xdr:col>
          <xdr:colOff>85725</xdr:colOff>
          <xdr:row>2</xdr:row>
          <xdr:rowOff>66675</xdr:rowOff>
        </xdr:to>
        <xdr:sp macro="" textlink="">
          <xdr:nvSpPr>
            <xdr:cNvPr id="12289" name="Button 1" hidden="1">
              <a:extLst>
                <a:ext uri="{63B3BB69-23CF-44E3-9099-C40C66FF867C}">
                  <a14:compatExt spid="_x0000_s12289"/>
                </a:ext>
                <a:ext uri="{FF2B5EF4-FFF2-40B4-BE49-F238E27FC236}">
                  <a16:creationId xmlns:a16="http://schemas.microsoft.com/office/drawing/2014/main" id="{8E213895-ED4D-CF02-349B-1ECAA04638FF}"/>
                </a:ext>
              </a:extLst>
            </xdr:cNvPr>
            <xdr:cNvSpPr/>
          </xdr:nvSpPr>
          <xdr:spPr bwMode="auto">
            <a:xfrm>
              <a:off x="0" y="0"/>
              <a:ext cx="0" cy="0"/>
            </a:xfrm>
            <a:prstGeom prst="rect">
              <a:avLst/>
            </a:prstGeom>
            <a:noFill/>
            <a:ln w="9525">
              <a:miter lim="800000"/>
              <a:headEnd/>
              <a:tailEnd/>
            </a:ln>
          </xdr:spPr>
          <xdr:txBody>
            <a:bodyPr vertOverflow="clip" wrap="square" lIns="18288" tIns="0" rIns="0" bIns="0" anchor="ctr" upright="1"/>
            <a:lstStyle/>
            <a:p>
              <a:pPr algn="ctr" rtl="0">
                <a:defRPr sz="1000"/>
              </a:pPr>
              <a:endParaRPr lang="en-US"/>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952500</xdr:colOff>
          <xdr:row>0</xdr:row>
          <xdr:rowOff>0</xdr:rowOff>
        </xdr:from>
        <xdr:to>
          <xdr:col>9</xdr:col>
          <xdr:colOff>542925</xdr:colOff>
          <xdr:row>1</xdr:row>
          <xdr:rowOff>66675</xdr:rowOff>
        </xdr:to>
        <xdr:sp macro="" textlink="">
          <xdr:nvSpPr>
            <xdr:cNvPr id="12292" name="Button 4" hidden="1">
              <a:extLst>
                <a:ext uri="{63B3BB69-23CF-44E3-9099-C40C66FF867C}">
                  <a14:compatExt spid="_x0000_s12292"/>
                </a:ext>
                <a:ext uri="{FF2B5EF4-FFF2-40B4-BE49-F238E27FC236}">
                  <a16:creationId xmlns:a16="http://schemas.microsoft.com/office/drawing/2014/main" id="{5BDF36A9-6FAB-A047-BFE3-B6D5F74013B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Button 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152400</xdr:colOff>
          <xdr:row>0</xdr:row>
          <xdr:rowOff>76200</xdr:rowOff>
        </xdr:from>
        <xdr:to>
          <xdr:col>5</xdr:col>
          <xdr:colOff>28575</xdr:colOff>
          <xdr:row>3</xdr:row>
          <xdr:rowOff>38100</xdr:rowOff>
        </xdr:to>
        <xdr:sp macro="" textlink="">
          <xdr:nvSpPr>
            <xdr:cNvPr id="12293" name="Button 5" hidden="1">
              <a:extLst>
                <a:ext uri="{63B3BB69-23CF-44E3-9099-C40C66FF867C}">
                  <a14:compatExt spid="_x0000_s12293"/>
                </a:ext>
                <a:ext uri="{FF2B5EF4-FFF2-40B4-BE49-F238E27FC236}">
                  <a16:creationId xmlns:a16="http://schemas.microsoft.com/office/drawing/2014/main" id="{33B93349-537B-7FFB-3D11-88B132D2336C}"/>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200" b="1" i="0" u="none" strike="noStrike" baseline="0">
                  <a:solidFill>
                    <a:srgbClr val="000000"/>
                  </a:solidFill>
                  <a:latin typeface="Arial"/>
                  <a:cs typeface="Arial"/>
                </a:rPr>
                <a:t>Print Reports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142875</xdr:colOff>
          <xdr:row>0</xdr:row>
          <xdr:rowOff>104775</xdr:rowOff>
        </xdr:from>
        <xdr:to>
          <xdr:col>6</xdr:col>
          <xdr:colOff>971550</xdr:colOff>
          <xdr:row>3</xdr:row>
          <xdr:rowOff>66675</xdr:rowOff>
        </xdr:to>
        <xdr:sp macro="" textlink="">
          <xdr:nvSpPr>
            <xdr:cNvPr id="12301" name="Button 13" hidden="1">
              <a:extLst>
                <a:ext uri="{63B3BB69-23CF-44E3-9099-C40C66FF867C}">
                  <a14:compatExt spid="_x0000_s12301"/>
                </a:ext>
                <a:ext uri="{FF2B5EF4-FFF2-40B4-BE49-F238E27FC236}">
                  <a16:creationId xmlns:a16="http://schemas.microsoft.com/office/drawing/2014/main" id="{EA24C2A2-E490-5B64-7FFF-2934148ED77A}"/>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200" b="1" i="0" u="none" strike="noStrike" baseline="0">
                  <a:solidFill>
                    <a:srgbClr val="000000"/>
                  </a:solidFill>
                  <a:latin typeface="Arial"/>
                  <a:cs typeface="Arial"/>
                </a:rPr>
                <a:t>Upload to Options</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98</xdr:col>
          <xdr:colOff>266700</xdr:colOff>
          <xdr:row>1</xdr:row>
          <xdr:rowOff>47625</xdr:rowOff>
        </xdr:from>
        <xdr:to>
          <xdr:col>99</xdr:col>
          <xdr:colOff>85725</xdr:colOff>
          <xdr:row>2</xdr:row>
          <xdr:rowOff>66675</xdr:rowOff>
        </xdr:to>
        <xdr:sp macro="" textlink="">
          <xdr:nvSpPr>
            <xdr:cNvPr id="18433" name="Button 1" hidden="1">
              <a:extLst>
                <a:ext uri="{63B3BB69-23CF-44E3-9099-C40C66FF867C}">
                  <a14:compatExt spid="_x0000_s18433"/>
                </a:ext>
                <a:ext uri="{FF2B5EF4-FFF2-40B4-BE49-F238E27FC236}">
                  <a16:creationId xmlns:a16="http://schemas.microsoft.com/office/drawing/2014/main" id="{95D017E5-CC75-5D56-BF6E-924373FDC819}"/>
                </a:ext>
              </a:extLst>
            </xdr:cNvPr>
            <xdr:cNvSpPr/>
          </xdr:nvSpPr>
          <xdr:spPr bwMode="auto">
            <a:xfrm>
              <a:off x="0" y="0"/>
              <a:ext cx="0" cy="0"/>
            </a:xfrm>
            <a:prstGeom prst="rect">
              <a:avLst/>
            </a:prstGeom>
            <a:noFill/>
            <a:ln w="9525">
              <a:miter lim="800000"/>
              <a:headEnd/>
              <a:tailEnd/>
            </a:ln>
          </xdr:spPr>
          <xdr:txBody>
            <a:bodyPr vertOverflow="clip" wrap="square" lIns="18288" tIns="0" rIns="0" bIns="0" anchor="ctr" upright="1"/>
            <a:lstStyle/>
            <a:p>
              <a:pPr algn="ctr" rtl="0">
                <a:defRPr sz="1000"/>
              </a:pPr>
              <a:endParaRPr lang="en-US"/>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2049" name="Rectangle 1">
          <a:extLst>
            <a:ext uri="{FF2B5EF4-FFF2-40B4-BE49-F238E27FC236}">
              <a16:creationId xmlns:a16="http://schemas.microsoft.com/office/drawing/2014/main" id="{212FCF4C-0837-2C6B-7BB8-153F0FF374A8}"/>
            </a:ext>
          </a:extLst>
        </xdr:cNvPr>
        <xdr:cNvSpPr>
          <a:spLocks noChangeArrowheads="1"/>
        </xdr:cNvSpPr>
      </xdr:nvSpPr>
      <xdr:spPr bwMode="auto">
        <a:xfrm>
          <a:off x="34089975" y="6705600"/>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xdr:from>
          <xdr:col>7</xdr:col>
          <xdr:colOff>47625</xdr:colOff>
          <xdr:row>0</xdr:row>
          <xdr:rowOff>104775</xdr:rowOff>
        </xdr:from>
        <xdr:to>
          <xdr:col>9</xdr:col>
          <xdr:colOff>771525</xdr:colOff>
          <xdr:row>7</xdr:row>
          <xdr:rowOff>38100</xdr:rowOff>
        </xdr:to>
        <xdr:sp macro="" textlink="">
          <xdr:nvSpPr>
            <xdr:cNvPr id="2052" name="Button 4" hidden="1">
              <a:extLst>
                <a:ext uri="{63B3BB69-23CF-44E3-9099-C40C66FF867C}">
                  <a14:compatExt spid="_x0000_s2052"/>
                </a:ext>
                <a:ext uri="{FF2B5EF4-FFF2-40B4-BE49-F238E27FC236}">
                  <a16:creationId xmlns:a16="http://schemas.microsoft.com/office/drawing/2014/main" id="{CD421C79-91A1-14A3-6F86-C9F15283A667}"/>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7432" rIns="27432" bIns="27432" anchor="ctr" upright="1"/>
            <a:lstStyle/>
            <a:p>
              <a:pPr algn="ctr" rtl="0">
                <a:defRPr sz="1000"/>
              </a:pPr>
              <a:r>
                <a:rPr lang="en-US" sz="1200" b="1" i="1" u="sng" strike="noStrike" baseline="0">
                  <a:solidFill>
                    <a:srgbClr val="000000"/>
                  </a:solidFill>
                  <a:latin typeface="Times New Roman"/>
                  <a:cs typeface="Times New Roman"/>
                </a:rPr>
                <a:t>ROLL BALANCE</a:t>
              </a:r>
              <a:endParaRPr lang="en-US" sz="1200" b="1" i="1" u="none" strike="noStrike" baseline="0">
                <a:solidFill>
                  <a:srgbClr val="000000"/>
                </a:solidFill>
                <a:latin typeface="Times New Roman"/>
                <a:cs typeface="Times New Roman"/>
              </a:endParaRPr>
            </a:p>
            <a:p>
              <a:pPr algn="ctr" rtl="0">
                <a:defRPr sz="1000"/>
              </a:pPr>
              <a:r>
                <a:rPr lang="en-US" sz="1200" b="1" i="1" u="none" strike="noStrike" baseline="0">
                  <a:solidFill>
                    <a:srgbClr val="000000"/>
                  </a:solidFill>
                  <a:latin typeface="Times New Roman"/>
                  <a:cs typeface="Times New Roman"/>
                </a:rPr>
                <a:t>!!Make sure new month is saved first!!</a:t>
              </a:r>
            </a:p>
            <a:p>
              <a:pPr algn="ctr" rtl="0">
                <a:defRPr sz="1000"/>
              </a:pPr>
              <a:r>
                <a:rPr lang="en-US" sz="1200" b="1" i="1" u="none" strike="noStrike" baseline="0">
                  <a:solidFill>
                    <a:srgbClr val="000000"/>
                  </a:solidFill>
                  <a:latin typeface="Times New Roman"/>
                  <a:cs typeface="Times New Roman"/>
                </a:rPr>
                <a:t>Manually update Schedule A with Rho/Drift and Zero Out OTC/Exchange DailyValues</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4097" name="Rectangle 1">
          <a:extLst>
            <a:ext uri="{FF2B5EF4-FFF2-40B4-BE49-F238E27FC236}">
              <a16:creationId xmlns:a16="http://schemas.microsoft.com/office/drawing/2014/main" id="{19AC4E60-C6E7-AF37-ACF6-C3C2176E2A93}"/>
            </a:ext>
          </a:extLst>
        </xdr:cNvPr>
        <xdr:cNvSpPr>
          <a:spLocks noChangeArrowheads="1"/>
        </xdr:cNvSpPr>
      </xdr:nvSpPr>
      <xdr:spPr bwMode="auto">
        <a:xfrm>
          <a:off x="33499425" y="661987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16385" name="Rectangle 1">
          <a:extLst>
            <a:ext uri="{FF2B5EF4-FFF2-40B4-BE49-F238E27FC236}">
              <a16:creationId xmlns:a16="http://schemas.microsoft.com/office/drawing/2014/main" id="{D05EF0C6-75CD-5A7D-3D45-79220A2213EA}"/>
            </a:ext>
          </a:extLst>
        </xdr:cNvPr>
        <xdr:cNvSpPr>
          <a:spLocks noChangeArrowheads="1"/>
        </xdr:cNvSpPr>
      </xdr:nvSpPr>
      <xdr:spPr bwMode="auto">
        <a:xfrm>
          <a:off x="34089975" y="6705600"/>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xdr:from>
          <xdr:col>7</xdr:col>
          <xdr:colOff>47625</xdr:colOff>
          <xdr:row>0</xdr:row>
          <xdr:rowOff>104775</xdr:rowOff>
        </xdr:from>
        <xdr:to>
          <xdr:col>9</xdr:col>
          <xdr:colOff>771525</xdr:colOff>
          <xdr:row>7</xdr:row>
          <xdr:rowOff>38100</xdr:rowOff>
        </xdr:to>
        <xdr:sp macro="" textlink="">
          <xdr:nvSpPr>
            <xdr:cNvPr id="16386" name="Button 2" hidden="1">
              <a:extLst>
                <a:ext uri="{63B3BB69-23CF-44E3-9099-C40C66FF867C}">
                  <a14:compatExt spid="_x0000_s16386"/>
                </a:ext>
                <a:ext uri="{FF2B5EF4-FFF2-40B4-BE49-F238E27FC236}">
                  <a16:creationId xmlns:a16="http://schemas.microsoft.com/office/drawing/2014/main" id="{8A25B8E6-2C35-2572-913F-B1B420E492C8}"/>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7432" rIns="27432" bIns="27432" anchor="ctr" upright="1"/>
            <a:lstStyle/>
            <a:p>
              <a:pPr algn="ctr" rtl="0">
                <a:defRPr sz="1000"/>
              </a:pPr>
              <a:r>
                <a:rPr lang="en-US" sz="1200" b="1" i="1" u="sng" strike="noStrike" baseline="0">
                  <a:solidFill>
                    <a:srgbClr val="000000"/>
                  </a:solidFill>
                  <a:latin typeface="Times New Roman"/>
                  <a:cs typeface="Times New Roman"/>
                </a:rPr>
                <a:t>ROLL BALANCE</a:t>
              </a:r>
              <a:endParaRPr lang="en-US" sz="1200" b="1" i="1" u="none" strike="noStrike" baseline="0">
                <a:solidFill>
                  <a:srgbClr val="000000"/>
                </a:solidFill>
                <a:latin typeface="Times New Roman"/>
                <a:cs typeface="Times New Roman"/>
              </a:endParaRPr>
            </a:p>
            <a:p>
              <a:pPr algn="ctr" rtl="0">
                <a:defRPr sz="1000"/>
              </a:pPr>
              <a:r>
                <a:rPr lang="en-US" sz="1200" b="1" i="1" u="none" strike="noStrike" baseline="0">
                  <a:solidFill>
                    <a:srgbClr val="000000"/>
                  </a:solidFill>
                  <a:latin typeface="Times New Roman"/>
                  <a:cs typeface="Times New Roman"/>
                </a:rPr>
                <a:t>!!Make sure new month is saved first!!</a:t>
              </a:r>
            </a:p>
            <a:p>
              <a:pPr algn="ctr" rtl="0">
                <a:defRPr sz="1000"/>
              </a:pPr>
              <a:r>
                <a:rPr lang="en-US" sz="1200" b="1" i="1" u="none" strike="noStrike" baseline="0">
                  <a:solidFill>
                    <a:srgbClr val="000000"/>
                  </a:solidFill>
                  <a:latin typeface="Times New Roman"/>
                  <a:cs typeface="Times New Roman"/>
                </a:rPr>
                <a:t>Manually update Schedule A with Rho/Drift and Zero Out OTC/Exchange DailyValues</a:t>
              </a:r>
            </a:p>
          </xdr:txBody>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17409" name="Rectangle 1">
          <a:extLst>
            <a:ext uri="{FF2B5EF4-FFF2-40B4-BE49-F238E27FC236}">
              <a16:creationId xmlns:a16="http://schemas.microsoft.com/office/drawing/2014/main" id="{5AE43320-DF47-0F8D-A5DD-0A778316ADBB}"/>
            </a:ext>
          </a:extLst>
        </xdr:cNvPr>
        <xdr:cNvSpPr>
          <a:spLocks noChangeArrowheads="1"/>
        </xdr:cNvSpPr>
      </xdr:nvSpPr>
      <xdr:spPr bwMode="auto">
        <a:xfrm>
          <a:off x="33499425" y="661987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6145" name="Rectangle 1">
          <a:extLst>
            <a:ext uri="{FF2B5EF4-FFF2-40B4-BE49-F238E27FC236}">
              <a16:creationId xmlns:a16="http://schemas.microsoft.com/office/drawing/2014/main" id="{0B0097E6-D4C1-8DBF-A272-4A63BD67ECA3}"/>
            </a:ext>
          </a:extLst>
        </xdr:cNvPr>
        <xdr:cNvSpPr>
          <a:spLocks noChangeArrowheads="1"/>
        </xdr:cNvSpPr>
      </xdr:nvSpPr>
      <xdr:spPr bwMode="auto">
        <a:xfrm>
          <a:off x="34118550"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7169" name="Rectangle 1">
          <a:extLst>
            <a:ext uri="{FF2B5EF4-FFF2-40B4-BE49-F238E27FC236}">
              <a16:creationId xmlns:a16="http://schemas.microsoft.com/office/drawing/2014/main" id="{9DD4797C-2810-669B-79A7-07CD42EA6D17}"/>
            </a:ext>
          </a:extLst>
        </xdr:cNvPr>
        <xdr:cNvSpPr>
          <a:spLocks noChangeArrowheads="1"/>
        </xdr:cNvSpPr>
      </xdr:nvSpPr>
      <xdr:spPr bwMode="auto">
        <a:xfrm>
          <a:off x="3374707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MP/CAN$1000-T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NewDeals"/>
      <sheetName val="Report"/>
      <sheetName val="PriceAlberta"/>
      <sheetName val="AlbertaIndex"/>
      <sheetName val="PriceBC"/>
      <sheetName val="BCIndex"/>
      <sheetName val="PriceEOL"/>
      <sheetName val="EOLIndex"/>
      <sheetName val="Options"/>
      <sheetName val="OptionsIndex"/>
      <sheetName val="OptionsProp"/>
      <sheetName val="Straddle"/>
      <sheetName val="SpotRates"/>
      <sheetName val="TollExpl"/>
      <sheetName val="PrudExpl"/>
      <sheetName val="PrudCalc"/>
      <sheetName val="US $"/>
      <sheetName val="Orig Sched"/>
      <sheetName val="Price - East "/>
      <sheetName val="Chart1"/>
      <sheetName val="PrintModule"/>
      <sheetName val="Module1"/>
    </sheetNames>
    <definedNames>
      <definedName name="Macro2"/>
    </definedNames>
    <sheetDataSet>
      <sheetData sheetId="0"/>
      <sheetData sheetId="1"/>
      <sheetData sheetId="2"/>
      <sheetData sheetId="3"/>
      <sheetData sheetId="4"/>
      <sheetData sheetId="5">
        <row r="6">
          <cell r="B6">
            <v>906323</v>
          </cell>
        </row>
        <row r="26">
          <cell r="E26">
            <v>0</v>
          </cell>
        </row>
      </sheetData>
      <sheetData sheetId="6">
        <row r="6">
          <cell r="B6">
            <v>906539</v>
          </cell>
        </row>
      </sheetData>
      <sheetData sheetId="7"/>
      <sheetData sheetId="8"/>
      <sheetData sheetId="9"/>
      <sheetData sheetId="10"/>
      <sheetData sheetId="11"/>
      <sheetData sheetId="12"/>
      <sheetData sheetId="13">
        <row r="1">
          <cell r="J1">
            <v>1.4539</v>
          </cell>
        </row>
        <row r="36">
          <cell r="F36">
            <v>1.5005801724137933</v>
          </cell>
        </row>
      </sheetData>
      <sheetData sheetId="14"/>
      <sheetData sheetId="15"/>
      <sheetData sheetId="16"/>
      <sheetData sheetId="17"/>
      <sheetData sheetId="18"/>
      <sheetData sheetId="19">
        <row r="51">
          <cell r="B51">
            <v>0</v>
          </cell>
        </row>
        <row r="58">
          <cell r="B58">
            <v>0</v>
          </cell>
        </row>
        <row r="59">
          <cell r="B59">
            <v>0</v>
          </cell>
        </row>
        <row r="62">
          <cell r="B62">
            <v>0</v>
          </cell>
        </row>
      </sheetData>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trlProp" Target="../ctrlProps/ctrlProp2.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5" Type="http://schemas.openxmlformats.org/officeDocument/2006/relationships/drawing" Target="../drawings/drawing9.xml"/><Relationship Id="rId4" Type="http://schemas.openxmlformats.org/officeDocument/2006/relationships/printerSettings" Target="../printerSettings/printerSettings21.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drawing" Target="../drawings/drawing10.xml"/><Relationship Id="rId4" Type="http://schemas.openxmlformats.org/officeDocument/2006/relationships/printerSettings" Target="../printerSettings/printerSettings25.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drawing" Target="../drawings/drawing11.xml"/><Relationship Id="rId4" Type="http://schemas.openxmlformats.org/officeDocument/2006/relationships/printerSettings" Target="../printerSettings/printerSettings29.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 Id="rId5" Type="http://schemas.openxmlformats.org/officeDocument/2006/relationships/drawing" Target="../drawings/drawing12.xml"/><Relationship Id="rId4" Type="http://schemas.openxmlformats.org/officeDocument/2006/relationships/printerSettings" Target="../printerSettings/printerSettings3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6.vml"/><Relationship Id="rId1" Type="http://schemas.openxmlformats.org/officeDocument/2006/relationships/printerSettings" Target="../printerSettings/printerSettings38.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 Id="rId5" Type="http://schemas.openxmlformats.org/officeDocument/2006/relationships/drawing" Target="../drawings/drawing14.xml"/><Relationship Id="rId4" Type="http://schemas.openxmlformats.org/officeDocument/2006/relationships/printerSettings" Target="../printerSettings/printerSettings4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7.vml"/><Relationship Id="rId1" Type="http://schemas.openxmlformats.org/officeDocument/2006/relationships/printerSettings" Target="../printerSettings/printerSettings43.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46.bin"/><Relationship Id="rId2" Type="http://schemas.openxmlformats.org/officeDocument/2006/relationships/printerSettings" Target="../printerSettings/printerSettings45.bin"/><Relationship Id="rId1" Type="http://schemas.openxmlformats.org/officeDocument/2006/relationships/printerSettings" Target="../printerSettings/printerSettings44.bin"/><Relationship Id="rId5" Type="http://schemas.openxmlformats.org/officeDocument/2006/relationships/drawing" Target="../drawings/drawing15.xml"/><Relationship Id="rId4" Type="http://schemas.openxmlformats.org/officeDocument/2006/relationships/printerSettings" Target="../printerSettings/printerSettings47.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2.vml"/><Relationship Id="rId7" Type="http://schemas.openxmlformats.org/officeDocument/2006/relationships/ctrlProp" Target="../ctrlProps/ctrlProp6.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5.xml"/><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7.xml"/></Relationships>
</file>

<file path=xl/worksheets/_rels/sheet5.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printerSettings" Target="../printerSettings/printerSettings6.bin"/><Relationship Id="rId7" Type="http://schemas.openxmlformats.org/officeDocument/2006/relationships/ctrlProp" Target="../ctrlProps/ctrlProp8.x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6" Type="http://schemas.openxmlformats.org/officeDocument/2006/relationships/vmlDrawing" Target="../drawings/vmlDrawing4.vml"/><Relationship Id="rId5" Type="http://schemas.openxmlformats.org/officeDocument/2006/relationships/drawing" Target="../drawings/drawing4.xml"/><Relationship Id="rId4"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5" Type="http://schemas.openxmlformats.org/officeDocument/2006/relationships/drawing" Target="../drawings/drawing5.xml"/><Relationship Id="rId4"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12.bin"/><Relationship Id="rId5" Type="http://schemas.openxmlformats.org/officeDocument/2006/relationships/comments" Target="../comments3.xml"/><Relationship Id="rId4" Type="http://schemas.openxmlformats.org/officeDocument/2006/relationships/ctrlProp" Target="../ctrlProps/ctrlProp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5" Type="http://schemas.openxmlformats.org/officeDocument/2006/relationships/drawing" Target="../drawings/drawing8.xml"/><Relationship Id="rId4"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M24"/>
  <sheetViews>
    <sheetView showGridLines="0" workbookViewId="0">
      <selection activeCell="K13" sqref="K13"/>
    </sheetView>
  </sheetViews>
  <sheetFormatPr defaultRowHeight="12.75" x14ac:dyDescent="0.2"/>
  <cols>
    <col min="1" max="1" width="20" style="287" customWidth="1"/>
    <col min="2" max="9" width="11.85546875" style="287" customWidth="1"/>
    <col min="10" max="16384" width="9.140625" style="287"/>
  </cols>
  <sheetData>
    <row r="1" spans="1:13" x14ac:dyDescent="0.2">
      <c r="A1" s="555"/>
      <c r="B1" s="593"/>
    </row>
    <row r="2" spans="1:13" ht="19.5" customHeight="1" x14ac:dyDescent="0.25">
      <c r="A2" s="770" t="s">
        <v>460</v>
      </c>
      <c r="B2" s="770"/>
      <c r="C2" s="771"/>
      <c r="D2" s="771"/>
      <c r="E2" s="771"/>
      <c r="F2" s="771"/>
      <c r="G2" s="771"/>
      <c r="H2" s="771"/>
      <c r="I2" s="771"/>
      <c r="J2" s="771"/>
      <c r="K2" s="771"/>
      <c r="L2" s="771"/>
      <c r="M2" s="771"/>
    </row>
    <row r="3" spans="1:13" x14ac:dyDescent="0.2">
      <c r="A3" s="580"/>
      <c r="B3" s="555"/>
    </row>
    <row r="4" spans="1:13" x14ac:dyDescent="0.2">
      <c r="A4" s="772" t="s">
        <v>79</v>
      </c>
      <c r="B4" s="773">
        <v>36831</v>
      </c>
      <c r="F4" s="780" t="str">
        <f>IF(B4=B5,"NEW MONTH!!    Change Filenames on tab hyperlinks below", " ")</f>
        <v xml:space="preserve"> </v>
      </c>
    </row>
    <row r="5" spans="1:13" x14ac:dyDescent="0.2">
      <c r="A5" s="772" t="s">
        <v>80</v>
      </c>
      <c r="B5" s="828">
        <v>36847</v>
      </c>
    </row>
    <row r="7" spans="1:13" ht="3.75" customHeight="1" x14ac:dyDescent="0.2"/>
    <row r="8" spans="1:13" ht="20.25" x14ac:dyDescent="0.3">
      <c r="B8" s="774" t="s">
        <v>461</v>
      </c>
    </row>
    <row r="9" spans="1:13" x14ac:dyDescent="0.2">
      <c r="C9" s="667"/>
      <c r="D9" s="667"/>
      <c r="E9" s="667"/>
      <c r="F9" s="667"/>
      <c r="G9" s="667"/>
      <c r="H9" s="667"/>
      <c r="I9" s="667"/>
    </row>
    <row r="10" spans="1:13" ht="25.5" x14ac:dyDescent="0.2">
      <c r="B10" s="819" t="str">
        <f>HYPERLINK("[\\ectcal\calgary\secure\Risk Management\GASBOOK\CAN$1000.xls]PriceAlberta!K75", "West Price")</f>
        <v>West Price</v>
      </c>
      <c r="C10" s="819" t="str">
        <f>HYPERLINK("[\\ectcal\calgary\secure\Risk Management\GASBOOK\CAN$1000.xls]AlbertaIndex!K75", "West Index")</f>
        <v>West Index</v>
      </c>
      <c r="D10" s="819" t="str">
        <f>HYPERLINK("[\\ectcal\calgary\secure\Risk Management\GASBOOK\CAN$1000.xls]PriceBC!K75", "Price BC")</f>
        <v>Price BC</v>
      </c>
      <c r="E10" s="819" t="str">
        <f>HYPERLINK("[\\ectcal\calgary\secure\Risk Management\GASBOOK\CAN$1000.xls]BCIndex!K75", "BC Index")</f>
        <v>BC Index</v>
      </c>
      <c r="F10" s="819" t="str">
        <f>HYPERLINK("[\\ectcal\calgary\secure\Risk Management\GASBOOK\CAN$1000.xls]PriceEOL!K75", "EOL Price")</f>
        <v>EOL Price</v>
      </c>
      <c r="G10" s="819" t="str">
        <f>HYPERLINK("[\\ectcal\calgary\secure\Risk Management\GASBOOK\CAN$1000.xls]EOLIndex!K75", "EOL Index")</f>
        <v>EOL Index</v>
      </c>
      <c r="H10" s="819" t="str">
        <f>HYPERLINK("[\\ectcal\calgary\secure\Risk Management\GASBOOK\CAN$1000.xls]Straddle!K75", "Straddle")</f>
        <v>Straddle</v>
      </c>
      <c r="I10" s="819" t="str">
        <f>HYPERLINK("[\\ectcal\calgary\secure\Risk Management\GASBOOK\CAN$1000.xls]Options!K75", "CAD Options")</f>
        <v>CAD Options</v>
      </c>
      <c r="J10" s="819" t="str">
        <f>HYPERLINK("[\\ectcal\calgary\secure\Risk Management\GASBOOK\CAN$1000.xls]OptionsIndex!K75", "Options Index")</f>
        <v>Options Index</v>
      </c>
      <c r="K10" s="819" t="str">
        <f>HYPERLINK("[\\ectcal\calgary\secure\Risk Management\GASBOOK\CAN$1000.xls]OptionsProp!K75", "USD Options")</f>
        <v>USD Options</v>
      </c>
      <c r="L10" s="819" t="str">
        <f>HYPERLINK("[\\ectcal\calgary\secure\Risk Management\GASBOOK\CAN$1000.xls]SpotRates!A1", "Spot Rates")</f>
        <v>Spot Rates</v>
      </c>
    </row>
    <row r="11" spans="1:13" ht="6.75" customHeight="1" x14ac:dyDescent="0.2"/>
    <row r="12" spans="1:13" x14ac:dyDescent="0.2">
      <c r="B12" s="775">
        <v>949832</v>
      </c>
      <c r="C12" s="775">
        <v>949833</v>
      </c>
      <c r="D12" s="775">
        <v>949837</v>
      </c>
      <c r="E12" s="775">
        <v>949838</v>
      </c>
      <c r="F12" s="775">
        <v>949834</v>
      </c>
      <c r="G12" s="775">
        <v>949836</v>
      </c>
      <c r="H12" s="775">
        <v>949856</v>
      </c>
      <c r="I12" s="775">
        <v>949849</v>
      </c>
      <c r="J12" s="775">
        <v>949853</v>
      </c>
      <c r="K12" s="841">
        <v>921467</v>
      </c>
    </row>
    <row r="13" spans="1:13" ht="7.5" customHeight="1" x14ac:dyDescent="0.2"/>
    <row r="14" spans="1:13" ht="7.5" customHeight="1" x14ac:dyDescent="0.2"/>
    <row r="15" spans="1:13" ht="6.75" customHeight="1" x14ac:dyDescent="0.2"/>
    <row r="16" spans="1:13" ht="6.75" customHeight="1" x14ac:dyDescent="0.2"/>
    <row r="17" spans="2:5" s="509" customFormat="1" ht="27.75" customHeight="1" x14ac:dyDescent="0.25">
      <c r="B17" s="779" t="s">
        <v>464</v>
      </c>
    </row>
    <row r="18" spans="2:5" s="509" customFormat="1" ht="27.75" customHeight="1" x14ac:dyDescent="0.25">
      <c r="B18" s="778" t="s">
        <v>465</v>
      </c>
    </row>
    <row r="19" spans="2:5" s="509" customFormat="1" ht="27.75" customHeight="1" x14ac:dyDescent="0.25">
      <c r="B19" s="779" t="s">
        <v>462</v>
      </c>
    </row>
    <row r="20" spans="2:5" s="509" customFormat="1" ht="27.75" customHeight="1" x14ac:dyDescent="0.2"/>
    <row r="21" spans="2:5" ht="20.25" customHeight="1" x14ac:dyDescent="0.25">
      <c r="B21" s="778" t="s">
        <v>466</v>
      </c>
      <c r="C21" s="509"/>
      <c r="D21" s="509"/>
      <c r="E21" s="509"/>
    </row>
    <row r="22" spans="2:5" ht="20.25" customHeight="1" x14ac:dyDescent="0.2">
      <c r="B22" s="781" t="str">
        <f>PriceAlberta!D15</f>
        <v xml:space="preserve"> </v>
      </c>
    </row>
    <row r="23" spans="2:5" x14ac:dyDescent="0.2">
      <c r="B23" s="781" t="str">
        <f>PriceAlberta!D16</f>
        <v xml:space="preserve"> </v>
      </c>
    </row>
    <row r="24" spans="2:5" x14ac:dyDescent="0.2">
      <c r="B24" s="782" t="str">
        <f>IF(B4=B5, " FX alert above shows #N/A on 1st of every month", " ")</f>
        <v xml:space="preserve"> </v>
      </c>
    </row>
  </sheetData>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5361" r:id="rId3" name="Button 1">
              <controlPr defaultSize="0" print="0" autoFill="0" autoLine="0" autoPict="0" macro="[0]!Macro1">
                <anchor moveWithCells="1" sizeWithCells="1">
                  <from>
                    <xdr:col>1</xdr:col>
                    <xdr:colOff>323850</xdr:colOff>
                    <xdr:row>16</xdr:row>
                    <xdr:rowOff>104775</xdr:rowOff>
                  </from>
                  <to>
                    <xdr:col>3</xdr:col>
                    <xdr:colOff>142875</xdr:colOff>
                    <xdr:row>17</xdr:row>
                    <xdr:rowOff>19050</xdr:rowOff>
                  </to>
                </anchor>
              </controlPr>
            </control>
          </mc:Choice>
        </mc:AlternateContent>
        <mc:AlternateContent xmlns:mc="http://schemas.openxmlformats.org/markup-compatibility/2006">
          <mc:Choice Requires="x14">
            <control shapeId="15365" r:id="rId4" name="Button 5">
              <controlPr defaultSize="0" print="0" autoFill="0" autoLine="0" autoPict="0" macro="[0]!CopyPriorDay">
                <anchor moveWithCells="1" sizeWithCells="1">
                  <from>
                    <xdr:col>1</xdr:col>
                    <xdr:colOff>304800</xdr:colOff>
                    <xdr:row>18</xdr:row>
                    <xdr:rowOff>95250</xdr:rowOff>
                  </from>
                  <to>
                    <xdr:col>3</xdr:col>
                    <xdr:colOff>485775</xdr:colOff>
                    <xdr:row>19</xdr:row>
                    <xdr:rowOff>190500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X240"/>
  <sheetViews>
    <sheetView zoomScale="80" workbookViewId="0">
      <pane xSplit="2" ySplit="6" topLeftCell="C38" activePane="bottomRight" state="frozen"/>
      <selection activeCell="D9" sqref="D9:D13"/>
      <selection pane="topRight" activeCell="D9" sqref="D9:D13"/>
      <selection pane="bottomLeft" activeCell="D9" sqref="D9:D13"/>
      <selection pane="bottomRight" activeCell="S59" sqref="S59"/>
    </sheetView>
  </sheetViews>
  <sheetFormatPr defaultRowHeight="12.75" x14ac:dyDescent="0.2"/>
  <cols>
    <col min="1" max="1" width="23.85546875" style="555" customWidth="1"/>
    <col min="2" max="4" width="14.85546875" style="555" customWidth="1"/>
    <col min="5" max="5" width="17.28515625" style="555" customWidth="1"/>
    <col min="6" max="11" width="14.85546875" style="555" customWidth="1"/>
    <col min="12" max="12" width="15.28515625" style="555" customWidth="1"/>
    <col min="13" max="17" width="14.85546875" style="555" customWidth="1"/>
    <col min="18" max="18" width="15.5703125" style="555" customWidth="1"/>
    <col min="19" max="23" width="14.85546875" style="555" customWidth="1"/>
    <col min="24" max="24" width="15.42578125" style="555" customWidth="1"/>
    <col min="25" max="33" width="14.85546875" style="555" customWidth="1"/>
    <col min="34" max="34" width="2.7109375" style="555" customWidth="1"/>
    <col min="35" max="35" width="15.140625" style="555" customWidth="1"/>
    <col min="36" max="36" width="16.140625" style="555" customWidth="1"/>
    <col min="37" max="37" width="14.5703125" style="555" customWidth="1"/>
    <col min="38" max="38" width="9.140625" style="555"/>
    <col min="39" max="39" width="13.28515625" style="555" customWidth="1"/>
    <col min="40" max="40" width="11.5703125" style="555" customWidth="1"/>
    <col min="41" max="41" width="14.5703125" style="555" customWidth="1"/>
    <col min="42" max="16384" width="9.140625" style="555"/>
  </cols>
  <sheetData>
    <row r="1" spans="1:37" ht="12.75" customHeight="1" x14ac:dyDescent="0.2">
      <c r="B1" s="818">
        <f>M38</f>
        <v>0</v>
      </c>
      <c r="D1" s="287"/>
      <c r="E1" s="287"/>
      <c r="F1" s="287"/>
      <c r="G1" s="287"/>
      <c r="H1" s="287"/>
      <c r="I1" s="287"/>
      <c r="J1" s="287"/>
      <c r="K1" s="287"/>
      <c r="L1" s="287"/>
      <c r="M1" s="287"/>
      <c r="N1" s="287"/>
      <c r="O1" s="287"/>
    </row>
    <row r="2" spans="1:37" ht="12.75" customHeight="1" x14ac:dyDescent="0.2">
      <c r="A2" s="580" t="s">
        <v>75</v>
      </c>
      <c r="D2" s="287"/>
      <c r="E2" s="287"/>
      <c r="F2" s="287"/>
      <c r="G2" s="287"/>
      <c r="H2" s="287"/>
      <c r="I2" s="287"/>
      <c r="J2" s="287"/>
      <c r="K2" s="287"/>
      <c r="L2" s="287"/>
      <c r="M2" s="287"/>
      <c r="N2" s="287"/>
      <c r="O2" s="287"/>
    </row>
    <row r="3" spans="1:37" ht="12.75" customHeight="1" x14ac:dyDescent="0.2">
      <c r="A3" s="581" t="s">
        <v>76</v>
      </c>
      <c r="B3" s="388" t="s">
        <v>471</v>
      </c>
      <c r="C3" s="388" t="s">
        <v>78</v>
      </c>
      <c r="D3" s="287"/>
      <c r="E3" s="287"/>
      <c r="F3" s="287"/>
      <c r="G3" s="287"/>
      <c r="H3" s="287"/>
      <c r="I3" s="287"/>
      <c r="J3" s="287"/>
      <c r="K3" s="287"/>
      <c r="L3" s="287"/>
      <c r="M3" s="287"/>
      <c r="N3" s="287"/>
      <c r="O3" s="287"/>
    </row>
    <row r="4" spans="1:37" ht="12.75" customHeight="1" x14ac:dyDescent="0.2">
      <c r="A4" s="581" t="s">
        <v>79</v>
      </c>
      <c r="B4" s="323">
        <f>Front!B4</f>
        <v>36831</v>
      </c>
      <c r="D4" s="287"/>
      <c r="E4" s="287"/>
      <c r="F4" s="287"/>
      <c r="G4" s="287"/>
      <c r="H4" s="287"/>
      <c r="I4" s="287"/>
      <c r="J4" s="287"/>
      <c r="K4" s="287"/>
      <c r="L4" s="287"/>
      <c r="M4" s="287"/>
      <c r="N4" s="287"/>
      <c r="O4" s="287"/>
    </row>
    <row r="5" spans="1:37" ht="12.75" customHeight="1" thickBot="1" x14ac:dyDescent="0.25">
      <c r="A5" s="581" t="s">
        <v>80</v>
      </c>
      <c r="B5" s="570">
        <f>Front!B5</f>
        <v>36847</v>
      </c>
      <c r="C5" s="582"/>
      <c r="V5" s="583"/>
      <c r="W5" s="583"/>
      <c r="X5" s="583"/>
      <c r="Y5" s="583"/>
      <c r="Z5" s="583"/>
      <c r="AA5" s="583"/>
    </row>
    <row r="6" spans="1:37" ht="12.75" customHeight="1" x14ac:dyDescent="0.2">
      <c r="A6" s="581" t="s">
        <v>81</v>
      </c>
      <c r="B6" s="777">
        <f>Front!$E$12</f>
        <v>949838</v>
      </c>
      <c r="C6" s="582"/>
      <c r="K6" s="584" t="s">
        <v>82</v>
      </c>
      <c r="L6" s="585"/>
      <c r="M6" s="585"/>
      <c r="N6" s="585"/>
      <c r="O6" s="585"/>
      <c r="P6" s="585"/>
      <c r="Q6" s="585"/>
      <c r="R6" s="586"/>
      <c r="S6" s="286" t="s">
        <v>83</v>
      </c>
      <c r="T6" s="286"/>
      <c r="V6" s="584" t="s">
        <v>84</v>
      </c>
      <c r="W6" s="585"/>
      <c r="X6" s="585"/>
      <c r="Y6" s="585"/>
      <c r="Z6" s="585"/>
      <c r="AA6" s="586"/>
    </row>
    <row r="7" spans="1:37" ht="12.75" customHeight="1" x14ac:dyDescent="0.2">
      <c r="D7" s="587" t="s">
        <v>93</v>
      </c>
      <c r="E7" s="587" t="s">
        <v>94</v>
      </c>
      <c r="K7" s="588"/>
      <c r="L7" s="589" t="s">
        <v>88</v>
      </c>
      <c r="M7" s="589" t="s">
        <v>88</v>
      </c>
      <c r="N7" s="589" t="s">
        <v>88</v>
      </c>
      <c r="O7" s="589" t="s">
        <v>88</v>
      </c>
      <c r="P7" s="589" t="s">
        <v>88</v>
      </c>
      <c r="Q7" s="589" t="s">
        <v>88</v>
      </c>
      <c r="R7" s="590" t="s">
        <v>4</v>
      </c>
      <c r="S7" s="587" t="s">
        <v>89</v>
      </c>
      <c r="T7" s="587" t="s">
        <v>90</v>
      </c>
      <c r="V7" s="591" t="s">
        <v>91</v>
      </c>
      <c r="W7" s="583"/>
      <c r="X7" s="583"/>
      <c r="Y7" s="583"/>
      <c r="Z7" s="583"/>
      <c r="AA7" s="592"/>
    </row>
    <row r="8" spans="1:37" ht="12.75" customHeight="1" x14ac:dyDescent="0.2">
      <c r="A8" s="389" t="s">
        <v>92</v>
      </c>
      <c r="G8" s="593" t="s">
        <v>95</v>
      </c>
      <c r="H8" s="593"/>
      <c r="K8" s="594" t="s">
        <v>96</v>
      </c>
      <c r="L8" s="583"/>
      <c r="M8" s="583"/>
      <c r="N8" s="583"/>
      <c r="O8" s="583"/>
      <c r="P8" s="583"/>
      <c r="Q8" s="595"/>
      <c r="R8" s="592"/>
      <c r="V8" s="591" t="s">
        <v>97</v>
      </c>
      <c r="W8" s="583"/>
      <c r="X8" s="583"/>
      <c r="Y8" s="583"/>
      <c r="Z8" s="583"/>
      <c r="AA8" s="592"/>
    </row>
    <row r="9" spans="1:37" ht="12.75" customHeight="1" x14ac:dyDescent="0.2">
      <c r="A9" s="555" t="s">
        <v>98</v>
      </c>
      <c r="D9" s="557">
        <v>1429988</v>
      </c>
      <c r="E9" s="557">
        <v>1430137</v>
      </c>
      <c r="F9" s="287" t="s">
        <v>99</v>
      </c>
      <c r="G9" s="596" t="s">
        <v>100</v>
      </c>
      <c r="H9" s="596"/>
      <c r="K9" s="591" t="s">
        <v>101</v>
      </c>
      <c r="L9" s="597">
        <v>0</v>
      </c>
      <c r="M9" s="597">
        <v>0</v>
      </c>
      <c r="N9" s="597">
        <v>0</v>
      </c>
      <c r="O9" s="597">
        <v>0</v>
      </c>
      <c r="P9" s="597">
        <v>0</v>
      </c>
      <c r="Q9" s="597">
        <v>0</v>
      </c>
      <c r="R9" s="598">
        <f>SUM(L9:Q9)</f>
        <v>0</v>
      </c>
      <c r="S9" s="599">
        <f>IF(R9&gt;=0,R9/1000000,0)</f>
        <v>0</v>
      </c>
      <c r="T9" s="599">
        <f>IF(R9&gt;=0,0,R9/1000000)</f>
        <v>0</v>
      </c>
      <c r="V9" s="591"/>
      <c r="W9" s="583"/>
      <c r="X9" s="583"/>
      <c r="Y9" s="583"/>
      <c r="Z9" s="583"/>
      <c r="AA9" s="592"/>
      <c r="AI9" s="600"/>
    </row>
    <row r="10" spans="1:37" ht="12.75" customHeight="1" x14ac:dyDescent="0.2">
      <c r="A10" s="555" t="s">
        <v>102</v>
      </c>
      <c r="D10" s="555">
        <v>0</v>
      </c>
      <c r="E10" s="554">
        <v>0</v>
      </c>
      <c r="F10" s="287" t="s">
        <v>99</v>
      </c>
      <c r="G10" s="596" t="s">
        <v>100</v>
      </c>
      <c r="H10" s="596"/>
      <c r="K10" s="591" t="s">
        <v>103</v>
      </c>
      <c r="L10" s="597">
        <v>0</v>
      </c>
      <c r="M10" s="597">
        <v>0</v>
      </c>
      <c r="N10" s="597">
        <v>0</v>
      </c>
      <c r="O10" s="597">
        <v>0</v>
      </c>
      <c r="P10" s="597">
        <v>0</v>
      </c>
      <c r="Q10" s="597">
        <v>0</v>
      </c>
      <c r="R10" s="598">
        <f>SUM(L10:Q10)</f>
        <v>0</v>
      </c>
      <c r="S10" s="599">
        <f>IF(R10&gt;=0,R10/1000000,0)</f>
        <v>0</v>
      </c>
      <c r="T10" s="599">
        <f>IF(R10&gt;=0,0,R10/1000000)</f>
        <v>0</v>
      </c>
      <c r="V10" s="591" t="s">
        <v>104</v>
      </c>
      <c r="W10" s="583"/>
      <c r="X10" s="583"/>
      <c r="Y10" s="583"/>
      <c r="Z10" s="583"/>
      <c r="AA10" s="592"/>
    </row>
    <row r="11" spans="1:37" ht="12.75" customHeight="1" x14ac:dyDescent="0.2">
      <c r="A11" s="555" t="s">
        <v>105</v>
      </c>
      <c r="D11" s="555">
        <v>0</v>
      </c>
      <c r="E11" s="554">
        <v>0</v>
      </c>
      <c r="F11" s="287" t="s">
        <v>99</v>
      </c>
      <c r="G11" s="596" t="s">
        <v>106</v>
      </c>
      <c r="H11" s="596"/>
      <c r="K11" s="591" t="s">
        <v>107</v>
      </c>
      <c r="L11" s="597">
        <v>0</v>
      </c>
      <c r="M11" s="597">
        <v>0</v>
      </c>
      <c r="N11" s="597">
        <v>0</v>
      </c>
      <c r="O11" s="597">
        <v>0</v>
      </c>
      <c r="P11" s="597">
        <v>0</v>
      </c>
      <c r="Q11" s="597">
        <v>0</v>
      </c>
      <c r="R11" s="598">
        <f>SUM(L11:Q11)</f>
        <v>0</v>
      </c>
      <c r="S11" s="599">
        <f>IF(R11&gt;=0,R11/1000000,0)</f>
        <v>0</v>
      </c>
      <c r="T11" s="599">
        <f>IF(R11&gt;=0,0,R11/1000000)</f>
        <v>0</v>
      </c>
      <c r="V11" s="591" t="s">
        <v>108</v>
      </c>
      <c r="W11" s="583"/>
      <c r="X11" s="583"/>
      <c r="Y11" s="583"/>
      <c r="Z11" s="583"/>
      <c r="AA11" s="592"/>
    </row>
    <row r="12" spans="1:37" ht="12.75" customHeight="1" x14ac:dyDescent="0.2">
      <c r="A12" s="555" t="s">
        <v>109</v>
      </c>
      <c r="D12" s="555">
        <v>0</v>
      </c>
      <c r="E12" s="554">
        <v>0</v>
      </c>
      <c r="F12" s="287" t="s">
        <v>99</v>
      </c>
      <c r="G12" s="596" t="s">
        <v>110</v>
      </c>
      <c r="H12" s="596"/>
      <c r="K12" s="591" t="s">
        <v>111</v>
      </c>
      <c r="L12" s="597">
        <v>0</v>
      </c>
      <c r="M12" s="597">
        <v>0</v>
      </c>
      <c r="N12" s="597">
        <v>0</v>
      </c>
      <c r="O12" s="597">
        <v>0</v>
      </c>
      <c r="P12" s="597">
        <v>0</v>
      </c>
      <c r="Q12" s="597">
        <v>0</v>
      </c>
      <c r="R12" s="598">
        <f>SUM(L12:Q12)</f>
        <v>0</v>
      </c>
      <c r="S12" s="599">
        <f>IF(R12&gt;=0,R12/1000000,0)</f>
        <v>0</v>
      </c>
      <c r="T12" s="599">
        <f>IF(R12&gt;=0,0,R12/1000000)</f>
        <v>0</v>
      </c>
      <c r="V12" s="591"/>
      <c r="W12" s="583"/>
      <c r="X12" s="583"/>
      <c r="Y12" s="583"/>
      <c r="Z12" s="583"/>
      <c r="AA12" s="592"/>
      <c r="AK12" s="600"/>
    </row>
    <row r="13" spans="1:37" ht="12.75" customHeight="1" x14ac:dyDescent="0.2">
      <c r="A13" s="555" t="s">
        <v>112</v>
      </c>
      <c r="D13" s="555">
        <v>0</v>
      </c>
      <c r="E13" s="554">
        <v>0</v>
      </c>
      <c r="F13" s="287" t="s">
        <v>99</v>
      </c>
      <c r="G13" s="596"/>
      <c r="H13" s="596"/>
      <c r="K13" s="591"/>
      <c r="L13" s="583"/>
      <c r="M13" s="583"/>
      <c r="N13" s="583"/>
      <c r="O13" s="583"/>
      <c r="P13" s="583"/>
      <c r="Q13" s="583"/>
      <c r="R13" s="592"/>
      <c r="S13" s="601"/>
      <c r="T13" s="601"/>
      <c r="V13" s="591" t="s">
        <v>113</v>
      </c>
      <c r="W13" s="583"/>
      <c r="X13" s="583"/>
      <c r="Y13" s="602" t="s">
        <v>114</v>
      </c>
      <c r="Z13" s="583"/>
      <c r="AA13" s="592"/>
      <c r="AK13" s="600"/>
    </row>
    <row r="14" spans="1:37" ht="12.75" customHeight="1" thickBot="1" x14ac:dyDescent="0.25">
      <c r="A14" s="555" t="s">
        <v>115</v>
      </c>
      <c r="E14" s="556">
        <f>+E159</f>
        <v>-34763</v>
      </c>
      <c r="F14" s="555" t="s">
        <v>116</v>
      </c>
      <c r="K14" s="591" t="s">
        <v>117</v>
      </c>
      <c r="L14" s="603">
        <f t="shared" ref="L14:Q14" si="0">SUM(L9:L13)/1000000</f>
        <v>0</v>
      </c>
      <c r="M14" s="603">
        <f t="shared" si="0"/>
        <v>0</v>
      </c>
      <c r="N14" s="603">
        <f t="shared" si="0"/>
        <v>0</v>
      </c>
      <c r="O14" s="603">
        <f t="shared" si="0"/>
        <v>0</v>
      </c>
      <c r="P14" s="603">
        <f t="shared" si="0"/>
        <v>0</v>
      </c>
      <c r="Q14" s="603">
        <f t="shared" si="0"/>
        <v>0</v>
      </c>
      <c r="R14" s="604">
        <f>SUM(R9:R12)/1000000</f>
        <v>0</v>
      </c>
      <c r="S14" s="603">
        <f>SUM(S9:S13)</f>
        <v>0</v>
      </c>
      <c r="T14" s="603">
        <f>SUM(T9:T13)</f>
        <v>0</v>
      </c>
      <c r="V14" s="591"/>
      <c r="W14" s="583"/>
      <c r="X14" s="583"/>
      <c r="Y14" s="602" t="s">
        <v>118</v>
      </c>
      <c r="Z14" s="583"/>
      <c r="AA14" s="592"/>
    </row>
    <row r="15" spans="1:37" ht="12.75" customHeight="1" thickTop="1" x14ac:dyDescent="0.2">
      <c r="A15" s="555" t="s">
        <v>119</v>
      </c>
      <c r="E15" s="556">
        <f>+L159</f>
        <v>0</v>
      </c>
      <c r="F15" s="555" t="s">
        <v>116</v>
      </c>
      <c r="K15" s="591" t="s">
        <v>120</v>
      </c>
      <c r="L15" s="605">
        <v>0</v>
      </c>
      <c r="M15" s="605">
        <v>0</v>
      </c>
      <c r="N15" s="605">
        <v>0</v>
      </c>
      <c r="O15" s="605">
        <v>0</v>
      </c>
      <c r="P15" s="605">
        <v>0</v>
      </c>
      <c r="Q15" s="605">
        <v>0</v>
      </c>
      <c r="R15" s="606">
        <f>IF(R16=0,0,R17/R16)</f>
        <v>0</v>
      </c>
      <c r="S15" s="607" t="str">
        <f>IF(SUM(S14:T14)-R14=0,"-",SUM(S14:T14)-R14)</f>
        <v>-</v>
      </c>
      <c r="T15" s="601"/>
      <c r="V15" s="591"/>
      <c r="W15" s="602" t="s">
        <v>121</v>
      </c>
      <c r="X15" s="602" t="s">
        <v>122</v>
      </c>
      <c r="Y15" s="608" t="s">
        <v>123</v>
      </c>
      <c r="Z15" s="583"/>
      <c r="AA15" s="592"/>
    </row>
    <row r="16" spans="1:37" ht="12.75" customHeight="1" x14ac:dyDescent="0.2">
      <c r="A16" s="555" t="s">
        <v>124</v>
      </c>
      <c r="E16" s="556">
        <f>+E185</f>
        <v>0</v>
      </c>
      <c r="F16" s="555" t="s">
        <v>116</v>
      </c>
      <c r="I16" s="609"/>
      <c r="J16" s="609"/>
      <c r="K16" s="591" t="s">
        <v>125</v>
      </c>
      <c r="L16" s="610">
        <v>0</v>
      </c>
      <c r="M16" s="610">
        <v>0</v>
      </c>
      <c r="N16" s="610">
        <v>0</v>
      </c>
      <c r="O16" s="610">
        <v>0</v>
      </c>
      <c r="P16" s="610">
        <v>0</v>
      </c>
      <c r="Q16" s="610">
        <v>0</v>
      </c>
      <c r="R16" s="611">
        <f>SUM(L16:Q16)</f>
        <v>0</v>
      </c>
      <c r="S16" s="612"/>
      <c r="T16" s="601"/>
      <c r="U16" s="583"/>
      <c r="V16" s="591" t="s">
        <v>126</v>
      </c>
      <c r="W16" s="583">
        <v>0</v>
      </c>
      <c r="X16" s="583">
        <v>0</v>
      </c>
      <c r="Y16" s="583">
        <f>(X16-W16)/1000000</f>
        <v>0</v>
      </c>
      <c r="Z16" s="583"/>
      <c r="AA16" s="592"/>
      <c r="AB16" s="583"/>
      <c r="AC16" s="583"/>
      <c r="AD16" s="583"/>
      <c r="AE16" s="583"/>
      <c r="AF16" s="583"/>
      <c r="AG16" s="583"/>
      <c r="AH16" s="583"/>
      <c r="AI16" s="583"/>
      <c r="AJ16" s="583"/>
      <c r="AK16" s="583"/>
    </row>
    <row r="17" spans="1:37" ht="12.75" customHeight="1" thickBot="1" x14ac:dyDescent="0.25">
      <c r="E17" s="556"/>
      <c r="I17" s="609"/>
      <c r="J17" s="609"/>
      <c r="K17" s="613"/>
      <c r="L17" s="614">
        <f t="shared" ref="L17:Q17" si="1">SUM(L15*L16)</f>
        <v>0</v>
      </c>
      <c r="M17" s="614">
        <f t="shared" si="1"/>
        <v>0</v>
      </c>
      <c r="N17" s="614">
        <f t="shared" si="1"/>
        <v>0</v>
      </c>
      <c r="O17" s="614">
        <f t="shared" si="1"/>
        <v>0</v>
      </c>
      <c r="P17" s="614">
        <f t="shared" si="1"/>
        <v>0</v>
      </c>
      <c r="Q17" s="614">
        <f t="shared" si="1"/>
        <v>0</v>
      </c>
      <c r="R17" s="615">
        <f>SUM(L17:Q17)</f>
        <v>0</v>
      </c>
      <c r="S17" s="287"/>
      <c r="T17" s="287"/>
      <c r="U17" s="583"/>
      <c r="V17" s="591" t="s">
        <v>127</v>
      </c>
      <c r="W17" s="583">
        <v>0</v>
      </c>
      <c r="X17" s="583">
        <v>0</v>
      </c>
      <c r="Y17" s="583">
        <f>(X17-W17)/1000000</f>
        <v>0</v>
      </c>
      <c r="Z17" s="583"/>
      <c r="AA17" s="592"/>
      <c r="AB17" s="583"/>
      <c r="AC17" s="583"/>
      <c r="AD17" s="583"/>
      <c r="AE17" s="583"/>
      <c r="AF17" s="583"/>
      <c r="AG17" s="583"/>
      <c r="AH17" s="583"/>
      <c r="AI17" s="583"/>
      <c r="AJ17" s="583"/>
      <c r="AK17" s="583"/>
    </row>
    <row r="18" spans="1:37" ht="12.75" customHeight="1" x14ac:dyDescent="0.2">
      <c r="E18" s="556"/>
      <c r="I18" s="609"/>
      <c r="J18" s="609"/>
      <c r="K18" s="594" t="s">
        <v>128</v>
      </c>
      <c r="L18" s="583"/>
      <c r="M18" s="583"/>
      <c r="N18" s="583"/>
      <c r="O18" s="583"/>
      <c r="P18" s="583"/>
      <c r="Q18" s="595"/>
      <c r="R18" s="592"/>
      <c r="S18" s="599"/>
      <c r="T18" s="599"/>
      <c r="U18" s="583"/>
      <c r="V18" s="591" t="s">
        <v>129</v>
      </c>
      <c r="W18" s="583">
        <f>W16+W17</f>
        <v>0</v>
      </c>
      <c r="X18" s="583">
        <f>X16+X17</f>
        <v>0</v>
      </c>
      <c r="Y18" s="583">
        <f>Y16+Y17</f>
        <v>0</v>
      </c>
      <c r="Z18" s="583"/>
      <c r="AA18" s="592"/>
      <c r="AB18" s="583"/>
      <c r="AC18" s="583"/>
      <c r="AD18" s="583"/>
      <c r="AE18" s="583"/>
      <c r="AF18" s="583"/>
      <c r="AG18" s="583"/>
      <c r="AH18" s="583"/>
      <c r="AI18" s="583"/>
      <c r="AJ18" s="583"/>
      <c r="AK18" s="583"/>
    </row>
    <row r="19" spans="1:37" ht="12.75" customHeight="1" thickBot="1" x14ac:dyDescent="0.25">
      <c r="A19" s="593" t="s">
        <v>20</v>
      </c>
      <c r="E19" s="616">
        <f>SUM(E9:E16)</f>
        <v>1395374</v>
      </c>
      <c r="I19" s="583"/>
      <c r="J19" s="583"/>
      <c r="K19" s="591" t="s">
        <v>101</v>
      </c>
      <c r="L19" s="597">
        <v>0</v>
      </c>
      <c r="M19" s="597">
        <v>0</v>
      </c>
      <c r="N19" s="597">
        <v>0</v>
      </c>
      <c r="O19" s="597">
        <v>0</v>
      </c>
      <c r="P19" s="597">
        <v>0</v>
      </c>
      <c r="Q19" s="597">
        <v>0</v>
      </c>
      <c r="R19" s="598">
        <f>SUM(L19:Q19)</f>
        <v>0</v>
      </c>
      <c r="S19" s="599">
        <f>IF(R19&gt;=0,R19/1000000,0)</f>
        <v>0</v>
      </c>
      <c r="T19" s="599">
        <f>IF(R19&gt;=0,0,R19/1000000)</f>
        <v>0</v>
      </c>
      <c r="U19" s="583"/>
      <c r="V19" s="591"/>
      <c r="W19" s="583"/>
      <c r="X19" s="583"/>
      <c r="Y19" s="583"/>
      <c r="Z19" s="583"/>
      <c r="AA19" s="592"/>
      <c r="AB19" s="583"/>
      <c r="AC19" s="583"/>
      <c r="AD19" s="583"/>
      <c r="AE19" s="583"/>
      <c r="AF19" s="583"/>
      <c r="AG19" s="583"/>
      <c r="AH19" s="583"/>
      <c r="AI19" s="617"/>
      <c r="AJ19" s="583"/>
      <c r="AK19" s="583"/>
    </row>
    <row r="20" spans="1:37" ht="12.75" customHeight="1" thickTop="1" x14ac:dyDescent="0.2">
      <c r="I20" s="583"/>
      <c r="J20" s="583"/>
      <c r="K20" s="591" t="s">
        <v>103</v>
      </c>
      <c r="L20" s="597">
        <v>0</v>
      </c>
      <c r="M20" s="597">
        <v>0</v>
      </c>
      <c r="N20" s="597">
        <v>0</v>
      </c>
      <c r="O20" s="597">
        <v>0</v>
      </c>
      <c r="P20" s="597">
        <v>0</v>
      </c>
      <c r="Q20" s="597">
        <v>0</v>
      </c>
      <c r="R20" s="598">
        <f>SUM(L20:Q20)</f>
        <v>0</v>
      </c>
      <c r="S20" s="599">
        <f>IF(R20&gt;=0,R20/1000000,0)</f>
        <v>0</v>
      </c>
      <c r="T20" s="599">
        <f>IF(R20&gt;=0,0,R20/1000000)</f>
        <v>0</v>
      </c>
      <c r="U20" s="583"/>
      <c r="V20" s="591" t="s">
        <v>130</v>
      </c>
      <c r="W20" s="583"/>
      <c r="X20" s="583"/>
      <c r="Y20" s="583"/>
      <c r="Z20" s="583">
        <f>SUM(E19)-SUM(B58+B59)</f>
        <v>1392259</v>
      </c>
      <c r="AA20" s="592"/>
      <c r="AB20" s="583"/>
      <c r="AC20" s="583"/>
      <c r="AD20" s="583"/>
      <c r="AE20" s="583"/>
      <c r="AF20" s="583"/>
      <c r="AG20" s="583"/>
      <c r="AH20" s="583"/>
      <c r="AI20" s="617"/>
      <c r="AJ20" s="583"/>
      <c r="AK20" s="583"/>
    </row>
    <row r="21" spans="1:37" ht="12.75" customHeight="1" thickBot="1" x14ac:dyDescent="0.25">
      <c r="A21" s="389" t="s">
        <v>131</v>
      </c>
      <c r="I21" s="583"/>
      <c r="J21" s="583"/>
      <c r="K21" s="591" t="s">
        <v>107</v>
      </c>
      <c r="L21" s="597">
        <v>0</v>
      </c>
      <c r="M21" s="597">
        <v>0</v>
      </c>
      <c r="N21" s="597">
        <v>0</v>
      </c>
      <c r="O21" s="597">
        <v>0</v>
      </c>
      <c r="P21" s="597">
        <v>0</v>
      </c>
      <c r="Q21" s="597">
        <v>0</v>
      </c>
      <c r="R21" s="598">
        <f>SUM(L21:Q21)</f>
        <v>0</v>
      </c>
      <c r="S21" s="599">
        <f>IF(R21&gt;=0,R21/1000000,0)</f>
        <v>0</v>
      </c>
      <c r="T21" s="599">
        <f>IF(R21&gt;=0,0,R21/1000000)</f>
        <v>0</v>
      </c>
      <c r="U21" s="595"/>
      <c r="V21" s="613"/>
      <c r="W21" s="618"/>
      <c r="X21" s="618"/>
      <c r="Y21" s="618"/>
      <c r="Z21" s="618"/>
      <c r="AA21" s="619"/>
      <c r="AB21" s="595"/>
      <c r="AC21" s="595"/>
      <c r="AD21" s="595"/>
      <c r="AE21" s="595"/>
      <c r="AF21" s="595"/>
      <c r="AG21" s="595"/>
      <c r="AH21" s="595"/>
      <c r="AI21" s="620"/>
      <c r="AJ21" s="583"/>
      <c r="AK21" s="583"/>
    </row>
    <row r="22" spans="1:37" ht="12.75" customHeight="1" x14ac:dyDescent="0.2">
      <c r="A22" s="555" t="s">
        <v>132</v>
      </c>
      <c r="E22" s="557">
        <v>0</v>
      </c>
      <c r="F22" s="287" t="s">
        <v>99</v>
      </c>
      <c r="G22" s="583"/>
      <c r="I22" s="583"/>
      <c r="J22" s="583"/>
      <c r="K22" s="591" t="s">
        <v>111</v>
      </c>
      <c r="L22" s="597">
        <v>0</v>
      </c>
      <c r="M22" s="597">
        <v>0</v>
      </c>
      <c r="N22" s="597">
        <v>0</v>
      </c>
      <c r="O22" s="597">
        <v>0</v>
      </c>
      <c r="P22" s="597">
        <v>0</v>
      </c>
      <c r="Q22" s="597">
        <v>0</v>
      </c>
      <c r="R22" s="598">
        <f>SUM(L22:Q22)</f>
        <v>0</v>
      </c>
      <c r="S22" s="599">
        <f>IF(R22&gt;=0,R22/1000000,0)</f>
        <v>0</v>
      </c>
      <c r="T22" s="599">
        <f>IF(R22&gt;=0,0,R22/1000000)</f>
        <v>0</v>
      </c>
      <c r="U22" s="583"/>
      <c r="V22" s="583"/>
      <c r="W22" s="583"/>
      <c r="X22" s="583"/>
      <c r="Y22" s="583"/>
      <c r="Z22" s="583"/>
      <c r="AA22" s="583"/>
      <c r="AB22" s="583"/>
      <c r="AC22" s="583"/>
      <c r="AD22" s="583"/>
      <c r="AE22" s="583"/>
      <c r="AF22" s="583"/>
      <c r="AG22" s="583"/>
      <c r="AH22" s="583"/>
      <c r="AI22" s="620"/>
      <c r="AJ22" s="583"/>
      <c r="AK22" s="583"/>
    </row>
    <row r="23" spans="1:37" ht="12.75" customHeight="1" x14ac:dyDescent="0.2">
      <c r="A23" s="555" t="s">
        <v>133</v>
      </c>
      <c r="E23" s="621">
        <v>0</v>
      </c>
      <c r="F23" s="287" t="s">
        <v>99</v>
      </c>
      <c r="G23" s="583"/>
      <c r="I23" s="583"/>
      <c r="J23" s="583"/>
      <c r="K23" s="591"/>
      <c r="L23" s="583"/>
      <c r="M23" s="583"/>
      <c r="N23" s="583"/>
      <c r="O23" s="583"/>
      <c r="P23" s="583"/>
      <c r="Q23" s="583"/>
      <c r="R23" s="592"/>
      <c r="S23" s="601"/>
      <c r="T23" s="601"/>
      <c r="U23" s="583"/>
      <c r="V23" s="583"/>
      <c r="W23" s="583"/>
      <c r="X23" s="583"/>
      <c r="Y23" s="583"/>
      <c r="Z23" s="583"/>
      <c r="AA23" s="583"/>
      <c r="AB23" s="583"/>
      <c r="AC23" s="583"/>
      <c r="AD23" s="583"/>
      <c r="AE23" s="583"/>
      <c r="AF23" s="583"/>
      <c r="AG23" s="583"/>
      <c r="AH23" s="583"/>
      <c r="AI23" s="620"/>
      <c r="AJ23" s="583"/>
      <c r="AK23" s="583"/>
    </row>
    <row r="24" spans="1:37" ht="12.75" customHeight="1" thickBot="1" x14ac:dyDescent="0.25">
      <c r="A24" s="555" t="s">
        <v>134</v>
      </c>
      <c r="E24" s="622">
        <f>E22+E23</f>
        <v>0</v>
      </c>
      <c r="F24" s="555" t="s">
        <v>116</v>
      </c>
      <c r="I24" s="583"/>
      <c r="J24" s="583"/>
      <c r="K24" s="591" t="s">
        <v>117</v>
      </c>
      <c r="L24" s="603">
        <f t="shared" ref="L24:Q24" si="2">SUM(L19:L23)/1000000</f>
        <v>0</v>
      </c>
      <c r="M24" s="603">
        <f t="shared" si="2"/>
        <v>0</v>
      </c>
      <c r="N24" s="603">
        <f t="shared" si="2"/>
        <v>0</v>
      </c>
      <c r="O24" s="603">
        <f t="shared" si="2"/>
        <v>0</v>
      </c>
      <c r="P24" s="603">
        <f t="shared" si="2"/>
        <v>0</v>
      </c>
      <c r="Q24" s="603">
        <f t="shared" si="2"/>
        <v>0</v>
      </c>
      <c r="R24" s="604">
        <f>SUM(R19:R22)/1000000</f>
        <v>0</v>
      </c>
      <c r="S24" s="603">
        <f>SUM(S19:S23)</f>
        <v>0</v>
      </c>
      <c r="T24" s="603">
        <f>SUM(T19:T23)</f>
        <v>0</v>
      </c>
      <c r="U24" s="595"/>
      <c r="V24" s="595"/>
      <c r="W24" s="595"/>
      <c r="X24" s="595"/>
      <c r="Y24" s="595"/>
      <c r="Z24" s="595"/>
      <c r="AA24" s="595"/>
      <c r="AB24" s="595"/>
      <c r="AC24" s="595"/>
      <c r="AD24" s="595"/>
      <c r="AE24" s="595"/>
      <c r="AF24" s="595"/>
      <c r="AG24" s="595"/>
      <c r="AH24" s="595"/>
      <c r="AI24" s="620"/>
      <c r="AJ24" s="583"/>
      <c r="AK24" s="583"/>
    </row>
    <row r="25" spans="1:37" ht="12.75" customHeight="1" thickTop="1" thickBot="1" x14ac:dyDescent="0.25">
      <c r="A25" s="555" t="s">
        <v>135</v>
      </c>
      <c r="E25" s="556">
        <f>-M214</f>
        <v>0</v>
      </c>
      <c r="I25" s="583"/>
      <c r="J25" s="583"/>
      <c r="K25" s="613"/>
      <c r="L25" s="618"/>
      <c r="M25" s="618"/>
      <c r="N25" s="618"/>
      <c r="O25" s="618"/>
      <c r="P25" s="618"/>
      <c r="Q25" s="618"/>
      <c r="R25" s="619"/>
      <c r="S25" s="595"/>
      <c r="T25" s="595"/>
      <c r="U25" s="583"/>
      <c r="V25" s="583"/>
      <c r="W25" s="583"/>
      <c r="X25" s="583"/>
      <c r="Y25" s="583"/>
      <c r="Z25" s="583"/>
      <c r="AA25" s="583"/>
      <c r="AB25" s="583"/>
      <c r="AC25" s="583"/>
      <c r="AD25" s="583"/>
      <c r="AE25" s="583"/>
      <c r="AF25" s="583"/>
      <c r="AG25" s="583"/>
      <c r="AH25" s="583"/>
      <c r="AI25" s="620"/>
      <c r="AJ25" s="583"/>
      <c r="AK25" s="583"/>
    </row>
    <row r="26" spans="1:37" ht="12.75" customHeight="1" thickBot="1" x14ac:dyDescent="0.25">
      <c r="A26" s="593" t="s">
        <v>136</v>
      </c>
      <c r="E26" s="623">
        <f>E24+E25</f>
        <v>0</v>
      </c>
      <c r="I26" s="583"/>
      <c r="J26" s="583"/>
      <c r="K26" s="287"/>
      <c r="L26" s="287"/>
      <c r="M26" s="287"/>
      <c r="N26" s="287"/>
      <c r="O26" s="287"/>
      <c r="P26" s="287"/>
      <c r="Q26" s="287"/>
      <c r="R26" s="287"/>
      <c r="S26" s="583"/>
      <c r="T26" s="583"/>
      <c r="U26" s="583"/>
      <c r="V26" s="583"/>
      <c r="W26" s="583"/>
      <c r="X26" s="583"/>
      <c r="Y26" s="583"/>
      <c r="Z26" s="583"/>
      <c r="AA26" s="583"/>
      <c r="AB26" s="583"/>
      <c r="AC26" s="583"/>
      <c r="AD26" s="583"/>
      <c r="AE26" s="583"/>
      <c r="AF26" s="583"/>
      <c r="AG26" s="583"/>
      <c r="AH26" s="583"/>
      <c r="AI26" s="620"/>
      <c r="AJ26" s="583"/>
      <c r="AK26" s="583"/>
    </row>
    <row r="27" spans="1:37" ht="12.75" customHeight="1" x14ac:dyDescent="0.2">
      <c r="G27" s="583"/>
      <c r="I27" s="583"/>
      <c r="J27" s="583"/>
      <c r="K27" s="624"/>
      <c r="L27" s="585"/>
      <c r="M27" s="585"/>
      <c r="N27" s="585"/>
      <c r="O27" s="585"/>
      <c r="P27" s="585"/>
      <c r="Q27" s="625"/>
      <c r="R27" s="626"/>
      <c r="S27" s="583"/>
      <c r="T27" s="583"/>
      <c r="U27" s="583"/>
      <c r="V27" s="583"/>
      <c r="W27" s="583"/>
      <c r="X27" s="583"/>
      <c r="Y27" s="583"/>
      <c r="Z27" s="583"/>
      <c r="AA27" s="583"/>
      <c r="AB27" s="583"/>
      <c r="AC27" s="583"/>
      <c r="AD27" s="583"/>
      <c r="AE27" s="583"/>
      <c r="AF27" s="583"/>
      <c r="AG27" s="583"/>
      <c r="AH27" s="583"/>
      <c r="AI27" s="583"/>
      <c r="AJ27" s="583"/>
      <c r="AK27" s="583"/>
    </row>
    <row r="28" spans="1:37" ht="12.75" customHeight="1" x14ac:dyDescent="0.2">
      <c r="A28" s="389" t="s">
        <v>137</v>
      </c>
      <c r="E28" s="583"/>
      <c r="I28" s="583"/>
      <c r="J28" s="583"/>
      <c r="K28" s="627" t="s">
        <v>138</v>
      </c>
      <c r="L28" s="628"/>
      <c r="M28" s="629" t="s">
        <v>139</v>
      </c>
      <c r="N28" s="629" t="s">
        <v>140</v>
      </c>
      <c r="O28" s="583"/>
      <c r="P28" s="583"/>
      <c r="Q28" s="583"/>
      <c r="R28" s="592"/>
      <c r="S28" s="583"/>
      <c r="T28" s="583"/>
      <c r="U28" s="583"/>
      <c r="V28" s="583"/>
      <c r="W28" s="583"/>
      <c r="X28" s="583"/>
      <c r="Y28" s="583"/>
      <c r="Z28" s="583"/>
      <c r="AA28" s="583"/>
      <c r="AB28" s="583"/>
      <c r="AC28" s="583"/>
      <c r="AD28" s="583"/>
      <c r="AE28" s="583"/>
      <c r="AF28" s="583"/>
      <c r="AG28" s="583"/>
      <c r="AH28" s="583"/>
      <c r="AI28" s="583"/>
      <c r="AJ28" s="583"/>
      <c r="AK28" s="583"/>
    </row>
    <row r="29" spans="1:37" ht="12.75" customHeight="1" x14ac:dyDescent="0.2">
      <c r="A29" s="555" t="s">
        <v>141</v>
      </c>
      <c r="E29" s="557">
        <v>568776</v>
      </c>
      <c r="F29" s="555" t="s">
        <v>142</v>
      </c>
      <c r="I29" s="583"/>
      <c r="J29" s="583"/>
      <c r="K29" s="591" t="s">
        <v>128</v>
      </c>
      <c r="L29" s="583"/>
      <c r="M29" s="583"/>
      <c r="N29" s="583"/>
      <c r="O29" s="583"/>
      <c r="P29" s="583"/>
      <c r="Q29" s="595"/>
      <c r="R29" s="630"/>
      <c r="S29" s="583"/>
      <c r="T29" s="583"/>
      <c r="U29" s="583"/>
      <c r="V29" s="583"/>
      <c r="W29" s="583"/>
      <c r="X29" s="583"/>
      <c r="Y29" s="583"/>
      <c r="Z29" s="583"/>
      <c r="AA29" s="583"/>
      <c r="AB29" s="583"/>
      <c r="AC29" s="583"/>
      <c r="AD29" s="583"/>
      <c r="AE29" s="583"/>
      <c r="AF29" s="583"/>
      <c r="AG29" s="583"/>
      <c r="AH29" s="583"/>
      <c r="AI29" s="583"/>
      <c r="AJ29" s="583"/>
      <c r="AK29" s="583"/>
    </row>
    <row r="30" spans="1:37" ht="12.75" customHeight="1" x14ac:dyDescent="0.2">
      <c r="A30" s="555" t="s">
        <v>143</v>
      </c>
      <c r="E30" s="631">
        <f>B61</f>
        <v>0</v>
      </c>
      <c r="F30" s="555" t="s">
        <v>144</v>
      </c>
      <c r="I30" s="583"/>
      <c r="J30" s="583"/>
      <c r="K30" s="591" t="s">
        <v>145</v>
      </c>
      <c r="L30" s="583"/>
      <c r="M30" s="617">
        <v>1426641</v>
      </c>
      <c r="N30" s="617"/>
      <c r="O30" s="583" t="s">
        <v>142</v>
      </c>
      <c r="P30" s="583"/>
      <c r="Q30" s="583"/>
      <c r="R30" s="592"/>
      <c r="S30" s="583"/>
      <c r="T30" s="583"/>
      <c r="U30" s="583"/>
      <c r="V30" s="583"/>
      <c r="W30" s="583"/>
      <c r="X30" s="583"/>
      <c r="Y30" s="583"/>
      <c r="Z30" s="583"/>
      <c r="AA30" s="583"/>
      <c r="AB30" s="583"/>
      <c r="AC30" s="583"/>
      <c r="AD30" s="583"/>
      <c r="AE30" s="583"/>
      <c r="AF30" s="583"/>
      <c r="AG30" s="583"/>
      <c r="AH30" s="583"/>
      <c r="AI30" s="583"/>
      <c r="AJ30" s="583"/>
      <c r="AK30" s="583"/>
    </row>
    <row r="31" spans="1:37" ht="12.75" customHeight="1" x14ac:dyDescent="0.2">
      <c r="A31" s="555" t="s">
        <v>146</v>
      </c>
      <c r="E31" s="556">
        <f>B102</f>
        <v>0</v>
      </c>
      <c r="F31" s="555" t="s">
        <v>144</v>
      </c>
      <c r="I31" s="583"/>
      <c r="J31" s="583"/>
      <c r="K31" s="591" t="s">
        <v>147</v>
      </c>
      <c r="L31" s="583"/>
      <c r="M31" s="617">
        <v>0</v>
      </c>
      <c r="N31" s="620">
        <f>M31</f>
        <v>0</v>
      </c>
      <c r="O31" s="583" t="s">
        <v>142</v>
      </c>
      <c r="P31" s="583"/>
      <c r="Q31" s="583"/>
      <c r="R31" s="592"/>
      <c r="S31" s="583"/>
      <c r="T31" s="583"/>
      <c r="U31" s="583"/>
      <c r="V31" s="583"/>
      <c r="W31" s="583"/>
      <c r="X31" s="583"/>
      <c r="Y31" s="583"/>
      <c r="Z31" s="583"/>
      <c r="AA31" s="583"/>
      <c r="AB31" s="583"/>
      <c r="AC31" s="583"/>
      <c r="AD31" s="583"/>
      <c r="AE31" s="583"/>
      <c r="AF31" s="583"/>
      <c r="AG31" s="583"/>
      <c r="AH31" s="583"/>
      <c r="AI31" s="595"/>
      <c r="AJ31" s="583"/>
      <c r="AK31" s="583"/>
    </row>
    <row r="32" spans="1:37" ht="12.75" customHeight="1" x14ac:dyDescent="0.2">
      <c r="A32" s="555" t="s">
        <v>148</v>
      </c>
      <c r="E32" s="631">
        <f>B118</f>
        <v>0</v>
      </c>
      <c r="F32" s="555" t="s">
        <v>144</v>
      </c>
      <c r="G32" s="596"/>
      <c r="K32" s="591" t="s">
        <v>149</v>
      </c>
      <c r="L32" s="583"/>
      <c r="M32" s="617">
        <v>568776</v>
      </c>
      <c r="N32" s="620"/>
      <c r="O32" s="583" t="s">
        <v>142</v>
      </c>
      <c r="P32" s="583"/>
      <c r="Q32" s="583"/>
      <c r="R32" s="592"/>
      <c r="AI32" s="287"/>
    </row>
    <row r="33" spans="1:47" ht="12.75" customHeight="1" x14ac:dyDescent="0.2">
      <c r="A33" s="555" t="s">
        <v>268</v>
      </c>
      <c r="E33" s="556">
        <f>B68</f>
        <v>0</v>
      </c>
      <c r="F33" s="555" t="s">
        <v>144</v>
      </c>
      <c r="K33" s="591"/>
      <c r="L33" s="595"/>
      <c r="M33" s="620"/>
      <c r="N33" s="620"/>
      <c r="O33" s="583"/>
      <c r="P33" s="583"/>
      <c r="Q33" s="583"/>
      <c r="R33" s="592"/>
    </row>
    <row r="34" spans="1:47" ht="12.75" customHeight="1" x14ac:dyDescent="0.2">
      <c r="A34" s="555" t="s">
        <v>151</v>
      </c>
      <c r="E34" s="556">
        <f>B69</f>
        <v>0</v>
      </c>
      <c r="F34" s="555" t="s">
        <v>144</v>
      </c>
      <c r="K34" s="591" t="s">
        <v>152</v>
      </c>
      <c r="L34" s="583"/>
      <c r="M34" s="620">
        <f>B76</f>
        <v>-31267</v>
      </c>
      <c r="N34" s="620">
        <f>B63</f>
        <v>0</v>
      </c>
      <c r="O34" s="583" t="s">
        <v>153</v>
      </c>
      <c r="P34" s="583"/>
      <c r="Q34" s="583"/>
      <c r="R34" s="592"/>
    </row>
    <row r="35" spans="1:47" ht="12.75" customHeight="1" x14ac:dyDescent="0.2">
      <c r="A35" s="555" t="s">
        <v>154</v>
      </c>
      <c r="E35" s="556">
        <f>F238</f>
        <v>0</v>
      </c>
      <c r="F35" s="555" t="s">
        <v>144</v>
      </c>
      <c r="K35" s="591"/>
      <c r="L35" s="583"/>
      <c r="M35" s="620"/>
      <c r="N35" s="620"/>
      <c r="O35" s="583"/>
      <c r="P35" s="583"/>
      <c r="Q35" s="583"/>
      <c r="R35" s="592"/>
    </row>
    <row r="36" spans="1:47" ht="12.75" customHeight="1" thickBot="1" x14ac:dyDescent="0.25">
      <c r="A36" s="593" t="s">
        <v>155</v>
      </c>
      <c r="E36" s="616">
        <f>SUM(E29:E35)</f>
        <v>568776</v>
      </c>
      <c r="K36" s="591" t="s">
        <v>156</v>
      </c>
      <c r="L36" s="595"/>
      <c r="M36" s="620">
        <f>SUM(M30:M34)</f>
        <v>1964150</v>
      </c>
      <c r="N36" s="620">
        <f>SUM(N30:N34)</f>
        <v>0</v>
      </c>
      <c r="O36" s="583"/>
      <c r="P36" s="583"/>
      <c r="Q36" s="583"/>
      <c r="R36" s="592"/>
    </row>
    <row r="37" spans="1:47" ht="12.75" customHeight="1" thickTop="1" x14ac:dyDescent="0.2">
      <c r="K37" s="632"/>
      <c r="L37" s="595"/>
      <c r="M37" s="595"/>
      <c r="N37" s="595"/>
      <c r="O37" s="583"/>
      <c r="P37" s="583"/>
      <c r="Q37" s="583"/>
      <c r="R37" s="592"/>
    </row>
    <row r="38" spans="1:47" ht="12.75" customHeight="1" thickBot="1" x14ac:dyDescent="0.25">
      <c r="A38" s="389" t="s">
        <v>157</v>
      </c>
      <c r="C38" s="600"/>
      <c r="E38" s="616">
        <f>+E36+E26+E19</f>
        <v>1964150</v>
      </c>
      <c r="K38" s="591"/>
      <c r="L38" s="633" t="s">
        <v>158</v>
      </c>
      <c r="M38" s="634">
        <f>M36-E38</f>
        <v>0</v>
      </c>
      <c r="N38" s="635">
        <f>+N36-E26</f>
        <v>0</v>
      </c>
      <c r="O38" s="583"/>
      <c r="P38" s="583"/>
      <c r="Q38" s="583"/>
      <c r="R38" s="592"/>
      <c r="AN38" s="287"/>
      <c r="AO38" s="287"/>
      <c r="AP38" s="287"/>
      <c r="AQ38" s="287"/>
      <c r="AR38" s="287"/>
      <c r="AS38" s="287"/>
    </row>
    <row r="39" spans="1:47" ht="12.75" customHeight="1" thickTop="1" thickBot="1" x14ac:dyDescent="0.25">
      <c r="K39" s="636"/>
      <c r="L39" s="637"/>
      <c r="M39" s="637"/>
      <c r="N39" s="638"/>
      <c r="O39" s="637"/>
      <c r="P39" s="637"/>
      <c r="Q39" s="637"/>
      <c r="R39" s="639"/>
      <c r="AJ39" s="287"/>
      <c r="AK39" s="287"/>
      <c r="AN39" s="287"/>
      <c r="AO39" s="287"/>
      <c r="AP39" s="287"/>
      <c r="AQ39" s="287"/>
      <c r="AR39" s="287"/>
      <c r="AS39" s="287"/>
    </row>
    <row r="40" spans="1:47" ht="12.75" customHeight="1" x14ac:dyDescent="0.2">
      <c r="K40" s="583"/>
      <c r="L40" s="583"/>
      <c r="M40" s="583"/>
      <c r="N40" s="583"/>
      <c r="O40" s="583"/>
      <c r="P40" s="583"/>
      <c r="AJ40" s="287"/>
      <c r="AK40" s="287"/>
      <c r="AN40" s="287"/>
      <c r="AO40" s="287"/>
      <c r="AP40" s="287"/>
      <c r="AQ40" s="287"/>
      <c r="AR40" s="287"/>
      <c r="AS40" s="287"/>
    </row>
    <row r="41" spans="1:47" ht="12.75" customHeight="1" x14ac:dyDescent="0.2">
      <c r="A41" s="640" t="s">
        <v>159</v>
      </c>
      <c r="B41" s="641"/>
      <c r="K41" s="287"/>
      <c r="L41" s="287"/>
      <c r="M41" s="642"/>
      <c r="N41" s="287"/>
      <c r="O41" s="287"/>
      <c r="P41" s="287"/>
      <c r="AJ41" s="287"/>
      <c r="AK41" s="287"/>
      <c r="AN41" s="287"/>
      <c r="AO41" s="287"/>
      <c r="AP41" s="287"/>
      <c r="AQ41" s="287"/>
      <c r="AR41" s="287"/>
      <c r="AS41" s="287"/>
    </row>
    <row r="42" spans="1:47" ht="12.75" customHeight="1" x14ac:dyDescent="0.2">
      <c r="B42" s="287"/>
      <c r="C42" s="596"/>
      <c r="AI42" s="643" t="s">
        <v>160</v>
      </c>
      <c r="AJ42" s="644"/>
      <c r="AK42" s="287"/>
      <c r="AN42" s="287"/>
      <c r="AO42" s="287"/>
      <c r="AP42" s="287"/>
      <c r="AQ42" s="287"/>
      <c r="AR42" s="287"/>
      <c r="AS42" s="287"/>
    </row>
    <row r="43" spans="1:47" ht="12.75" customHeight="1" x14ac:dyDescent="0.2">
      <c r="A43" s="645"/>
      <c r="B43" s="646" t="s">
        <v>161</v>
      </c>
      <c r="C43" s="647">
        <f t="shared" ref="C43:R43" si="3">SUM(C47:C76)-C61-C68-C69</f>
        <v>13591</v>
      </c>
      <c r="D43" s="647">
        <f t="shared" si="3"/>
        <v>-56381</v>
      </c>
      <c r="E43" s="647">
        <f t="shared" si="3"/>
        <v>-7233</v>
      </c>
      <c r="F43" s="647">
        <f t="shared" si="3"/>
        <v>0</v>
      </c>
      <c r="G43" s="647">
        <f t="shared" si="3"/>
        <v>0</v>
      </c>
      <c r="H43" s="647">
        <f t="shared" si="3"/>
        <v>-17031</v>
      </c>
      <c r="I43" s="647">
        <f t="shared" si="3"/>
        <v>13893</v>
      </c>
      <c r="J43" s="647">
        <f t="shared" si="3"/>
        <v>-28798</v>
      </c>
      <c r="K43" s="647">
        <f t="shared" si="3"/>
        <v>14408</v>
      </c>
      <c r="L43" s="647">
        <f t="shared" si="3"/>
        <v>17396</v>
      </c>
      <c r="M43" s="647">
        <f t="shared" si="3"/>
        <v>0</v>
      </c>
      <c r="N43" s="647">
        <f t="shared" si="3"/>
        <v>0</v>
      </c>
      <c r="O43" s="647">
        <f t="shared" si="3"/>
        <v>5730</v>
      </c>
      <c r="P43" s="647">
        <f t="shared" si="3"/>
        <v>11581</v>
      </c>
      <c r="Q43" s="647">
        <f t="shared" si="3"/>
        <v>197</v>
      </c>
      <c r="R43" s="647">
        <f t="shared" si="3"/>
        <v>1231</v>
      </c>
      <c r="S43" s="647">
        <f t="shared" ref="S43:AG43" si="4">SUM(S47:S76)-S61-S68-S69</f>
        <v>149</v>
      </c>
      <c r="T43" s="647">
        <f t="shared" si="4"/>
        <v>0</v>
      </c>
      <c r="U43" s="647">
        <f t="shared" si="4"/>
        <v>0</v>
      </c>
      <c r="V43" s="647">
        <f t="shared" si="4"/>
        <v>0</v>
      </c>
      <c r="W43" s="647">
        <f>SUM(W47:W76)-Y61-W68-W69</f>
        <v>0</v>
      </c>
      <c r="X43" s="647">
        <f t="shared" si="4"/>
        <v>0</v>
      </c>
      <c r="Y43" s="647">
        <f t="shared" si="4"/>
        <v>0</v>
      </c>
      <c r="Z43" s="647">
        <f t="shared" si="4"/>
        <v>0</v>
      </c>
      <c r="AA43" s="647">
        <f t="shared" si="4"/>
        <v>0</v>
      </c>
      <c r="AB43" s="647">
        <f t="shared" si="4"/>
        <v>0</v>
      </c>
      <c r="AC43" s="647">
        <f t="shared" si="4"/>
        <v>0</v>
      </c>
      <c r="AD43" s="647">
        <f t="shared" si="4"/>
        <v>0</v>
      </c>
      <c r="AE43" s="647">
        <f t="shared" si="4"/>
        <v>0</v>
      </c>
      <c r="AF43" s="647">
        <f t="shared" si="4"/>
        <v>0</v>
      </c>
      <c r="AG43" s="647">
        <f t="shared" si="4"/>
        <v>0</v>
      </c>
      <c r="AH43" s="287"/>
      <c r="AI43" s="648" t="s">
        <v>162</v>
      </c>
      <c r="AJ43" s="649" t="s">
        <v>163</v>
      </c>
      <c r="AK43" s="287"/>
      <c r="AL43" s="602"/>
      <c r="AN43" s="287"/>
      <c r="AO43" s="287"/>
      <c r="AP43" s="287"/>
      <c r="AQ43" s="287"/>
      <c r="AR43" s="287"/>
      <c r="AS43" s="287"/>
    </row>
    <row r="44" spans="1:47" s="653" customFormat="1" ht="12.75" customHeight="1" x14ac:dyDescent="0.25">
      <c r="A44" s="650" t="s">
        <v>164</v>
      </c>
      <c r="B44" s="651">
        <f>B4</f>
        <v>36831</v>
      </c>
      <c r="C44" s="652">
        <f>B44</f>
        <v>36831</v>
      </c>
      <c r="D44" s="652">
        <f t="shared" ref="D44:S44" si="5">C44+1</f>
        <v>36832</v>
      </c>
      <c r="E44" s="652">
        <f t="shared" si="5"/>
        <v>36833</v>
      </c>
      <c r="F44" s="652">
        <f t="shared" si="5"/>
        <v>36834</v>
      </c>
      <c r="G44" s="652">
        <f t="shared" si="5"/>
        <v>36835</v>
      </c>
      <c r="H44" s="652">
        <f t="shared" si="5"/>
        <v>36836</v>
      </c>
      <c r="I44" s="652">
        <f t="shared" si="5"/>
        <v>36837</v>
      </c>
      <c r="J44" s="652">
        <f t="shared" si="5"/>
        <v>36838</v>
      </c>
      <c r="K44" s="652">
        <f t="shared" si="5"/>
        <v>36839</v>
      </c>
      <c r="L44" s="652">
        <f t="shared" si="5"/>
        <v>36840</v>
      </c>
      <c r="M44" s="652">
        <f t="shared" si="5"/>
        <v>36841</v>
      </c>
      <c r="N44" s="652">
        <f t="shared" si="5"/>
        <v>36842</v>
      </c>
      <c r="O44" s="652">
        <f t="shared" si="5"/>
        <v>36843</v>
      </c>
      <c r="P44" s="652">
        <f t="shared" si="5"/>
        <v>36844</v>
      </c>
      <c r="Q44" s="652">
        <f t="shared" si="5"/>
        <v>36845</v>
      </c>
      <c r="R44" s="652">
        <f t="shared" si="5"/>
        <v>36846</v>
      </c>
      <c r="S44" s="652">
        <f t="shared" si="5"/>
        <v>36847</v>
      </c>
      <c r="T44" s="652">
        <f t="shared" ref="T44:AG44" si="6">S44+1</f>
        <v>36848</v>
      </c>
      <c r="U44" s="652">
        <f t="shared" si="6"/>
        <v>36849</v>
      </c>
      <c r="V44" s="652">
        <f t="shared" si="6"/>
        <v>36850</v>
      </c>
      <c r="W44" s="652">
        <f t="shared" si="6"/>
        <v>36851</v>
      </c>
      <c r="X44" s="652">
        <f t="shared" si="6"/>
        <v>36852</v>
      </c>
      <c r="Y44" s="652">
        <f t="shared" si="6"/>
        <v>36853</v>
      </c>
      <c r="Z44" s="652">
        <f t="shared" si="6"/>
        <v>36854</v>
      </c>
      <c r="AA44" s="652">
        <f t="shared" si="6"/>
        <v>36855</v>
      </c>
      <c r="AB44" s="652">
        <f t="shared" si="6"/>
        <v>36856</v>
      </c>
      <c r="AC44" s="652">
        <f t="shared" si="6"/>
        <v>36857</v>
      </c>
      <c r="AD44" s="652">
        <f t="shared" si="6"/>
        <v>36858</v>
      </c>
      <c r="AE44" s="652">
        <f t="shared" si="6"/>
        <v>36859</v>
      </c>
      <c r="AF44" s="652">
        <f t="shared" si="6"/>
        <v>36860</v>
      </c>
      <c r="AG44" s="652">
        <f t="shared" si="6"/>
        <v>36861</v>
      </c>
      <c r="AI44" s="654">
        <v>1</v>
      </c>
      <c r="AJ44" s="655" t="s">
        <v>165</v>
      </c>
      <c r="AL44" s="656"/>
    </row>
    <row r="45" spans="1:47" ht="12.75" customHeight="1" x14ac:dyDescent="0.25">
      <c r="A45" s="657"/>
      <c r="B45" s="657"/>
      <c r="C45" s="658" t="str">
        <f t="shared" ref="C45:R45" si="7">LOOKUP((WEEKDAY(C44,1)),$AI$44:$AI$50,$AJ$44:$AJ$50)</f>
        <v>W</v>
      </c>
      <c r="D45" s="658" t="str">
        <f t="shared" si="7"/>
        <v>R</v>
      </c>
      <c r="E45" s="658" t="str">
        <f t="shared" si="7"/>
        <v>F</v>
      </c>
      <c r="F45" s="658" t="str">
        <f t="shared" si="7"/>
        <v>S</v>
      </c>
      <c r="G45" s="658" t="str">
        <f t="shared" si="7"/>
        <v>S</v>
      </c>
      <c r="H45" s="658" t="str">
        <f t="shared" si="7"/>
        <v>M</v>
      </c>
      <c r="I45" s="658" t="str">
        <f t="shared" si="7"/>
        <v>T</v>
      </c>
      <c r="J45" s="658" t="str">
        <f t="shared" si="7"/>
        <v>W</v>
      </c>
      <c r="K45" s="658" t="str">
        <f t="shared" si="7"/>
        <v>R</v>
      </c>
      <c r="L45" s="658" t="str">
        <f t="shared" si="7"/>
        <v>F</v>
      </c>
      <c r="M45" s="658" t="str">
        <f t="shared" si="7"/>
        <v>S</v>
      </c>
      <c r="N45" s="658" t="str">
        <f t="shared" si="7"/>
        <v>S</v>
      </c>
      <c r="O45" s="658" t="str">
        <f t="shared" si="7"/>
        <v>M</v>
      </c>
      <c r="P45" s="658" t="str">
        <f t="shared" si="7"/>
        <v>T</v>
      </c>
      <c r="Q45" s="658" t="str">
        <f t="shared" si="7"/>
        <v>W</v>
      </c>
      <c r="R45" s="658" t="str">
        <f t="shared" si="7"/>
        <v>R</v>
      </c>
      <c r="S45" s="658" t="str">
        <f t="shared" ref="S45:AG45" si="8">LOOKUP((WEEKDAY(S44,1)),$AI$44:$AI$50,$AJ$44:$AJ$50)</f>
        <v>F</v>
      </c>
      <c r="T45" s="658" t="str">
        <f t="shared" si="8"/>
        <v>S</v>
      </c>
      <c r="U45" s="658" t="str">
        <f t="shared" si="8"/>
        <v>S</v>
      </c>
      <c r="V45" s="658" t="str">
        <f t="shared" si="8"/>
        <v>M</v>
      </c>
      <c r="W45" s="658" t="str">
        <f t="shared" si="8"/>
        <v>T</v>
      </c>
      <c r="X45" s="658" t="str">
        <f t="shared" si="8"/>
        <v>W</v>
      </c>
      <c r="Y45" s="658" t="str">
        <f t="shared" si="8"/>
        <v>R</v>
      </c>
      <c r="Z45" s="658" t="str">
        <f t="shared" si="8"/>
        <v>F</v>
      </c>
      <c r="AA45" s="658" t="str">
        <f t="shared" si="8"/>
        <v>S</v>
      </c>
      <c r="AB45" s="658" t="str">
        <f t="shared" si="8"/>
        <v>S</v>
      </c>
      <c r="AC45" s="658" t="str">
        <f t="shared" si="8"/>
        <v>M</v>
      </c>
      <c r="AD45" s="658" t="str">
        <f t="shared" si="8"/>
        <v>T</v>
      </c>
      <c r="AE45" s="658" t="str">
        <f t="shared" si="8"/>
        <v>W</v>
      </c>
      <c r="AF45" s="658" t="str">
        <f t="shared" si="8"/>
        <v>R</v>
      </c>
      <c r="AG45" s="658" t="str">
        <f t="shared" si="8"/>
        <v>F</v>
      </c>
      <c r="AH45" s="287"/>
      <c r="AI45" s="659">
        <v>2</v>
      </c>
      <c r="AJ45" s="660" t="s">
        <v>166</v>
      </c>
      <c r="AK45" s="287"/>
      <c r="AL45" s="583"/>
      <c r="AN45" s="287"/>
      <c r="AO45" s="287"/>
      <c r="AP45" s="287"/>
      <c r="AQ45" s="287"/>
      <c r="AR45" s="287"/>
      <c r="AS45" s="287"/>
    </row>
    <row r="46" spans="1:47" ht="12.75" customHeight="1" thickBot="1" x14ac:dyDescent="0.3">
      <c r="A46" s="661"/>
      <c r="B46" s="662" t="s">
        <v>167</v>
      </c>
      <c r="C46" s="663"/>
      <c r="D46" s="663"/>
      <c r="E46" s="663"/>
      <c r="F46" s="663"/>
      <c r="G46" s="663"/>
      <c r="H46" s="663"/>
      <c r="I46" s="663"/>
      <c r="J46" s="663"/>
      <c r="K46" s="663"/>
      <c r="L46" s="663"/>
      <c r="M46" s="663"/>
      <c r="N46" s="663"/>
      <c r="O46" s="663"/>
      <c r="P46" s="663"/>
      <c r="Q46" s="663"/>
      <c r="R46" s="663"/>
      <c r="S46" s="663"/>
      <c r="T46" s="663"/>
      <c r="U46" s="663"/>
      <c r="V46" s="663"/>
      <c r="W46" s="663"/>
      <c r="X46" s="663"/>
      <c r="Y46" s="663"/>
      <c r="Z46" s="663"/>
      <c r="AA46" s="663"/>
      <c r="AB46" s="663"/>
      <c r="AC46" s="663"/>
      <c r="AD46" s="663"/>
      <c r="AE46" s="663"/>
      <c r="AF46" s="663"/>
      <c r="AG46" s="664"/>
      <c r="AH46" s="287"/>
      <c r="AI46" s="659">
        <v>3</v>
      </c>
      <c r="AJ46" s="660" t="s">
        <v>168</v>
      </c>
      <c r="AK46" s="287"/>
      <c r="AL46" s="583"/>
      <c r="AN46" s="287"/>
      <c r="AO46" s="287"/>
      <c r="AP46" s="287"/>
      <c r="AQ46" s="287"/>
      <c r="AR46" s="287"/>
      <c r="AS46" s="287"/>
    </row>
    <row r="47" spans="1:47" ht="12.75" hidden="1" customHeight="1" thickTop="1" x14ac:dyDescent="0.2">
      <c r="A47" s="556" t="s">
        <v>169</v>
      </c>
      <c r="B47" s="665">
        <f t="shared" ref="B47:B62" si="9">SUM(C47:AG47)</f>
        <v>0</v>
      </c>
      <c r="C47" s="600">
        <v>0</v>
      </c>
      <c r="D47" s="600">
        <v>0</v>
      </c>
      <c r="E47" s="600">
        <v>0</v>
      </c>
      <c r="F47" s="600">
        <v>0</v>
      </c>
      <c r="G47" s="600">
        <v>0</v>
      </c>
      <c r="H47" s="600">
        <v>0</v>
      </c>
      <c r="I47" s="600">
        <v>0</v>
      </c>
      <c r="J47" s="600">
        <v>0</v>
      </c>
      <c r="K47" s="600">
        <v>0</v>
      </c>
      <c r="L47" s="600">
        <v>0</v>
      </c>
      <c r="M47" s="600"/>
      <c r="N47" s="600"/>
      <c r="O47" s="600"/>
      <c r="P47" s="600"/>
      <c r="Q47" s="600"/>
      <c r="R47" s="600"/>
      <c r="S47" s="600"/>
      <c r="T47" s="600"/>
      <c r="U47" s="600"/>
      <c r="V47" s="600"/>
      <c r="W47" s="600"/>
      <c r="X47" s="600"/>
      <c r="Y47" s="600"/>
      <c r="Z47" s="600"/>
      <c r="AA47" s="600"/>
      <c r="AB47" s="600"/>
      <c r="AC47" s="600"/>
      <c r="AD47" s="600"/>
      <c r="AE47" s="600"/>
      <c r="AF47" s="600"/>
      <c r="AG47" s="666"/>
      <c r="AH47" s="287"/>
      <c r="AI47" s="659">
        <v>4</v>
      </c>
      <c r="AJ47" s="660" t="s">
        <v>170</v>
      </c>
      <c r="AK47" s="287"/>
      <c r="AL47" s="667"/>
      <c r="AM47" s="668"/>
      <c r="AN47" s="642"/>
      <c r="AO47" s="287"/>
      <c r="AP47" s="287"/>
      <c r="AQ47" s="287"/>
      <c r="AR47" s="287"/>
      <c r="AS47" s="287"/>
    </row>
    <row r="48" spans="1:47" ht="12.75" hidden="1" customHeight="1" x14ac:dyDescent="0.2">
      <c r="A48" s="669" t="s">
        <v>171</v>
      </c>
      <c r="B48" s="665">
        <f t="shared" si="9"/>
        <v>0</v>
      </c>
      <c r="C48" s="600">
        <v>0</v>
      </c>
      <c r="D48" s="600">
        <v>0</v>
      </c>
      <c r="E48" s="600">
        <v>0</v>
      </c>
      <c r="F48" s="600">
        <v>0</v>
      </c>
      <c r="G48" s="600">
        <v>0</v>
      </c>
      <c r="H48" s="600">
        <v>0</v>
      </c>
      <c r="I48" s="600">
        <v>0</v>
      </c>
      <c r="J48" s="600">
        <v>0</v>
      </c>
      <c r="K48" s="600">
        <v>0</v>
      </c>
      <c r="L48" s="600">
        <v>0</v>
      </c>
      <c r="M48" s="600"/>
      <c r="N48" s="600"/>
      <c r="O48" s="600"/>
      <c r="P48" s="600"/>
      <c r="Q48" s="600"/>
      <c r="R48" s="600"/>
      <c r="S48" s="600"/>
      <c r="T48" s="600"/>
      <c r="U48" s="600"/>
      <c r="V48" s="600"/>
      <c r="W48" s="600"/>
      <c r="X48" s="600"/>
      <c r="Y48" s="600"/>
      <c r="Z48" s="600"/>
      <c r="AA48" s="600"/>
      <c r="AB48" s="600"/>
      <c r="AC48" s="600"/>
      <c r="AD48" s="600"/>
      <c r="AE48" s="600"/>
      <c r="AF48" s="600"/>
      <c r="AG48" s="666"/>
      <c r="AH48" s="287"/>
      <c r="AI48" s="659">
        <v>5</v>
      </c>
      <c r="AJ48" s="660" t="s">
        <v>172</v>
      </c>
      <c r="AK48" s="287"/>
      <c r="AL48" s="667"/>
      <c r="AM48" s="670"/>
      <c r="AN48" s="671"/>
      <c r="AO48" s="667"/>
      <c r="AP48" s="667"/>
      <c r="AQ48" s="667"/>
      <c r="AR48" s="667"/>
      <c r="AS48" s="667"/>
      <c r="AT48" s="672"/>
      <c r="AU48" s="672"/>
    </row>
    <row r="49" spans="1:50" ht="12.75" customHeight="1" thickTop="1" x14ac:dyDescent="0.2">
      <c r="A49" s="669" t="s">
        <v>173</v>
      </c>
      <c r="B49" s="665">
        <f t="shared" si="9"/>
        <v>-42580</v>
      </c>
      <c r="C49" s="600"/>
      <c r="D49" s="600">
        <v>-42580</v>
      </c>
      <c r="E49" s="600"/>
      <c r="F49" s="600"/>
      <c r="G49" s="600"/>
      <c r="H49" s="600"/>
      <c r="I49" s="600"/>
      <c r="J49" s="600"/>
      <c r="K49" s="600"/>
      <c r="L49" s="600"/>
      <c r="M49" s="600"/>
      <c r="N49" s="600"/>
      <c r="O49" s="600"/>
      <c r="P49" s="600"/>
      <c r="Q49" s="600"/>
      <c r="R49" s="600"/>
      <c r="S49" s="600"/>
      <c r="T49" s="600"/>
      <c r="U49" s="600"/>
      <c r="V49" s="600"/>
      <c r="W49" s="600"/>
      <c r="X49" s="600"/>
      <c r="Y49" s="600"/>
      <c r="Z49" s="600"/>
      <c r="AA49" s="600"/>
      <c r="AB49" s="600"/>
      <c r="AC49" s="600"/>
      <c r="AD49" s="600"/>
      <c r="AE49" s="600"/>
      <c r="AF49" s="600"/>
      <c r="AG49" s="666"/>
      <c r="AH49" s="287"/>
      <c r="AI49" s="659">
        <v>6</v>
      </c>
      <c r="AJ49" s="660" t="s">
        <v>174</v>
      </c>
      <c r="AK49" s="287"/>
      <c r="AL49" s="667"/>
      <c r="AM49" s="670"/>
      <c r="AN49" s="671"/>
      <c r="AO49" s="667"/>
      <c r="AP49" s="667"/>
      <c r="AQ49" s="667"/>
      <c r="AR49" s="667"/>
      <c r="AS49" s="667"/>
      <c r="AT49" s="672"/>
      <c r="AU49" s="672"/>
    </row>
    <row r="50" spans="1:50" ht="12.75" hidden="1" customHeight="1" x14ac:dyDescent="0.2">
      <c r="A50" s="669" t="s">
        <v>175</v>
      </c>
      <c r="B50" s="665">
        <f t="shared" si="9"/>
        <v>0</v>
      </c>
      <c r="C50" s="600"/>
      <c r="D50" s="600"/>
      <c r="E50" s="600"/>
      <c r="F50" s="600"/>
      <c r="G50" s="600"/>
      <c r="H50" s="600"/>
      <c r="I50" s="600"/>
      <c r="J50" s="600"/>
      <c r="K50" s="600"/>
      <c r="L50" s="600"/>
      <c r="M50" s="600"/>
      <c r="N50" s="600"/>
      <c r="O50" s="600"/>
      <c r="P50" s="600"/>
      <c r="Q50" s="600"/>
      <c r="R50" s="600"/>
      <c r="S50" s="600"/>
      <c r="T50" s="600"/>
      <c r="U50" s="600"/>
      <c r="V50" s="600"/>
      <c r="W50" s="600"/>
      <c r="X50" s="600"/>
      <c r="Y50" s="600"/>
      <c r="Z50" s="600"/>
      <c r="AA50" s="600"/>
      <c r="AB50" s="600"/>
      <c r="AC50" s="600"/>
      <c r="AD50" s="600"/>
      <c r="AE50" s="600"/>
      <c r="AF50" s="600"/>
      <c r="AG50" s="666"/>
      <c r="AH50" s="287"/>
      <c r="AI50" s="673">
        <v>7</v>
      </c>
      <c r="AJ50" s="674" t="s">
        <v>165</v>
      </c>
      <c r="AK50" s="287"/>
      <c r="AL50" s="675"/>
      <c r="AM50" s="675"/>
      <c r="AN50" s="671"/>
      <c r="AO50" s="667"/>
      <c r="AP50" s="667"/>
      <c r="AQ50" s="667"/>
      <c r="AR50" s="667"/>
      <c r="AS50" s="667"/>
      <c r="AT50" s="672"/>
      <c r="AU50" s="672"/>
    </row>
    <row r="51" spans="1:50" ht="12.75" customHeight="1" x14ac:dyDescent="0.2">
      <c r="A51" s="669" t="s">
        <v>176</v>
      </c>
      <c r="B51" s="665">
        <f t="shared" si="9"/>
        <v>0</v>
      </c>
      <c r="C51" s="600"/>
      <c r="D51" s="600"/>
      <c r="E51" s="600"/>
      <c r="F51" s="600"/>
      <c r="G51" s="600"/>
      <c r="H51" s="600"/>
      <c r="I51" s="600"/>
      <c r="J51" s="600"/>
      <c r="K51" s="600"/>
      <c r="L51" s="600"/>
      <c r="M51" s="600"/>
      <c r="N51" s="600"/>
      <c r="O51" s="600"/>
      <c r="P51" s="600"/>
      <c r="Q51" s="600"/>
      <c r="R51" s="600"/>
      <c r="S51" s="600"/>
      <c r="T51" s="600"/>
      <c r="U51" s="600"/>
      <c r="V51" s="600"/>
      <c r="X51" s="600"/>
      <c r="Y51" s="600"/>
      <c r="AA51" s="600"/>
      <c r="AB51" s="600"/>
      <c r="AC51" s="600"/>
      <c r="AD51" s="600"/>
      <c r="AE51" s="600"/>
      <c r="AF51" s="600"/>
      <c r="AG51" s="666"/>
      <c r="AH51" s="287"/>
      <c r="AI51" s="672"/>
      <c r="AJ51" s="287"/>
      <c r="AK51" s="287"/>
      <c r="AL51" s="675"/>
      <c r="AM51" s="668"/>
      <c r="AN51" s="642"/>
      <c r="AO51" s="287"/>
      <c r="AP51" s="287"/>
      <c r="AQ51" s="287"/>
      <c r="AR51" s="287"/>
      <c r="AS51" s="287"/>
    </row>
    <row r="52" spans="1:50" ht="12.75" hidden="1" customHeight="1" x14ac:dyDescent="0.2">
      <c r="A52" s="669" t="s">
        <v>177</v>
      </c>
      <c r="B52" s="665">
        <f t="shared" si="9"/>
        <v>0</v>
      </c>
      <c r="C52" s="600"/>
      <c r="D52" s="600"/>
      <c r="E52" s="600"/>
      <c r="F52" s="600"/>
      <c r="G52" s="600"/>
      <c r="H52" s="600"/>
      <c r="I52" s="600"/>
      <c r="J52" s="600"/>
      <c r="K52" s="600"/>
      <c r="L52" s="600"/>
      <c r="M52" s="600"/>
      <c r="N52" s="600"/>
      <c r="O52" s="600"/>
      <c r="P52" s="600"/>
      <c r="Q52" s="600"/>
      <c r="R52" s="600"/>
      <c r="S52" s="600"/>
      <c r="T52" s="600"/>
      <c r="U52" s="600"/>
      <c r="V52" s="600"/>
      <c r="X52" s="600"/>
      <c r="Y52" s="600"/>
      <c r="AA52" s="600"/>
      <c r="AB52" s="600"/>
      <c r="AC52" s="600"/>
      <c r="AD52" s="600"/>
      <c r="AE52" s="600"/>
      <c r="AF52" s="600"/>
      <c r="AG52" s="666"/>
      <c r="AH52" s="287"/>
      <c r="AI52" s="672"/>
      <c r="AJ52" s="287"/>
      <c r="AK52" s="287"/>
      <c r="AL52" s="675"/>
      <c r="AM52" s="668"/>
      <c r="AN52" s="642"/>
      <c r="AO52" s="287"/>
      <c r="AP52" s="287"/>
      <c r="AQ52" s="287"/>
      <c r="AR52" s="287"/>
      <c r="AS52" s="287"/>
    </row>
    <row r="53" spans="1:50" ht="12.75" customHeight="1" x14ac:dyDescent="0.2">
      <c r="A53" s="556" t="s">
        <v>178</v>
      </c>
      <c r="B53" s="665">
        <f t="shared" si="9"/>
        <v>8211</v>
      </c>
      <c r="C53" s="600">
        <v>13310</v>
      </c>
      <c r="D53" s="600">
        <f>-13940</f>
        <v>-13940</v>
      </c>
      <c r="E53" s="600">
        <v>-7393</v>
      </c>
      <c r="F53" s="600"/>
      <c r="G53" s="600"/>
      <c r="H53" s="600">
        <v>-17564</v>
      </c>
      <c r="I53" s="600">
        <v>13679</v>
      </c>
      <c r="J53" s="600">
        <v>-28939</v>
      </c>
      <c r="K53" s="600">
        <v>14236</v>
      </c>
      <c r="L53" s="600">
        <f>15508+1727</f>
        <v>17235</v>
      </c>
      <c r="M53" s="600"/>
      <c r="N53" s="600"/>
      <c r="O53" s="600">
        <v>5172</v>
      </c>
      <c r="P53" s="600">
        <v>11380</v>
      </c>
      <c r="Q53" s="600"/>
      <c r="R53" s="600">
        <v>1035</v>
      </c>
      <c r="S53" s="600"/>
      <c r="T53" s="600"/>
      <c r="U53" s="600"/>
      <c r="V53" s="600"/>
      <c r="Y53" s="600"/>
      <c r="Z53" s="600"/>
      <c r="AA53" s="600"/>
      <c r="AB53" s="600"/>
      <c r="AC53" s="600"/>
      <c r="AD53" s="600"/>
      <c r="AE53" s="600"/>
      <c r="AF53" s="600"/>
      <c r="AG53" s="666"/>
      <c r="AH53" s="287"/>
      <c r="AJ53" s="287"/>
      <c r="AK53" s="287"/>
      <c r="AL53" s="667"/>
      <c r="AM53" s="668"/>
      <c r="AN53" s="642"/>
      <c r="AO53" s="287"/>
      <c r="AP53" s="287"/>
      <c r="AQ53" s="287"/>
      <c r="AR53" s="287"/>
      <c r="AS53" s="287"/>
    </row>
    <row r="54" spans="1:50" ht="12.75" customHeight="1" x14ac:dyDescent="0.2">
      <c r="A54" s="556" t="s">
        <v>269</v>
      </c>
      <c r="B54" s="665">
        <f t="shared" si="9"/>
        <v>0</v>
      </c>
      <c r="C54" s="600"/>
      <c r="D54" s="600"/>
      <c r="E54" s="600"/>
      <c r="F54" s="600"/>
      <c r="G54" s="600"/>
      <c r="H54" s="600"/>
      <c r="I54" s="600"/>
      <c r="J54" s="600"/>
      <c r="K54" s="600"/>
      <c r="L54" s="600"/>
      <c r="M54" s="600"/>
      <c r="N54" s="600"/>
      <c r="O54" s="600"/>
      <c r="P54" s="600"/>
      <c r="Q54" s="600"/>
      <c r="R54" s="600"/>
      <c r="S54" s="600"/>
      <c r="T54" s="600"/>
      <c r="U54" s="600"/>
      <c r="V54" s="600"/>
      <c r="Y54" s="600"/>
      <c r="Z54" s="600"/>
      <c r="AA54" s="600"/>
      <c r="AB54" s="600"/>
      <c r="AC54" s="600"/>
      <c r="AD54" s="600"/>
      <c r="AE54" s="600"/>
      <c r="AF54" s="600"/>
      <c r="AG54" s="666"/>
      <c r="AH54" s="287"/>
      <c r="AJ54" s="287"/>
      <c r="AK54" s="287"/>
      <c r="AL54" s="667"/>
      <c r="AM54" s="668"/>
      <c r="AN54" s="642"/>
      <c r="AO54" s="287"/>
      <c r="AP54" s="287"/>
      <c r="AQ54" s="287"/>
      <c r="AR54" s="287"/>
      <c r="AS54" s="287"/>
    </row>
    <row r="55" spans="1:50" ht="12.75" customHeight="1" x14ac:dyDescent="0.2">
      <c r="A55" s="556" t="s">
        <v>180</v>
      </c>
      <c r="B55" s="665">
        <f t="shared" si="9"/>
        <v>0</v>
      </c>
      <c r="C55" s="600"/>
      <c r="D55" s="600"/>
      <c r="E55" s="600"/>
      <c r="F55" s="600"/>
      <c r="G55" s="600"/>
      <c r="H55" s="600"/>
      <c r="I55" s="600"/>
      <c r="J55" s="600"/>
      <c r="K55" s="600"/>
      <c r="L55" s="600"/>
      <c r="M55" s="600"/>
      <c r="N55" s="600"/>
      <c r="O55" s="600"/>
      <c r="P55" s="600"/>
      <c r="Q55" s="600"/>
      <c r="R55" s="600"/>
      <c r="S55" s="600"/>
      <c r="T55" s="600"/>
      <c r="U55" s="600"/>
      <c r="V55" s="600"/>
      <c r="Y55" s="600"/>
      <c r="Z55" s="600"/>
      <c r="AA55" s="600"/>
      <c r="AB55" s="600"/>
      <c r="AC55" s="600"/>
      <c r="AD55" s="600"/>
      <c r="AE55" s="600"/>
      <c r="AF55" s="600"/>
      <c r="AG55" s="666"/>
      <c r="AH55" s="287"/>
      <c r="AJ55" s="287"/>
      <c r="AK55" s="287"/>
      <c r="AL55" s="667"/>
      <c r="AM55" s="668"/>
      <c r="AN55" s="642"/>
      <c r="AO55" s="287"/>
      <c r="AP55" s="287"/>
      <c r="AQ55" s="287"/>
      <c r="AR55" s="287"/>
      <c r="AS55" s="287"/>
    </row>
    <row r="56" spans="1:50" ht="12.75" customHeight="1" x14ac:dyDescent="0.2">
      <c r="A56" s="556" t="s">
        <v>181</v>
      </c>
      <c r="B56" s="665">
        <f t="shared" si="9"/>
        <v>0</v>
      </c>
      <c r="C56" s="600"/>
      <c r="D56" s="600"/>
      <c r="E56" s="600"/>
      <c r="F56" s="600"/>
      <c r="G56" s="600"/>
      <c r="H56" s="600"/>
      <c r="I56" s="600"/>
      <c r="J56" s="600"/>
      <c r="K56" s="600"/>
      <c r="L56" s="600"/>
      <c r="M56" s="600"/>
      <c r="N56" s="600"/>
      <c r="O56" s="600"/>
      <c r="P56" s="600"/>
      <c r="Q56" s="600"/>
      <c r="R56" s="600"/>
      <c r="S56" s="600"/>
      <c r="T56" s="600"/>
      <c r="U56" s="600"/>
      <c r="V56" s="600"/>
      <c r="Y56" s="600"/>
      <c r="Z56" s="600"/>
      <c r="AA56" s="600"/>
      <c r="AB56" s="600"/>
      <c r="AC56" s="600"/>
      <c r="AD56" s="600"/>
      <c r="AE56" s="600"/>
      <c r="AF56" s="600"/>
      <c r="AG56" s="666"/>
      <c r="AH56" s="287"/>
      <c r="AI56" s="672"/>
      <c r="AJ56" s="287"/>
      <c r="AK56" s="287"/>
      <c r="AL56" s="667"/>
      <c r="AM56" s="668"/>
      <c r="AN56" s="642"/>
      <c r="AO56" s="287"/>
      <c r="AP56" s="287"/>
      <c r="AQ56" s="287"/>
      <c r="AR56" s="287"/>
      <c r="AS56" s="287"/>
    </row>
    <row r="57" spans="1:50" ht="12.75" customHeight="1" x14ac:dyDescent="0.2">
      <c r="A57" s="669" t="s">
        <v>182</v>
      </c>
      <c r="B57" s="665">
        <f t="shared" si="9"/>
        <v>0</v>
      </c>
      <c r="C57" s="600"/>
      <c r="D57" s="600"/>
      <c r="E57" s="600"/>
      <c r="F57" s="600"/>
      <c r="G57" s="600"/>
      <c r="H57" s="600"/>
      <c r="I57" s="600"/>
      <c r="J57" s="600"/>
      <c r="K57" s="600"/>
      <c r="L57" s="600"/>
      <c r="M57" s="600"/>
      <c r="N57" s="600"/>
      <c r="O57" s="600"/>
      <c r="P57" s="600"/>
      <c r="Q57" s="600"/>
      <c r="R57" s="600"/>
      <c r="S57" s="600"/>
      <c r="T57" s="600"/>
      <c r="U57" s="600"/>
      <c r="V57" s="600"/>
      <c r="Y57" s="600"/>
      <c r="Z57" s="600"/>
      <c r="AA57" s="600"/>
      <c r="AB57" s="600"/>
      <c r="AC57" s="600"/>
      <c r="AD57" s="600"/>
      <c r="AE57" s="600"/>
      <c r="AF57" s="600"/>
      <c r="AG57" s="666"/>
      <c r="AH57" s="287"/>
      <c r="AI57" s="672"/>
      <c r="AJ57" s="287"/>
      <c r="AK57" s="287"/>
      <c r="AL57" s="667"/>
      <c r="AM57" s="668"/>
      <c r="AN57" s="642"/>
      <c r="AO57" s="287"/>
      <c r="AP57" s="287"/>
      <c r="AQ57" s="287"/>
      <c r="AR57" s="287"/>
      <c r="AS57" s="287"/>
    </row>
    <row r="58" spans="1:50" ht="12.75" customHeight="1" x14ac:dyDescent="0.2">
      <c r="A58" s="669" t="s">
        <v>183</v>
      </c>
      <c r="B58" s="665">
        <f t="shared" si="9"/>
        <v>-85</v>
      </c>
      <c r="C58" s="600">
        <v>52</v>
      </c>
      <c r="D58" s="600">
        <f>-50</f>
        <v>-50</v>
      </c>
      <c r="E58" s="600">
        <v>-26</v>
      </c>
      <c r="F58" s="600"/>
      <c r="G58" s="600"/>
      <c r="H58" s="600">
        <v>-20</v>
      </c>
      <c r="I58" s="600">
        <v>33</v>
      </c>
      <c r="J58" s="600">
        <v>-44</v>
      </c>
      <c r="K58" s="600">
        <v>-8</v>
      </c>
      <c r="L58" s="600">
        <v>-21</v>
      </c>
      <c r="M58" s="600"/>
      <c r="N58" s="600"/>
      <c r="O58" s="600">
        <v>4</v>
      </c>
      <c r="P58" s="600">
        <v>16</v>
      </c>
      <c r="Q58" s="600">
        <v>10</v>
      </c>
      <c r="R58" s="600">
        <v>8</v>
      </c>
      <c r="S58" s="600">
        <v>-39</v>
      </c>
      <c r="T58" s="600"/>
      <c r="U58" s="600"/>
      <c r="V58" s="600"/>
      <c r="Y58" s="600"/>
      <c r="Z58" s="600"/>
      <c r="AA58" s="600"/>
      <c r="AB58" s="600"/>
      <c r="AC58" s="600"/>
      <c r="AD58" s="600"/>
      <c r="AE58" s="600"/>
      <c r="AF58" s="600"/>
      <c r="AG58" s="666"/>
      <c r="AH58" s="287"/>
      <c r="AI58" s="672"/>
      <c r="AJ58" s="287"/>
      <c r="AK58" s="287"/>
      <c r="AL58" s="667"/>
      <c r="AM58" s="675"/>
      <c r="AN58" s="671"/>
      <c r="AO58" s="667"/>
      <c r="AP58" s="667"/>
      <c r="AQ58" s="667"/>
      <c r="AR58" s="667"/>
      <c r="AS58" s="667"/>
      <c r="AT58" s="672"/>
      <c r="AU58" s="672"/>
      <c r="AV58" s="672"/>
      <c r="AW58" s="672"/>
      <c r="AX58" s="672"/>
    </row>
    <row r="59" spans="1:50" ht="12.75" customHeight="1" x14ac:dyDescent="0.2">
      <c r="A59" s="669" t="s">
        <v>184</v>
      </c>
      <c r="B59" s="665">
        <f t="shared" si="9"/>
        <v>3200</v>
      </c>
      <c r="C59" s="600">
        <v>234</v>
      </c>
      <c r="D59" s="600">
        <v>194</v>
      </c>
      <c r="E59" s="600">
        <v>186</v>
      </c>
      <c r="F59" s="600"/>
      <c r="G59" s="600"/>
      <c r="H59" s="600">
        <v>554</v>
      </c>
      <c r="I59" s="600">
        <v>182</v>
      </c>
      <c r="J59" s="600">
        <v>184</v>
      </c>
      <c r="K59" s="600">
        <v>180</v>
      </c>
      <c r="L59" s="600">
        <v>182</v>
      </c>
      <c r="M59" s="600"/>
      <c r="N59" s="600"/>
      <c r="O59" s="600">
        <v>555</v>
      </c>
      <c r="P59" s="600">
        <v>186</v>
      </c>
      <c r="Q59" s="600">
        <v>188</v>
      </c>
      <c r="R59" s="600">
        <v>187</v>
      </c>
      <c r="S59" s="600">
        <v>188</v>
      </c>
      <c r="T59" s="600"/>
      <c r="U59" s="600"/>
      <c r="V59" s="600"/>
      <c r="Y59" s="600"/>
      <c r="Z59" s="600"/>
      <c r="AA59" s="600"/>
      <c r="AB59" s="600"/>
      <c r="AC59" s="600"/>
      <c r="AD59" s="600"/>
      <c r="AE59" s="600"/>
      <c r="AF59" s="600"/>
      <c r="AG59" s="666"/>
      <c r="AH59" s="287"/>
      <c r="AI59" s="672"/>
      <c r="AJ59" s="287"/>
      <c r="AK59" s="287"/>
      <c r="AL59" s="667"/>
      <c r="AM59" s="675"/>
      <c r="AN59" s="671"/>
      <c r="AO59" s="667"/>
      <c r="AP59" s="667"/>
      <c r="AQ59" s="667"/>
      <c r="AR59" s="667"/>
      <c r="AS59" s="667"/>
      <c r="AT59" s="672"/>
      <c r="AU59" s="672"/>
      <c r="AV59" s="672"/>
      <c r="AW59" s="672"/>
      <c r="AX59" s="672"/>
    </row>
    <row r="60" spans="1:50" ht="12.75" customHeight="1" x14ac:dyDescent="0.2">
      <c r="A60" s="669" t="s">
        <v>185</v>
      </c>
      <c r="B60" s="665">
        <f t="shared" si="9"/>
        <v>0</v>
      </c>
      <c r="C60" s="600"/>
      <c r="E60" s="600"/>
      <c r="F60" s="600"/>
      <c r="G60" s="600"/>
      <c r="H60" s="600"/>
      <c r="I60" s="600"/>
      <c r="J60" s="600"/>
      <c r="K60" s="600"/>
      <c r="L60" s="600"/>
      <c r="M60" s="600"/>
      <c r="N60" s="600"/>
      <c r="O60" s="600"/>
      <c r="P60" s="600"/>
      <c r="Q60" s="600"/>
      <c r="R60" s="600"/>
      <c r="S60" s="600"/>
      <c r="T60" s="600"/>
      <c r="U60" s="600"/>
      <c r="V60" s="600"/>
      <c r="X60" s="600"/>
      <c r="Y60" s="600"/>
      <c r="Z60" s="600"/>
      <c r="AA60" s="600"/>
      <c r="AB60" s="600"/>
      <c r="AC60" s="600"/>
      <c r="AD60" s="600"/>
      <c r="AE60" s="600"/>
      <c r="AF60" s="600"/>
      <c r="AG60" s="666"/>
      <c r="AH60" s="287"/>
      <c r="AI60" s="672"/>
      <c r="AJ60" s="287"/>
      <c r="AK60" s="287"/>
      <c r="AL60" s="667"/>
      <c r="AM60" s="675"/>
      <c r="AN60" s="671"/>
      <c r="AO60" s="667"/>
      <c r="AP60" s="667"/>
      <c r="AQ60" s="667"/>
      <c r="AR60" s="667"/>
      <c r="AS60" s="667"/>
      <c r="AT60" s="672"/>
      <c r="AU60" s="672"/>
      <c r="AV60" s="672"/>
      <c r="AW60" s="672"/>
      <c r="AX60" s="672"/>
    </row>
    <row r="61" spans="1:50" ht="12.75" customHeight="1" x14ac:dyDescent="0.2">
      <c r="A61" s="669" t="s">
        <v>186</v>
      </c>
      <c r="B61" s="665">
        <f t="shared" si="9"/>
        <v>0</v>
      </c>
      <c r="C61" s="600"/>
      <c r="D61" s="600"/>
      <c r="E61" s="600"/>
      <c r="F61" s="600"/>
      <c r="G61" s="600"/>
      <c r="H61" s="600"/>
      <c r="I61" s="600"/>
      <c r="J61" s="600"/>
      <c r="K61" s="600"/>
      <c r="L61" s="600"/>
      <c r="M61" s="600"/>
      <c r="N61" s="600"/>
      <c r="O61" s="600"/>
      <c r="P61" s="600"/>
      <c r="Q61" s="600"/>
      <c r="R61" s="600"/>
      <c r="S61" s="600"/>
      <c r="T61" s="600"/>
      <c r="U61" s="600"/>
      <c r="V61" s="600"/>
      <c r="X61" s="600"/>
      <c r="Y61" s="600"/>
      <c r="Z61" s="600"/>
      <c r="AA61" s="600"/>
      <c r="AB61" s="600"/>
      <c r="AC61" s="600"/>
      <c r="AD61" s="600"/>
      <c r="AE61" s="600"/>
      <c r="AF61" s="600"/>
      <c r="AG61" s="666"/>
      <c r="AH61" s="287"/>
      <c r="AJ61" s="287"/>
      <c r="AK61" s="287"/>
      <c r="AL61" s="667"/>
      <c r="AM61" s="668"/>
      <c r="AN61" s="642"/>
      <c r="AO61" s="287"/>
      <c r="AP61" s="287"/>
      <c r="AQ61" s="287"/>
      <c r="AR61" s="287"/>
      <c r="AS61" s="287"/>
    </row>
    <row r="62" spans="1:50" ht="12.75" customHeight="1" x14ac:dyDescent="0.2">
      <c r="A62" s="669" t="s">
        <v>187</v>
      </c>
      <c r="B62" s="665">
        <f t="shared" si="9"/>
        <v>-13</v>
      </c>
      <c r="C62" s="600">
        <f>-1-4</f>
        <v>-5</v>
      </c>
      <c r="D62" s="600">
        <f>-6+1</f>
        <v>-5</v>
      </c>
      <c r="E62" s="600"/>
      <c r="F62" s="600"/>
      <c r="G62" s="600"/>
      <c r="H62" s="600">
        <f>-1</f>
        <v>-1</v>
      </c>
      <c r="I62" s="600">
        <f>-1</f>
        <v>-1</v>
      </c>
      <c r="J62" s="600">
        <f>1</f>
        <v>1</v>
      </c>
      <c r="K62" s="600"/>
      <c r="L62" s="600"/>
      <c r="M62" s="600"/>
      <c r="N62" s="600"/>
      <c r="O62" s="600">
        <v>-1</v>
      </c>
      <c r="P62" s="600">
        <f>-1</f>
        <v>-1</v>
      </c>
      <c r="Q62" s="600">
        <v>-1</v>
      </c>
      <c r="R62" s="600">
        <f>1</f>
        <v>1</v>
      </c>
      <c r="S62" s="600"/>
      <c r="T62" s="600"/>
      <c r="U62" s="600"/>
      <c r="V62" s="600"/>
      <c r="X62" s="600"/>
      <c r="Y62" s="600"/>
      <c r="Z62" s="600"/>
      <c r="AA62" s="600"/>
      <c r="AB62" s="600"/>
      <c r="AC62" s="600"/>
      <c r="AD62" s="600"/>
      <c r="AE62" s="600"/>
      <c r="AF62" s="600"/>
      <c r="AG62" s="666"/>
      <c r="AH62" s="287"/>
      <c r="AJ62" s="287"/>
      <c r="AK62" s="287"/>
      <c r="AL62" s="667"/>
      <c r="AM62" s="668"/>
      <c r="AN62" s="642"/>
      <c r="AO62" s="642"/>
      <c r="AP62" s="287"/>
      <c r="AQ62" s="287"/>
      <c r="AR62" s="287"/>
      <c r="AS62" s="287"/>
    </row>
    <row r="63" spans="1:50" ht="12.75" hidden="1" customHeight="1" x14ac:dyDescent="0.2">
      <c r="A63" s="669" t="s">
        <v>140</v>
      </c>
      <c r="B63" s="665">
        <f t="shared" ref="B63:B70" si="10">SUM(C63:AG63)</f>
        <v>0</v>
      </c>
      <c r="C63" s="600"/>
      <c r="D63" s="600"/>
      <c r="E63" s="600"/>
      <c r="F63" s="600"/>
      <c r="G63" s="600"/>
      <c r="H63" s="600"/>
      <c r="I63" s="600"/>
      <c r="J63" s="600"/>
      <c r="K63" s="600"/>
      <c r="L63" s="600"/>
      <c r="M63" s="600"/>
      <c r="N63" s="600"/>
      <c r="O63" s="600"/>
      <c r="P63" s="600"/>
      <c r="Q63" s="600"/>
      <c r="R63" s="600"/>
      <c r="S63" s="600"/>
      <c r="T63" s="600"/>
      <c r="U63" s="600"/>
      <c r="V63" s="600"/>
      <c r="W63" s="600"/>
      <c r="X63" s="600"/>
      <c r="Y63" s="600"/>
      <c r="Z63" s="600"/>
      <c r="AA63" s="600"/>
      <c r="AB63" s="600"/>
      <c r="AC63" s="600"/>
      <c r="AD63" s="600"/>
      <c r="AE63" s="600"/>
      <c r="AF63" s="600"/>
      <c r="AG63" s="666"/>
      <c r="AH63" s="287"/>
      <c r="AI63" s="672"/>
      <c r="AJ63" s="287"/>
      <c r="AK63" s="287"/>
      <c r="AL63" s="667"/>
      <c r="AM63" s="668"/>
      <c r="AN63" s="642"/>
      <c r="AO63" s="287"/>
      <c r="AP63" s="287"/>
      <c r="AQ63" s="287"/>
      <c r="AR63" s="287"/>
      <c r="AS63" s="287"/>
    </row>
    <row r="64" spans="1:50" ht="12.75" hidden="1" customHeight="1" x14ac:dyDescent="0.2">
      <c r="A64" s="669" t="s">
        <v>188</v>
      </c>
      <c r="B64" s="665">
        <f t="shared" si="10"/>
        <v>0</v>
      </c>
      <c r="C64" s="600"/>
      <c r="D64" s="600"/>
      <c r="E64" s="600"/>
      <c r="F64" s="600"/>
      <c r="G64" s="600"/>
      <c r="H64" s="600"/>
      <c r="I64" s="600"/>
      <c r="J64" s="600"/>
      <c r="K64" s="600"/>
      <c r="L64" s="600"/>
      <c r="M64" s="600"/>
      <c r="N64" s="600"/>
      <c r="O64" s="600"/>
      <c r="P64" s="600"/>
      <c r="Q64" s="600"/>
      <c r="R64" s="600"/>
      <c r="S64" s="600"/>
      <c r="T64" s="600"/>
      <c r="U64" s="600"/>
      <c r="V64" s="600"/>
      <c r="W64" s="600"/>
      <c r="X64" s="600"/>
      <c r="Y64" s="600"/>
      <c r="Z64" s="600"/>
      <c r="AA64" s="600"/>
      <c r="AB64" s="600"/>
      <c r="AC64" s="600"/>
      <c r="AD64" s="600"/>
      <c r="AE64" s="600"/>
      <c r="AF64" s="600"/>
      <c r="AG64" s="666"/>
      <c r="AH64" s="287"/>
      <c r="AI64" s="672"/>
      <c r="AJ64" s="287"/>
      <c r="AK64" s="287"/>
      <c r="AL64" s="675"/>
      <c r="AM64" s="668"/>
      <c r="AN64" s="287"/>
      <c r="AO64" s="287"/>
      <c r="AP64" s="287"/>
      <c r="AQ64" s="287"/>
      <c r="AR64" s="287"/>
      <c r="AS64" s="287"/>
    </row>
    <row r="65" spans="1:45" ht="12.75" hidden="1" customHeight="1" x14ac:dyDescent="0.2">
      <c r="A65" s="556" t="s">
        <v>189</v>
      </c>
      <c r="B65" s="665">
        <f t="shared" si="10"/>
        <v>0</v>
      </c>
      <c r="C65" s="600"/>
      <c r="D65" s="600"/>
      <c r="E65" s="600"/>
      <c r="F65" s="600"/>
      <c r="G65" s="600"/>
      <c r="H65" s="600"/>
      <c r="I65" s="600"/>
      <c r="J65" s="600"/>
      <c r="K65" s="600"/>
      <c r="L65" s="600"/>
      <c r="M65" s="600"/>
      <c r="N65" s="600"/>
      <c r="O65" s="600"/>
      <c r="P65" s="600"/>
      <c r="Q65" s="600"/>
      <c r="R65" s="600"/>
      <c r="S65" s="600"/>
      <c r="T65" s="600"/>
      <c r="U65" s="600"/>
      <c r="V65" s="600"/>
      <c r="W65" s="600"/>
      <c r="X65" s="600"/>
      <c r="Y65" s="600"/>
      <c r="Z65" s="600"/>
      <c r="AA65" s="600"/>
      <c r="AB65" s="600"/>
      <c r="AC65" s="600"/>
      <c r="AD65" s="600"/>
      <c r="AE65" s="600"/>
      <c r="AF65" s="600"/>
      <c r="AG65" s="666"/>
      <c r="AH65" s="287"/>
      <c r="AJ65" s="287"/>
      <c r="AK65" s="287"/>
      <c r="AL65" s="667"/>
      <c r="AM65" s="668"/>
      <c r="AN65" s="287"/>
      <c r="AO65" s="287"/>
      <c r="AP65" s="287"/>
      <c r="AQ65" s="287"/>
      <c r="AR65" s="287"/>
      <c r="AS65" s="287"/>
    </row>
    <row r="66" spans="1:45" ht="12.75" hidden="1" customHeight="1" x14ac:dyDescent="0.2">
      <c r="A66" s="556" t="s">
        <v>190</v>
      </c>
      <c r="B66" s="665">
        <f t="shared" si="10"/>
        <v>0</v>
      </c>
      <c r="C66" s="600"/>
      <c r="D66" s="600"/>
      <c r="E66" s="600"/>
      <c r="F66" s="600"/>
      <c r="G66" s="600"/>
      <c r="H66" s="600"/>
      <c r="I66" s="600"/>
      <c r="J66" s="600"/>
      <c r="K66" s="600"/>
      <c r="L66" s="600"/>
      <c r="M66" s="600"/>
      <c r="N66" s="600"/>
      <c r="O66" s="600"/>
      <c r="P66" s="600"/>
      <c r="Q66" s="600"/>
      <c r="R66" s="600"/>
      <c r="S66" s="600"/>
      <c r="T66" s="600"/>
      <c r="U66" s="600"/>
      <c r="V66" s="600"/>
      <c r="W66" s="600"/>
      <c r="X66" s="600"/>
      <c r="Y66" s="600"/>
      <c r="Z66" s="600"/>
      <c r="AA66" s="600"/>
      <c r="AB66" s="600"/>
      <c r="AC66" s="600"/>
      <c r="AD66" s="600"/>
      <c r="AE66" s="600"/>
      <c r="AF66" s="600"/>
      <c r="AG66" s="666"/>
      <c r="AH66" s="287"/>
      <c r="AI66" s="672"/>
      <c r="AJ66" s="287"/>
      <c r="AK66" s="287"/>
      <c r="AL66" s="667"/>
      <c r="AM66" s="668"/>
      <c r="AN66" s="287"/>
      <c r="AO66" s="287"/>
      <c r="AP66" s="287"/>
      <c r="AQ66" s="287"/>
      <c r="AR66" s="287"/>
      <c r="AS66" s="287"/>
    </row>
    <row r="67" spans="1:45" ht="12.75" hidden="1" customHeight="1" x14ac:dyDescent="0.2">
      <c r="A67" s="556" t="s">
        <v>191</v>
      </c>
      <c r="B67" s="665">
        <f t="shared" si="10"/>
        <v>0</v>
      </c>
      <c r="C67" s="600"/>
      <c r="D67" s="600"/>
      <c r="E67" s="600"/>
      <c r="F67" s="600"/>
      <c r="G67" s="600"/>
      <c r="H67" s="600"/>
      <c r="I67" s="600"/>
      <c r="J67" s="600"/>
      <c r="K67" s="600"/>
      <c r="L67" s="600"/>
      <c r="M67" s="600"/>
      <c r="N67" s="600"/>
      <c r="O67" s="600"/>
      <c r="P67" s="600"/>
      <c r="Q67" s="600"/>
      <c r="R67" s="600"/>
      <c r="S67" s="600"/>
      <c r="T67" s="600"/>
      <c r="U67" s="600"/>
      <c r="V67" s="600"/>
      <c r="W67" s="600"/>
      <c r="X67" s="600"/>
      <c r="Y67" s="600"/>
      <c r="Z67" s="600"/>
      <c r="AA67" s="600"/>
      <c r="AB67" s="600"/>
      <c r="AC67" s="600"/>
      <c r="AD67" s="600"/>
      <c r="AE67" s="600"/>
      <c r="AF67" s="600"/>
      <c r="AG67" s="666"/>
      <c r="AH67" s="287"/>
      <c r="AI67" s="672"/>
      <c r="AJ67" s="287"/>
      <c r="AK67" s="287"/>
      <c r="AL67" s="667"/>
      <c r="AM67" s="668"/>
      <c r="AN67" s="287"/>
      <c r="AO67" s="287"/>
      <c r="AP67" s="287"/>
      <c r="AQ67" s="287"/>
      <c r="AR67" s="287"/>
      <c r="AS67" s="287"/>
    </row>
    <row r="68" spans="1:45" ht="12.75" hidden="1" customHeight="1" x14ac:dyDescent="0.2">
      <c r="A68" s="556" t="s">
        <v>192</v>
      </c>
      <c r="B68" s="665">
        <f t="shared" si="10"/>
        <v>0</v>
      </c>
      <c r="C68" s="600"/>
      <c r="D68" s="600"/>
      <c r="E68" s="600"/>
      <c r="F68" s="600"/>
      <c r="G68" s="600"/>
      <c r="H68" s="600"/>
      <c r="I68" s="600"/>
      <c r="J68" s="600"/>
      <c r="K68" s="600"/>
      <c r="L68" s="600"/>
      <c r="M68" s="600"/>
      <c r="N68" s="600"/>
      <c r="O68" s="600"/>
      <c r="P68" s="600"/>
      <c r="Q68" s="600"/>
      <c r="R68" s="600"/>
      <c r="S68" s="600"/>
      <c r="T68" s="600"/>
      <c r="U68" s="600"/>
      <c r="V68" s="600"/>
      <c r="W68" s="600"/>
      <c r="X68" s="600"/>
      <c r="Y68" s="600"/>
      <c r="Z68" s="600"/>
      <c r="AA68" s="600"/>
      <c r="AB68" s="600"/>
      <c r="AC68" s="600"/>
      <c r="AD68" s="600"/>
      <c r="AE68" s="600"/>
      <c r="AF68" s="600"/>
      <c r="AG68" s="666"/>
      <c r="AH68" s="287"/>
      <c r="AJ68" s="287"/>
      <c r="AK68" s="287"/>
      <c r="AL68" s="667"/>
      <c r="AM68" s="668"/>
      <c r="AN68" s="287"/>
      <c r="AO68" s="287"/>
      <c r="AP68" s="287"/>
      <c r="AQ68" s="287"/>
      <c r="AR68" s="287"/>
      <c r="AS68" s="287"/>
    </row>
    <row r="69" spans="1:45" ht="12.75" hidden="1" customHeight="1" x14ac:dyDescent="0.2">
      <c r="A69" s="669" t="s">
        <v>193</v>
      </c>
      <c r="B69" s="665">
        <f t="shared" si="10"/>
        <v>0</v>
      </c>
      <c r="C69" s="600"/>
      <c r="D69" s="600"/>
      <c r="E69" s="600"/>
      <c r="F69" s="600"/>
      <c r="G69" s="600"/>
      <c r="H69" s="600"/>
      <c r="I69" s="600"/>
      <c r="J69" s="600"/>
      <c r="K69" s="600"/>
      <c r="L69" s="600"/>
      <c r="M69" s="600"/>
      <c r="N69" s="600"/>
      <c r="O69" s="600"/>
      <c r="P69" s="600"/>
      <c r="Q69" s="600"/>
      <c r="R69" s="600"/>
      <c r="S69" s="600"/>
      <c r="T69" s="600"/>
      <c r="U69" s="600"/>
      <c r="V69" s="600"/>
      <c r="W69" s="600"/>
      <c r="X69" s="600"/>
      <c r="Y69" s="600"/>
      <c r="Z69" s="600"/>
      <c r="AA69" s="600"/>
      <c r="AB69" s="600"/>
      <c r="AC69" s="600"/>
      <c r="AD69" s="600"/>
      <c r="AE69" s="600"/>
      <c r="AF69" s="600"/>
      <c r="AG69" s="666"/>
      <c r="AH69" s="287"/>
      <c r="AI69" s="672"/>
      <c r="AJ69" s="287"/>
      <c r="AK69" s="287"/>
      <c r="AL69" s="667"/>
      <c r="AM69" s="668"/>
      <c r="AN69" s="287"/>
      <c r="AO69" s="287"/>
      <c r="AP69" s="287"/>
      <c r="AQ69" s="287"/>
      <c r="AR69" s="287"/>
      <c r="AS69" s="287"/>
    </row>
    <row r="70" spans="1:45" ht="12.75" hidden="1" customHeight="1" x14ac:dyDescent="0.2">
      <c r="A70" s="556" t="s">
        <v>194</v>
      </c>
      <c r="B70" s="665">
        <f t="shared" si="10"/>
        <v>0</v>
      </c>
      <c r="C70" s="600"/>
      <c r="D70" s="600"/>
      <c r="E70" s="600"/>
      <c r="F70" s="600"/>
      <c r="G70" s="600"/>
      <c r="H70" s="600"/>
      <c r="I70" s="600"/>
      <c r="J70" s="600"/>
      <c r="K70" s="600"/>
      <c r="L70" s="600"/>
      <c r="M70" s="600"/>
      <c r="N70" s="600"/>
      <c r="O70" s="600"/>
      <c r="P70" s="600"/>
      <c r="Q70" s="600"/>
      <c r="R70" s="600"/>
      <c r="S70" s="600"/>
      <c r="T70" s="600"/>
      <c r="U70" s="600"/>
      <c r="V70" s="600"/>
      <c r="W70" s="600"/>
      <c r="X70" s="600"/>
      <c r="Y70" s="600"/>
      <c r="Z70" s="600"/>
      <c r="AA70" s="600"/>
      <c r="AB70" s="600"/>
      <c r="AC70" s="600"/>
      <c r="AD70" s="600"/>
      <c r="AE70" s="600"/>
      <c r="AF70" s="600"/>
      <c r="AG70" s="666"/>
      <c r="AH70" s="287"/>
      <c r="AJ70" s="287"/>
      <c r="AK70" s="287"/>
      <c r="AL70" s="667"/>
      <c r="AM70" s="668"/>
      <c r="AN70" s="287"/>
      <c r="AO70" s="287"/>
      <c r="AP70" s="287"/>
      <c r="AQ70" s="287"/>
      <c r="AR70" s="287"/>
      <c r="AS70" s="287"/>
    </row>
    <row r="71" spans="1:45" ht="12.75" hidden="1" customHeight="1" x14ac:dyDescent="0.2">
      <c r="A71" s="556" t="s">
        <v>195</v>
      </c>
      <c r="B71" s="665" t="s">
        <v>196</v>
      </c>
      <c r="C71" s="600"/>
      <c r="D71" s="600"/>
      <c r="E71" s="600"/>
      <c r="F71" s="600"/>
      <c r="G71" s="600"/>
      <c r="H71" s="600"/>
      <c r="I71" s="600"/>
      <c r="J71" s="600"/>
      <c r="K71" s="600"/>
      <c r="L71" s="600"/>
      <c r="M71" s="600"/>
      <c r="N71" s="600"/>
      <c r="O71" s="600"/>
      <c r="P71" s="600"/>
      <c r="Q71" s="600"/>
      <c r="R71" s="600"/>
      <c r="S71" s="600"/>
      <c r="T71" s="600"/>
      <c r="U71" s="600"/>
      <c r="V71" s="600"/>
      <c r="W71" s="600"/>
      <c r="X71" s="600"/>
      <c r="Y71" s="600"/>
      <c r="Z71" s="600"/>
      <c r="AA71" s="600"/>
      <c r="AB71" s="600"/>
      <c r="AC71" s="600"/>
      <c r="AD71" s="600"/>
      <c r="AE71" s="600"/>
      <c r="AF71" s="600"/>
      <c r="AG71" s="666"/>
      <c r="AH71" s="287"/>
      <c r="AJ71" s="287"/>
      <c r="AK71" s="287"/>
      <c r="AL71" s="667"/>
      <c r="AM71" s="668"/>
    </row>
    <row r="72" spans="1:45" ht="12.75" customHeight="1" x14ac:dyDescent="0.2">
      <c r="A72" s="556"/>
      <c r="B72" s="665"/>
      <c r="C72" s="668"/>
      <c r="D72" s="668"/>
      <c r="E72" s="668"/>
      <c r="F72" s="668"/>
      <c r="G72" s="668"/>
      <c r="H72" s="668"/>
      <c r="I72" s="668"/>
      <c r="J72" s="668"/>
      <c r="K72" s="668"/>
      <c r="L72" s="668"/>
      <c r="M72" s="668"/>
      <c r="N72" s="668"/>
      <c r="O72" s="668"/>
      <c r="P72" s="668"/>
      <c r="Q72" s="668"/>
      <c r="R72" s="668"/>
      <c r="S72" s="668"/>
      <c r="T72" s="668"/>
      <c r="U72" s="668"/>
      <c r="V72" s="668"/>
      <c r="W72" s="668"/>
      <c r="X72" s="668"/>
      <c r="Y72" s="668"/>
      <c r="Z72" s="668"/>
      <c r="AA72" s="668"/>
      <c r="AB72" s="668"/>
      <c r="AC72" s="668"/>
      <c r="AD72" s="668"/>
      <c r="AE72" s="668"/>
      <c r="AF72" s="668"/>
      <c r="AG72" s="676"/>
      <c r="AH72" s="287"/>
      <c r="AJ72" s="287"/>
      <c r="AK72" s="287"/>
      <c r="AL72" s="667"/>
      <c r="AM72" s="668"/>
    </row>
    <row r="73" spans="1:45" ht="12.75" customHeight="1" x14ac:dyDescent="0.2">
      <c r="A73" s="556"/>
      <c r="B73" s="665"/>
      <c r="C73" s="668"/>
      <c r="D73" s="668"/>
      <c r="E73" s="668"/>
      <c r="F73" s="668"/>
      <c r="G73" s="668"/>
      <c r="H73" s="668"/>
      <c r="I73" s="668"/>
      <c r="J73" s="668"/>
      <c r="K73" s="668"/>
      <c r="L73" s="668"/>
      <c r="M73" s="668"/>
      <c r="N73" s="668"/>
      <c r="O73" s="668"/>
      <c r="P73" s="668"/>
      <c r="Q73" s="668"/>
      <c r="R73" s="668"/>
      <c r="S73" s="668"/>
      <c r="T73" s="668"/>
      <c r="U73" s="668"/>
      <c r="V73" s="668"/>
      <c r="W73" s="668"/>
      <c r="X73" s="668"/>
      <c r="Y73" s="668"/>
      <c r="Z73" s="668"/>
      <c r="AA73" s="668"/>
      <c r="AB73" s="668"/>
      <c r="AC73" s="668"/>
      <c r="AD73" s="668"/>
      <c r="AE73" s="668"/>
      <c r="AF73" s="668"/>
      <c r="AG73" s="676"/>
      <c r="AH73" s="287"/>
      <c r="AJ73" s="287"/>
      <c r="AK73" s="287"/>
      <c r="AL73" s="667"/>
      <c r="AM73" s="668"/>
    </row>
    <row r="74" spans="1:45" ht="12.75" customHeight="1" x14ac:dyDescent="0.2">
      <c r="A74" s="556"/>
      <c r="B74" s="665"/>
      <c r="C74" s="668"/>
      <c r="D74" s="668"/>
      <c r="E74" s="668"/>
      <c r="F74" s="668"/>
      <c r="G74" s="668"/>
      <c r="H74" s="668"/>
      <c r="I74" s="668"/>
      <c r="J74" s="668"/>
      <c r="K74" s="668"/>
      <c r="L74" s="668"/>
      <c r="M74" s="668"/>
      <c r="N74" s="668"/>
      <c r="O74" s="668"/>
      <c r="P74" s="668"/>
      <c r="Q74" s="668"/>
      <c r="R74" s="668"/>
      <c r="S74" s="668"/>
      <c r="T74" s="668"/>
      <c r="U74" s="668"/>
      <c r="V74" s="668"/>
      <c r="W74" s="668"/>
      <c r="X74" s="668"/>
      <c r="Y74" s="668"/>
      <c r="Z74" s="668"/>
      <c r="AA74" s="668"/>
      <c r="AB74" s="668"/>
      <c r="AC74" s="668"/>
      <c r="AD74" s="668"/>
      <c r="AE74" s="668"/>
      <c r="AF74" s="668"/>
      <c r="AG74" s="676"/>
      <c r="AH74" s="287"/>
      <c r="AJ74" s="287"/>
      <c r="AK74" s="287"/>
      <c r="AL74" s="667"/>
      <c r="AM74" s="668"/>
    </row>
    <row r="75" spans="1:45" ht="12.75" customHeight="1" thickBot="1" x14ac:dyDescent="0.25">
      <c r="A75" s="556"/>
      <c r="B75" s="677"/>
      <c r="C75" s="668"/>
      <c r="D75" s="668"/>
      <c r="E75" s="668"/>
      <c r="F75" s="668"/>
      <c r="G75" s="668"/>
      <c r="H75" s="668"/>
      <c r="I75" s="668"/>
      <c r="J75" s="668"/>
      <c r="K75" s="668"/>
      <c r="L75" s="668"/>
      <c r="M75" s="668"/>
      <c r="N75" s="668"/>
      <c r="O75" s="668"/>
      <c r="P75" s="668"/>
      <c r="Q75" s="668"/>
      <c r="R75" s="668"/>
      <c r="S75" s="668"/>
      <c r="T75" s="668"/>
      <c r="U75" s="668"/>
      <c r="V75" s="668"/>
      <c r="W75" s="668"/>
      <c r="X75" s="668"/>
      <c r="Y75" s="668"/>
      <c r="Z75" s="668"/>
      <c r="AA75" s="668"/>
      <c r="AB75" s="668"/>
      <c r="AC75" s="668"/>
      <c r="AD75" s="668"/>
      <c r="AE75" s="668"/>
      <c r="AF75" s="668"/>
      <c r="AG75" s="676"/>
      <c r="AH75" s="287"/>
      <c r="AJ75" s="287"/>
      <c r="AK75" s="287"/>
      <c r="AL75" s="667"/>
      <c r="AM75" s="668"/>
    </row>
    <row r="76" spans="1:45" ht="12.75" customHeight="1" x14ac:dyDescent="0.2">
      <c r="A76" s="678" t="s">
        <v>197</v>
      </c>
      <c r="B76" s="679">
        <f>SUM(B47:B75)-B61-B67-B68-B69</f>
        <v>-31267</v>
      </c>
      <c r="C76" s="680"/>
      <c r="D76" s="680"/>
      <c r="E76" s="680"/>
      <c r="F76" s="680"/>
      <c r="G76" s="680"/>
      <c r="H76" s="680"/>
      <c r="I76" s="680"/>
      <c r="J76" s="680"/>
      <c r="K76" s="680"/>
      <c r="L76" s="680"/>
      <c r="M76" s="680"/>
      <c r="N76" s="680"/>
      <c r="O76" s="680"/>
      <c r="P76" s="680"/>
      <c r="Q76" s="680"/>
      <c r="R76" s="680"/>
      <c r="S76" s="680"/>
      <c r="T76" s="680"/>
      <c r="U76" s="680"/>
      <c r="V76" s="680"/>
      <c r="W76" s="680"/>
      <c r="X76" s="680"/>
      <c r="Y76" s="680"/>
      <c r="Z76" s="680"/>
      <c r="AA76" s="680"/>
      <c r="AB76" s="680"/>
      <c r="AC76" s="680"/>
      <c r="AD76" s="680"/>
      <c r="AE76" s="680"/>
      <c r="AF76" s="680"/>
      <c r="AG76" s="681"/>
      <c r="AH76" s="287"/>
      <c r="AJ76" s="287"/>
      <c r="AK76" s="287"/>
      <c r="AL76" s="667"/>
      <c r="AM76" s="668"/>
    </row>
    <row r="77" spans="1:45" ht="12.75" customHeight="1" x14ac:dyDescent="0.2">
      <c r="A77" s="287"/>
      <c r="B77" s="287"/>
      <c r="C77" s="287"/>
      <c r="D77" s="287"/>
      <c r="E77" s="287"/>
      <c r="F77" s="287"/>
      <c r="G77" s="287"/>
      <c r="H77" s="287"/>
      <c r="I77" s="287"/>
      <c r="J77" s="287"/>
      <c r="K77" s="287"/>
      <c r="L77" s="287"/>
      <c r="M77" s="287"/>
      <c r="N77" s="287"/>
      <c r="O77" s="287"/>
      <c r="P77" s="287"/>
      <c r="Q77" s="287"/>
      <c r="R77" s="287"/>
      <c r="S77" s="287"/>
      <c r="T77" s="287"/>
      <c r="U77" s="287"/>
      <c r="V77" s="287"/>
      <c r="W77" s="287"/>
      <c r="X77" s="287"/>
      <c r="Y77" s="287"/>
      <c r="Z77" s="287"/>
      <c r="AA77" s="287"/>
      <c r="AB77" s="287"/>
      <c r="AC77" s="287"/>
      <c r="AD77" s="287"/>
      <c r="AE77" s="287"/>
      <c r="AF77" s="287"/>
      <c r="AG77" s="287"/>
      <c r="AH77" s="287"/>
      <c r="AJ77" s="287"/>
      <c r="AK77" s="287"/>
      <c r="AL77" s="667"/>
      <c r="AM77" s="668"/>
    </row>
    <row r="78" spans="1:45" ht="12.75" customHeight="1" x14ac:dyDescent="0.2">
      <c r="A78" s="583"/>
      <c r="B78" s="682"/>
      <c r="AH78" s="583"/>
      <c r="AJ78" s="583"/>
      <c r="AK78" s="600"/>
      <c r="AL78" s="667"/>
      <c r="AM78" s="668"/>
    </row>
    <row r="79" spans="1:45" ht="12.75" customHeight="1" x14ac:dyDescent="0.2">
      <c r="A79" s="640" t="s">
        <v>273</v>
      </c>
      <c r="B79" s="641"/>
      <c r="AH79" s="583"/>
      <c r="AJ79" s="583"/>
      <c r="AK79" s="600"/>
      <c r="AL79" s="667"/>
      <c r="AM79" s="668"/>
    </row>
    <row r="80" spans="1:45" ht="12.75" customHeight="1" x14ac:dyDescent="0.2">
      <c r="A80" s="583"/>
      <c r="B80" s="682"/>
      <c r="AH80" s="583"/>
      <c r="AJ80" s="583"/>
      <c r="AK80" s="600"/>
      <c r="AL80" s="667"/>
      <c r="AM80" s="668"/>
    </row>
    <row r="81" spans="1:45" ht="12.75" customHeight="1" x14ac:dyDescent="0.2">
      <c r="A81" s="645"/>
      <c r="B81" s="646" t="s">
        <v>161</v>
      </c>
      <c r="C81" s="647">
        <f t="shared" ref="C81:R81" si="11">SUM(C85:C101)</f>
        <v>0</v>
      </c>
      <c r="D81" s="647">
        <f t="shared" si="11"/>
        <v>0</v>
      </c>
      <c r="E81" s="647">
        <f t="shared" si="11"/>
        <v>0</v>
      </c>
      <c r="F81" s="647">
        <f t="shared" si="11"/>
        <v>0</v>
      </c>
      <c r="G81" s="647">
        <f t="shared" si="11"/>
        <v>0</v>
      </c>
      <c r="H81" s="647">
        <f t="shared" si="11"/>
        <v>0</v>
      </c>
      <c r="I81" s="647">
        <f t="shared" si="11"/>
        <v>0</v>
      </c>
      <c r="J81" s="647">
        <f t="shared" si="11"/>
        <v>0</v>
      </c>
      <c r="K81" s="647">
        <f t="shared" si="11"/>
        <v>0</v>
      </c>
      <c r="L81" s="647">
        <f t="shared" si="11"/>
        <v>0</v>
      </c>
      <c r="M81" s="647">
        <f t="shared" si="11"/>
        <v>0</v>
      </c>
      <c r="N81" s="647">
        <f t="shared" si="11"/>
        <v>0</v>
      </c>
      <c r="O81" s="647">
        <f t="shared" si="11"/>
        <v>0</v>
      </c>
      <c r="P81" s="647">
        <f t="shared" si="11"/>
        <v>0</v>
      </c>
      <c r="Q81" s="647">
        <f t="shared" si="11"/>
        <v>0</v>
      </c>
      <c r="R81" s="647">
        <f t="shared" si="11"/>
        <v>0</v>
      </c>
      <c r="S81" s="647">
        <f t="shared" ref="S81:AG81" si="12">SUM(S85:S101)</f>
        <v>0</v>
      </c>
      <c r="T81" s="647">
        <f t="shared" si="12"/>
        <v>0</v>
      </c>
      <c r="U81" s="647">
        <f t="shared" si="12"/>
        <v>0</v>
      </c>
      <c r="V81" s="647">
        <f t="shared" si="12"/>
        <v>0</v>
      </c>
      <c r="W81" s="647">
        <f t="shared" si="12"/>
        <v>0</v>
      </c>
      <c r="X81" s="647">
        <f t="shared" si="12"/>
        <v>0</v>
      </c>
      <c r="Y81" s="647">
        <f t="shared" si="12"/>
        <v>0</v>
      </c>
      <c r="Z81" s="647">
        <f t="shared" si="12"/>
        <v>0</v>
      </c>
      <c r="AA81" s="647">
        <f t="shared" si="12"/>
        <v>0</v>
      </c>
      <c r="AB81" s="647">
        <f t="shared" si="12"/>
        <v>0</v>
      </c>
      <c r="AC81" s="647">
        <f t="shared" si="12"/>
        <v>0</v>
      </c>
      <c r="AD81" s="647">
        <f t="shared" si="12"/>
        <v>0</v>
      </c>
      <c r="AE81" s="647">
        <f t="shared" si="12"/>
        <v>0</v>
      </c>
      <c r="AF81" s="647">
        <f t="shared" si="12"/>
        <v>0</v>
      </c>
      <c r="AG81" s="647">
        <f t="shared" si="12"/>
        <v>0</v>
      </c>
      <c r="AH81" s="287"/>
      <c r="AI81" s="683"/>
      <c r="AJ81" s="684"/>
      <c r="AK81" s="287"/>
      <c r="AL81" s="602"/>
      <c r="AN81" s="287"/>
      <c r="AO81" s="287"/>
      <c r="AP81" s="287"/>
      <c r="AQ81" s="287"/>
      <c r="AR81" s="287"/>
      <c r="AS81" s="287"/>
    </row>
    <row r="82" spans="1:45" s="653" customFormat="1" ht="12.75" customHeight="1" x14ac:dyDescent="0.25">
      <c r="A82" s="650" t="s">
        <v>199</v>
      </c>
      <c r="B82" s="651">
        <f t="shared" ref="B82:AG82" si="13">B44</f>
        <v>36831</v>
      </c>
      <c r="C82" s="652">
        <f t="shared" si="13"/>
        <v>36831</v>
      </c>
      <c r="D82" s="652">
        <f t="shared" si="13"/>
        <v>36832</v>
      </c>
      <c r="E82" s="652">
        <f t="shared" si="13"/>
        <v>36833</v>
      </c>
      <c r="F82" s="652">
        <f t="shared" si="13"/>
        <v>36834</v>
      </c>
      <c r="G82" s="652">
        <f t="shared" si="13"/>
        <v>36835</v>
      </c>
      <c r="H82" s="652">
        <f t="shared" si="13"/>
        <v>36836</v>
      </c>
      <c r="I82" s="652">
        <f t="shared" si="13"/>
        <v>36837</v>
      </c>
      <c r="J82" s="652">
        <f t="shared" si="13"/>
        <v>36838</v>
      </c>
      <c r="K82" s="652">
        <f t="shared" si="13"/>
        <v>36839</v>
      </c>
      <c r="L82" s="652">
        <f t="shared" si="13"/>
        <v>36840</v>
      </c>
      <c r="M82" s="652">
        <f t="shared" si="13"/>
        <v>36841</v>
      </c>
      <c r="N82" s="652">
        <f t="shared" si="13"/>
        <v>36842</v>
      </c>
      <c r="O82" s="652">
        <f t="shared" si="13"/>
        <v>36843</v>
      </c>
      <c r="P82" s="652">
        <f t="shared" si="13"/>
        <v>36844</v>
      </c>
      <c r="Q82" s="652">
        <f t="shared" si="13"/>
        <v>36845</v>
      </c>
      <c r="R82" s="652">
        <f t="shared" si="13"/>
        <v>36846</v>
      </c>
      <c r="S82" s="652">
        <f t="shared" si="13"/>
        <v>36847</v>
      </c>
      <c r="T82" s="652">
        <f t="shared" si="13"/>
        <v>36848</v>
      </c>
      <c r="U82" s="652">
        <f t="shared" si="13"/>
        <v>36849</v>
      </c>
      <c r="V82" s="652">
        <f t="shared" si="13"/>
        <v>36850</v>
      </c>
      <c r="W82" s="652">
        <f t="shared" si="13"/>
        <v>36851</v>
      </c>
      <c r="X82" s="652">
        <f t="shared" si="13"/>
        <v>36852</v>
      </c>
      <c r="Y82" s="652">
        <f t="shared" si="13"/>
        <v>36853</v>
      </c>
      <c r="Z82" s="652">
        <f t="shared" si="13"/>
        <v>36854</v>
      </c>
      <c r="AA82" s="652">
        <f t="shared" si="13"/>
        <v>36855</v>
      </c>
      <c r="AB82" s="652">
        <f t="shared" si="13"/>
        <v>36856</v>
      </c>
      <c r="AC82" s="652">
        <f t="shared" si="13"/>
        <v>36857</v>
      </c>
      <c r="AD82" s="652">
        <f t="shared" si="13"/>
        <v>36858</v>
      </c>
      <c r="AE82" s="652">
        <f t="shared" si="13"/>
        <v>36859</v>
      </c>
      <c r="AF82" s="652">
        <f t="shared" si="13"/>
        <v>36860</v>
      </c>
      <c r="AG82" s="652">
        <f t="shared" si="13"/>
        <v>36861</v>
      </c>
      <c r="AI82" s="683"/>
      <c r="AJ82" s="685"/>
      <c r="AL82" s="656"/>
    </row>
    <row r="83" spans="1:45" ht="12.75" customHeight="1" x14ac:dyDescent="0.25">
      <c r="A83" s="657"/>
      <c r="B83" s="657"/>
      <c r="C83" s="658" t="str">
        <f t="shared" ref="C83:AG83" si="14">C45</f>
        <v>W</v>
      </c>
      <c r="D83" s="658" t="str">
        <f t="shared" si="14"/>
        <v>R</v>
      </c>
      <c r="E83" s="658" t="str">
        <f t="shared" si="14"/>
        <v>F</v>
      </c>
      <c r="F83" s="658" t="str">
        <f t="shared" si="14"/>
        <v>S</v>
      </c>
      <c r="G83" s="658" t="str">
        <f t="shared" si="14"/>
        <v>S</v>
      </c>
      <c r="H83" s="658" t="str">
        <f t="shared" si="14"/>
        <v>M</v>
      </c>
      <c r="I83" s="658" t="str">
        <f t="shared" si="14"/>
        <v>T</v>
      </c>
      <c r="J83" s="658" t="str">
        <f t="shared" si="14"/>
        <v>W</v>
      </c>
      <c r="K83" s="658" t="str">
        <f t="shared" si="14"/>
        <v>R</v>
      </c>
      <c r="L83" s="658" t="str">
        <f t="shared" si="14"/>
        <v>F</v>
      </c>
      <c r="M83" s="658" t="str">
        <f t="shared" si="14"/>
        <v>S</v>
      </c>
      <c r="N83" s="658" t="str">
        <f t="shared" si="14"/>
        <v>S</v>
      </c>
      <c r="O83" s="658" t="str">
        <f t="shared" si="14"/>
        <v>M</v>
      </c>
      <c r="P83" s="658" t="str">
        <f t="shared" si="14"/>
        <v>T</v>
      </c>
      <c r="Q83" s="658" t="str">
        <f t="shared" si="14"/>
        <v>W</v>
      </c>
      <c r="R83" s="658" t="str">
        <f t="shared" si="14"/>
        <v>R</v>
      </c>
      <c r="S83" s="658" t="str">
        <f t="shared" si="14"/>
        <v>F</v>
      </c>
      <c r="T83" s="658" t="str">
        <f t="shared" si="14"/>
        <v>S</v>
      </c>
      <c r="U83" s="658" t="str">
        <f t="shared" si="14"/>
        <v>S</v>
      </c>
      <c r="V83" s="658" t="str">
        <f t="shared" si="14"/>
        <v>M</v>
      </c>
      <c r="W83" s="658" t="str">
        <f t="shared" si="14"/>
        <v>T</v>
      </c>
      <c r="X83" s="658" t="str">
        <f t="shared" si="14"/>
        <v>W</v>
      </c>
      <c r="Y83" s="658" t="str">
        <f t="shared" si="14"/>
        <v>R</v>
      </c>
      <c r="Z83" s="658" t="str">
        <f t="shared" si="14"/>
        <v>F</v>
      </c>
      <c r="AA83" s="658" t="str">
        <f t="shared" si="14"/>
        <v>S</v>
      </c>
      <c r="AB83" s="658" t="str">
        <f t="shared" si="14"/>
        <v>S</v>
      </c>
      <c r="AC83" s="658" t="str">
        <f t="shared" si="14"/>
        <v>M</v>
      </c>
      <c r="AD83" s="658" t="str">
        <f t="shared" si="14"/>
        <v>T</v>
      </c>
      <c r="AE83" s="658" t="str">
        <f t="shared" si="14"/>
        <v>W</v>
      </c>
      <c r="AF83" s="658" t="str">
        <f t="shared" si="14"/>
        <v>R</v>
      </c>
      <c r="AG83" s="658" t="str">
        <f t="shared" si="14"/>
        <v>F</v>
      </c>
      <c r="AH83" s="287"/>
      <c r="AI83" s="683"/>
      <c r="AJ83" s="684"/>
      <c r="AK83" s="287"/>
      <c r="AL83" s="583"/>
      <c r="AN83" s="287"/>
      <c r="AO83" s="287"/>
      <c r="AP83" s="287"/>
      <c r="AQ83" s="287"/>
      <c r="AR83" s="287"/>
      <c r="AS83" s="287"/>
    </row>
    <row r="84" spans="1:45" ht="12.75" customHeight="1" thickBot="1" x14ac:dyDescent="0.3">
      <c r="A84" s="661"/>
      <c r="B84" s="662" t="s">
        <v>167</v>
      </c>
      <c r="C84" s="663"/>
      <c r="D84" s="663"/>
      <c r="E84" s="663"/>
      <c r="F84" s="663"/>
      <c r="G84" s="663"/>
      <c r="H84" s="663"/>
      <c r="I84" s="663"/>
      <c r="J84" s="663"/>
      <c r="K84" s="663"/>
      <c r="L84" s="663"/>
      <c r="M84" s="663"/>
      <c r="N84" s="663"/>
      <c r="O84" s="663"/>
      <c r="P84" s="663"/>
      <c r="Q84" s="663"/>
      <c r="R84" s="663"/>
      <c r="S84" s="663"/>
      <c r="T84" s="663"/>
      <c r="U84" s="663"/>
      <c r="V84" s="663"/>
      <c r="W84" s="663"/>
      <c r="X84" s="663"/>
      <c r="Y84" s="663"/>
      <c r="Z84" s="663"/>
      <c r="AA84" s="663"/>
      <c r="AB84" s="663"/>
      <c r="AC84" s="663"/>
      <c r="AD84" s="663"/>
      <c r="AE84" s="663"/>
      <c r="AF84" s="663"/>
      <c r="AG84" s="664"/>
      <c r="AH84" s="583"/>
      <c r="AI84" s="672"/>
      <c r="AJ84" s="686"/>
      <c r="AK84" s="600"/>
      <c r="AL84" s="667"/>
      <c r="AM84" s="668"/>
    </row>
    <row r="85" spans="1:45" ht="12.75" customHeight="1" thickTop="1" x14ac:dyDescent="0.2">
      <c r="A85" s="556" t="s">
        <v>200</v>
      </c>
      <c r="B85" s="665">
        <f t="shared" ref="B85:B97" si="15">SUM(C85:AG85)</f>
        <v>0</v>
      </c>
      <c r="C85" s="600">
        <v>0</v>
      </c>
      <c r="D85" s="600">
        <v>0</v>
      </c>
      <c r="E85" s="600">
        <v>0</v>
      </c>
      <c r="F85" s="600">
        <v>0</v>
      </c>
      <c r="G85" s="600">
        <v>0</v>
      </c>
      <c r="H85" s="600">
        <v>0</v>
      </c>
      <c r="I85" s="600">
        <v>0</v>
      </c>
      <c r="J85" s="600">
        <v>0</v>
      </c>
      <c r="K85" s="600">
        <v>0</v>
      </c>
      <c r="L85" s="600">
        <v>0</v>
      </c>
      <c r="M85" s="600">
        <v>0</v>
      </c>
      <c r="N85" s="600">
        <v>0</v>
      </c>
      <c r="O85" s="600">
        <v>0</v>
      </c>
      <c r="P85" s="600">
        <v>0</v>
      </c>
      <c r="Q85" s="600">
        <v>0</v>
      </c>
      <c r="R85" s="600">
        <v>0</v>
      </c>
      <c r="S85" s="600">
        <v>0</v>
      </c>
      <c r="T85" s="600">
        <v>0</v>
      </c>
      <c r="U85" s="600">
        <v>0</v>
      </c>
      <c r="V85" s="600">
        <v>0</v>
      </c>
      <c r="W85" s="600">
        <v>0</v>
      </c>
      <c r="X85" s="600">
        <v>0</v>
      </c>
      <c r="Y85" s="600">
        <v>0</v>
      </c>
      <c r="Z85" s="600">
        <v>0</v>
      </c>
      <c r="AA85" s="600">
        <v>0</v>
      </c>
      <c r="AB85" s="600">
        <v>0</v>
      </c>
      <c r="AC85" s="600">
        <v>0</v>
      </c>
      <c r="AD85" s="600">
        <v>0</v>
      </c>
      <c r="AE85" s="600">
        <v>0</v>
      </c>
      <c r="AF85" s="600">
        <v>0</v>
      </c>
      <c r="AG85" s="666">
        <v>0</v>
      </c>
      <c r="AH85" s="583"/>
      <c r="AJ85" s="583"/>
      <c r="AK85" s="600"/>
      <c r="AL85" s="667"/>
      <c r="AM85" s="668"/>
    </row>
    <row r="86" spans="1:45" ht="12.75" customHeight="1" x14ac:dyDescent="0.2">
      <c r="A86" s="556" t="s">
        <v>201</v>
      </c>
      <c r="B86" s="665">
        <f t="shared" si="15"/>
        <v>0</v>
      </c>
      <c r="C86" s="600">
        <v>0</v>
      </c>
      <c r="D86" s="600">
        <v>0</v>
      </c>
      <c r="E86" s="600">
        <v>0</v>
      </c>
      <c r="F86" s="600">
        <v>0</v>
      </c>
      <c r="G86" s="600">
        <v>0</v>
      </c>
      <c r="H86" s="600">
        <v>0</v>
      </c>
      <c r="I86" s="600">
        <v>0</v>
      </c>
      <c r="J86" s="600">
        <v>0</v>
      </c>
      <c r="K86" s="600">
        <v>0</v>
      </c>
      <c r="L86" s="600">
        <v>0</v>
      </c>
      <c r="M86" s="600">
        <v>0</v>
      </c>
      <c r="N86" s="600">
        <v>0</v>
      </c>
      <c r="O86" s="600">
        <v>0</v>
      </c>
      <c r="P86" s="600">
        <v>0</v>
      </c>
      <c r="Q86" s="600">
        <v>0</v>
      </c>
      <c r="R86" s="600">
        <v>0</v>
      </c>
      <c r="S86" s="600">
        <v>0</v>
      </c>
      <c r="T86" s="600">
        <v>0</v>
      </c>
      <c r="U86" s="600">
        <v>0</v>
      </c>
      <c r="V86" s="600">
        <v>0</v>
      </c>
      <c r="W86" s="600">
        <v>0</v>
      </c>
      <c r="X86" s="600">
        <v>0</v>
      </c>
      <c r="Y86" s="600">
        <v>0</v>
      </c>
      <c r="Z86" s="600">
        <v>0</v>
      </c>
      <c r="AA86" s="600">
        <v>0</v>
      </c>
      <c r="AB86" s="600">
        <v>0</v>
      </c>
      <c r="AC86" s="600">
        <v>0</v>
      </c>
      <c r="AD86" s="600">
        <v>0</v>
      </c>
      <c r="AE86" s="600">
        <v>0</v>
      </c>
      <c r="AF86" s="600">
        <v>0</v>
      </c>
      <c r="AG86" s="666">
        <v>0</v>
      </c>
      <c r="AH86" s="583"/>
      <c r="AJ86" s="583"/>
      <c r="AK86" s="600"/>
      <c r="AL86" s="667"/>
      <c r="AM86" s="668"/>
    </row>
    <row r="87" spans="1:45" ht="12.75" customHeight="1" x14ac:dyDescent="0.2">
      <c r="A87" s="556" t="s">
        <v>202</v>
      </c>
      <c r="B87" s="665">
        <f t="shared" si="15"/>
        <v>0</v>
      </c>
      <c r="C87" s="597">
        <v>0</v>
      </c>
      <c r="D87" s="597">
        <v>0</v>
      </c>
      <c r="E87" s="597">
        <v>0</v>
      </c>
      <c r="F87" s="597">
        <v>0</v>
      </c>
      <c r="G87" s="597">
        <v>0</v>
      </c>
      <c r="H87" s="597">
        <v>0</v>
      </c>
      <c r="I87" s="597">
        <v>0</v>
      </c>
      <c r="J87" s="597">
        <v>0</v>
      </c>
      <c r="K87" s="597">
        <v>0</v>
      </c>
      <c r="L87" s="597">
        <v>0</v>
      </c>
      <c r="M87" s="597">
        <v>0</v>
      </c>
      <c r="N87" s="597">
        <v>0</v>
      </c>
      <c r="O87" s="597">
        <v>0</v>
      </c>
      <c r="P87" s="597">
        <v>0</v>
      </c>
      <c r="Q87" s="597">
        <v>0</v>
      </c>
      <c r="R87" s="597">
        <v>0</v>
      </c>
      <c r="S87" s="597">
        <v>0</v>
      </c>
      <c r="T87" s="597">
        <v>0</v>
      </c>
      <c r="U87" s="597">
        <v>0</v>
      </c>
      <c r="V87" s="597">
        <v>0</v>
      </c>
      <c r="W87" s="597">
        <v>0</v>
      </c>
      <c r="X87" s="597">
        <v>0</v>
      </c>
      <c r="Y87" s="597">
        <v>0</v>
      </c>
      <c r="Z87" s="597">
        <v>0</v>
      </c>
      <c r="AA87" s="597">
        <v>0</v>
      </c>
      <c r="AB87" s="597">
        <v>0</v>
      </c>
      <c r="AC87" s="597">
        <v>0</v>
      </c>
      <c r="AD87" s="597">
        <v>0</v>
      </c>
      <c r="AE87" s="597">
        <v>0</v>
      </c>
      <c r="AF87" s="597">
        <v>0</v>
      </c>
      <c r="AG87" s="666">
        <v>0</v>
      </c>
      <c r="AH87" s="583"/>
      <c r="AJ87" s="583"/>
      <c r="AK87" s="600"/>
      <c r="AL87" s="667"/>
      <c r="AM87" s="668"/>
    </row>
    <row r="88" spans="1:45" ht="12.75" customHeight="1" x14ac:dyDescent="0.2">
      <c r="A88" s="556" t="s">
        <v>203</v>
      </c>
      <c r="B88" s="665">
        <f t="shared" si="15"/>
        <v>0</v>
      </c>
      <c r="C88" s="597">
        <v>0</v>
      </c>
      <c r="D88" s="597">
        <v>0</v>
      </c>
      <c r="E88" s="597">
        <v>0</v>
      </c>
      <c r="F88" s="597">
        <v>0</v>
      </c>
      <c r="G88" s="597">
        <v>0</v>
      </c>
      <c r="H88" s="597">
        <v>0</v>
      </c>
      <c r="I88" s="597">
        <v>0</v>
      </c>
      <c r="J88" s="597">
        <v>0</v>
      </c>
      <c r="K88" s="597">
        <v>0</v>
      </c>
      <c r="L88" s="597">
        <v>0</v>
      </c>
      <c r="M88" s="597">
        <v>0</v>
      </c>
      <c r="N88" s="597">
        <v>0</v>
      </c>
      <c r="O88" s="597">
        <v>0</v>
      </c>
      <c r="P88" s="597">
        <v>0</v>
      </c>
      <c r="Q88" s="597">
        <v>0</v>
      </c>
      <c r="R88" s="597">
        <v>0</v>
      </c>
      <c r="S88" s="597">
        <v>0</v>
      </c>
      <c r="T88" s="597">
        <v>0</v>
      </c>
      <c r="U88" s="597">
        <v>0</v>
      </c>
      <c r="V88" s="597">
        <v>0</v>
      </c>
      <c r="W88" s="597">
        <v>0</v>
      </c>
      <c r="X88" s="597">
        <v>0</v>
      </c>
      <c r="Y88" s="597">
        <v>0</v>
      </c>
      <c r="Z88" s="597">
        <v>0</v>
      </c>
      <c r="AA88" s="597">
        <v>0</v>
      </c>
      <c r="AB88" s="597">
        <v>0</v>
      </c>
      <c r="AC88" s="597">
        <v>0</v>
      </c>
      <c r="AD88" s="597">
        <v>0</v>
      </c>
      <c r="AE88" s="597">
        <v>0</v>
      </c>
      <c r="AF88" s="597">
        <v>0</v>
      </c>
      <c r="AG88" s="666">
        <v>0</v>
      </c>
      <c r="AH88" s="583"/>
      <c r="AJ88" s="583"/>
      <c r="AK88" s="600"/>
      <c r="AL88" s="667"/>
      <c r="AM88" s="668"/>
    </row>
    <row r="89" spans="1:45" ht="12.75" customHeight="1" x14ac:dyDescent="0.2">
      <c r="A89" s="556" t="s">
        <v>204</v>
      </c>
      <c r="B89" s="665">
        <f t="shared" si="15"/>
        <v>0</v>
      </c>
      <c r="C89" s="597">
        <v>0</v>
      </c>
      <c r="D89" s="597">
        <v>0</v>
      </c>
      <c r="E89" s="597">
        <v>0</v>
      </c>
      <c r="F89" s="597">
        <v>0</v>
      </c>
      <c r="G89" s="597">
        <v>0</v>
      </c>
      <c r="H89" s="597">
        <v>0</v>
      </c>
      <c r="I89" s="597">
        <v>0</v>
      </c>
      <c r="J89" s="597">
        <v>0</v>
      </c>
      <c r="K89" s="597">
        <v>0</v>
      </c>
      <c r="L89" s="597">
        <v>0</v>
      </c>
      <c r="M89" s="597">
        <v>0</v>
      </c>
      <c r="N89" s="597">
        <v>0</v>
      </c>
      <c r="O89" s="597">
        <v>0</v>
      </c>
      <c r="P89" s="597">
        <v>0</v>
      </c>
      <c r="Q89" s="597">
        <v>0</v>
      </c>
      <c r="R89" s="597">
        <v>0</v>
      </c>
      <c r="S89" s="597">
        <v>0</v>
      </c>
      <c r="T89" s="597">
        <v>0</v>
      </c>
      <c r="U89" s="597">
        <v>0</v>
      </c>
      <c r="V89" s="597">
        <v>0</v>
      </c>
      <c r="W89" s="597">
        <v>0</v>
      </c>
      <c r="X89" s="597">
        <v>0</v>
      </c>
      <c r="Y89" s="597">
        <v>0</v>
      </c>
      <c r="Z89" s="597">
        <v>0</v>
      </c>
      <c r="AA89" s="597">
        <v>0</v>
      </c>
      <c r="AB89" s="597">
        <v>0</v>
      </c>
      <c r="AC89" s="597">
        <v>0</v>
      </c>
      <c r="AD89" s="597">
        <v>0</v>
      </c>
      <c r="AE89" s="597">
        <v>0</v>
      </c>
      <c r="AF89" s="597">
        <v>0</v>
      </c>
      <c r="AG89" s="666">
        <v>0</v>
      </c>
      <c r="AH89" s="583"/>
      <c r="AJ89" s="583"/>
      <c r="AK89" s="600"/>
      <c r="AL89" s="667"/>
      <c r="AM89" s="668"/>
    </row>
    <row r="90" spans="1:45" ht="12.75" customHeight="1" x14ac:dyDescent="0.2">
      <c r="A90" s="556" t="s">
        <v>205</v>
      </c>
      <c r="B90" s="665">
        <f t="shared" si="15"/>
        <v>0</v>
      </c>
      <c r="C90" s="597">
        <v>0</v>
      </c>
      <c r="D90" s="597">
        <v>0</v>
      </c>
      <c r="E90" s="597">
        <v>0</v>
      </c>
      <c r="F90" s="597">
        <v>0</v>
      </c>
      <c r="G90" s="597">
        <v>0</v>
      </c>
      <c r="H90" s="597">
        <v>0</v>
      </c>
      <c r="I90" s="597">
        <v>0</v>
      </c>
      <c r="J90" s="597">
        <v>0</v>
      </c>
      <c r="K90" s="597">
        <v>0</v>
      </c>
      <c r="L90" s="597">
        <v>0</v>
      </c>
      <c r="M90" s="597">
        <v>0</v>
      </c>
      <c r="N90" s="597">
        <v>0</v>
      </c>
      <c r="O90" s="597">
        <v>0</v>
      </c>
      <c r="P90" s="597">
        <v>0</v>
      </c>
      <c r="Q90" s="597">
        <v>0</v>
      </c>
      <c r="R90" s="597">
        <v>0</v>
      </c>
      <c r="S90" s="597">
        <v>0</v>
      </c>
      <c r="T90" s="597">
        <v>0</v>
      </c>
      <c r="U90" s="597">
        <v>0</v>
      </c>
      <c r="V90" s="597">
        <v>0</v>
      </c>
      <c r="W90" s="597">
        <v>0</v>
      </c>
      <c r="X90" s="597">
        <v>0</v>
      </c>
      <c r="Y90" s="597">
        <v>0</v>
      </c>
      <c r="Z90" s="597">
        <v>0</v>
      </c>
      <c r="AA90" s="597">
        <v>0</v>
      </c>
      <c r="AB90" s="597">
        <v>0</v>
      </c>
      <c r="AC90" s="597">
        <v>0</v>
      </c>
      <c r="AD90" s="597">
        <v>0</v>
      </c>
      <c r="AE90" s="597">
        <v>0</v>
      </c>
      <c r="AF90" s="597">
        <v>0</v>
      </c>
      <c r="AG90" s="666">
        <v>0</v>
      </c>
      <c r="AH90" s="583"/>
      <c r="AJ90" s="583"/>
      <c r="AK90" s="600"/>
      <c r="AL90" s="667"/>
      <c r="AM90" s="668"/>
    </row>
    <row r="91" spans="1:45" ht="12.75" customHeight="1" x14ac:dyDescent="0.2">
      <c r="A91" s="556" t="s">
        <v>206</v>
      </c>
      <c r="B91" s="665">
        <f t="shared" si="15"/>
        <v>0</v>
      </c>
      <c r="C91" s="597">
        <v>0</v>
      </c>
      <c r="D91" s="597">
        <v>0</v>
      </c>
      <c r="E91" s="597">
        <v>0</v>
      </c>
      <c r="F91" s="597">
        <v>0</v>
      </c>
      <c r="G91" s="597">
        <v>0</v>
      </c>
      <c r="H91" s="597">
        <v>0</v>
      </c>
      <c r="I91" s="597">
        <v>0</v>
      </c>
      <c r="J91" s="597">
        <v>0</v>
      </c>
      <c r="K91" s="597">
        <v>0</v>
      </c>
      <c r="L91" s="597">
        <v>0</v>
      </c>
      <c r="M91" s="597">
        <v>0</v>
      </c>
      <c r="N91" s="597">
        <v>0</v>
      </c>
      <c r="O91" s="597">
        <v>0</v>
      </c>
      <c r="P91" s="597">
        <v>0</v>
      </c>
      <c r="Q91" s="597">
        <v>0</v>
      </c>
      <c r="R91" s="597">
        <v>0</v>
      </c>
      <c r="S91" s="597">
        <v>0</v>
      </c>
      <c r="T91" s="597">
        <v>0</v>
      </c>
      <c r="U91" s="597">
        <v>0</v>
      </c>
      <c r="V91" s="597">
        <v>0</v>
      </c>
      <c r="W91" s="597">
        <v>0</v>
      </c>
      <c r="X91" s="597">
        <v>0</v>
      </c>
      <c r="Y91" s="597">
        <v>0</v>
      </c>
      <c r="Z91" s="597">
        <v>0</v>
      </c>
      <c r="AA91" s="597">
        <v>0</v>
      </c>
      <c r="AB91" s="597">
        <v>0</v>
      </c>
      <c r="AC91" s="597">
        <v>0</v>
      </c>
      <c r="AD91" s="597">
        <v>0</v>
      </c>
      <c r="AE91" s="597">
        <v>0</v>
      </c>
      <c r="AF91" s="597">
        <v>0</v>
      </c>
      <c r="AG91" s="666">
        <v>0</v>
      </c>
      <c r="AH91" s="583"/>
      <c r="AJ91" s="583"/>
      <c r="AK91" s="600"/>
      <c r="AL91" s="667"/>
      <c r="AM91" s="668"/>
    </row>
    <row r="92" spans="1:45" ht="12.75" customHeight="1" x14ac:dyDescent="0.2">
      <c r="A92" s="556" t="s">
        <v>207</v>
      </c>
      <c r="B92" s="665">
        <f t="shared" si="15"/>
        <v>0</v>
      </c>
      <c r="C92" s="597">
        <v>0</v>
      </c>
      <c r="D92" s="597">
        <v>0</v>
      </c>
      <c r="E92" s="597">
        <v>0</v>
      </c>
      <c r="F92" s="597">
        <v>0</v>
      </c>
      <c r="G92" s="597">
        <v>0</v>
      </c>
      <c r="H92" s="597">
        <v>0</v>
      </c>
      <c r="I92" s="597">
        <v>0</v>
      </c>
      <c r="J92" s="597">
        <v>0</v>
      </c>
      <c r="K92" s="597">
        <v>0</v>
      </c>
      <c r="L92" s="597">
        <v>0</v>
      </c>
      <c r="M92" s="597">
        <v>0</v>
      </c>
      <c r="N92" s="597">
        <v>0</v>
      </c>
      <c r="O92" s="597">
        <v>0</v>
      </c>
      <c r="P92" s="597">
        <v>0</v>
      </c>
      <c r="Q92" s="597">
        <v>0</v>
      </c>
      <c r="R92" s="597">
        <v>0</v>
      </c>
      <c r="S92" s="597">
        <v>0</v>
      </c>
      <c r="T92" s="597">
        <v>0</v>
      </c>
      <c r="U92" s="597">
        <v>0</v>
      </c>
      <c r="V92" s="597">
        <v>0</v>
      </c>
      <c r="W92" s="597">
        <v>0</v>
      </c>
      <c r="X92" s="597">
        <v>0</v>
      </c>
      <c r="Y92" s="597">
        <v>0</v>
      </c>
      <c r="Z92" s="597">
        <v>0</v>
      </c>
      <c r="AA92" s="597">
        <v>0</v>
      </c>
      <c r="AB92" s="597">
        <v>0</v>
      </c>
      <c r="AC92" s="597">
        <v>0</v>
      </c>
      <c r="AD92" s="597">
        <v>0</v>
      </c>
      <c r="AE92" s="597">
        <v>0</v>
      </c>
      <c r="AF92" s="597">
        <v>0</v>
      </c>
      <c r="AG92" s="666">
        <v>0</v>
      </c>
      <c r="AH92" s="583"/>
      <c r="AJ92" s="583"/>
      <c r="AK92" s="600"/>
      <c r="AL92" s="667"/>
      <c r="AM92" s="668"/>
    </row>
    <row r="93" spans="1:45" ht="12.75" customHeight="1" x14ac:dyDescent="0.2">
      <c r="A93" s="556" t="s">
        <v>208</v>
      </c>
      <c r="B93" s="665">
        <f t="shared" si="15"/>
        <v>0</v>
      </c>
      <c r="C93" s="600">
        <v>0</v>
      </c>
      <c r="D93" s="600">
        <v>0</v>
      </c>
      <c r="E93" s="600">
        <v>0</v>
      </c>
      <c r="F93" s="600">
        <v>0</v>
      </c>
      <c r="G93" s="600">
        <v>0</v>
      </c>
      <c r="H93" s="600">
        <v>0</v>
      </c>
      <c r="I93" s="600">
        <v>0</v>
      </c>
      <c r="J93" s="600">
        <v>0</v>
      </c>
      <c r="K93" s="600">
        <v>0</v>
      </c>
      <c r="L93" s="600">
        <v>0</v>
      </c>
      <c r="M93" s="600">
        <v>0</v>
      </c>
      <c r="N93" s="600">
        <v>0</v>
      </c>
      <c r="O93" s="600">
        <v>0</v>
      </c>
      <c r="P93" s="600">
        <v>0</v>
      </c>
      <c r="Q93" s="600">
        <v>0</v>
      </c>
      <c r="R93" s="600">
        <v>0</v>
      </c>
      <c r="S93" s="600">
        <v>0</v>
      </c>
      <c r="T93" s="600">
        <v>0</v>
      </c>
      <c r="U93" s="600">
        <v>0</v>
      </c>
      <c r="V93" s="600">
        <v>0</v>
      </c>
      <c r="W93" s="600">
        <v>0</v>
      </c>
      <c r="X93" s="600">
        <v>0</v>
      </c>
      <c r="Y93" s="600">
        <v>0</v>
      </c>
      <c r="Z93" s="600">
        <v>0</v>
      </c>
      <c r="AA93" s="600">
        <v>0</v>
      </c>
      <c r="AB93" s="600">
        <v>0</v>
      </c>
      <c r="AC93" s="600">
        <v>0</v>
      </c>
      <c r="AD93" s="600">
        <v>0</v>
      </c>
      <c r="AE93" s="600">
        <v>0</v>
      </c>
      <c r="AF93" s="600">
        <v>0</v>
      </c>
      <c r="AG93" s="666">
        <v>0</v>
      </c>
      <c r="AH93" s="583"/>
      <c r="AJ93" s="583"/>
      <c r="AK93" s="600"/>
      <c r="AL93" s="667"/>
      <c r="AM93" s="668"/>
    </row>
    <row r="94" spans="1:45" ht="12.75" customHeight="1" x14ac:dyDescent="0.2">
      <c r="A94" s="556" t="s">
        <v>209</v>
      </c>
      <c r="B94" s="665">
        <f t="shared" si="15"/>
        <v>0</v>
      </c>
      <c r="C94" s="597">
        <v>0</v>
      </c>
      <c r="D94" s="597">
        <v>0</v>
      </c>
      <c r="E94" s="597">
        <v>0</v>
      </c>
      <c r="F94" s="597">
        <v>0</v>
      </c>
      <c r="G94" s="597">
        <v>0</v>
      </c>
      <c r="H94" s="597">
        <v>0</v>
      </c>
      <c r="I94" s="597">
        <v>0</v>
      </c>
      <c r="J94" s="597">
        <v>0</v>
      </c>
      <c r="K94" s="597">
        <v>0</v>
      </c>
      <c r="L94" s="597">
        <v>0</v>
      </c>
      <c r="M94" s="597">
        <v>0</v>
      </c>
      <c r="N94" s="597">
        <v>0</v>
      </c>
      <c r="O94" s="597">
        <v>0</v>
      </c>
      <c r="P94" s="597">
        <v>0</v>
      </c>
      <c r="Q94" s="597">
        <v>0</v>
      </c>
      <c r="R94" s="597">
        <v>0</v>
      </c>
      <c r="S94" s="597">
        <v>0</v>
      </c>
      <c r="T94" s="597">
        <v>0</v>
      </c>
      <c r="U94" s="597">
        <v>0</v>
      </c>
      <c r="V94" s="597">
        <v>0</v>
      </c>
      <c r="W94" s="597">
        <v>0</v>
      </c>
      <c r="X94" s="597">
        <v>0</v>
      </c>
      <c r="Y94" s="597">
        <v>0</v>
      </c>
      <c r="Z94" s="597">
        <v>0</v>
      </c>
      <c r="AA94" s="597">
        <v>0</v>
      </c>
      <c r="AB94" s="597">
        <v>0</v>
      </c>
      <c r="AC94" s="597">
        <v>0</v>
      </c>
      <c r="AD94" s="597">
        <v>0</v>
      </c>
      <c r="AE94" s="597">
        <v>0</v>
      </c>
      <c r="AF94" s="597">
        <v>0</v>
      </c>
      <c r="AG94" s="666">
        <v>0</v>
      </c>
      <c r="AH94" s="583"/>
      <c r="AJ94" s="583"/>
      <c r="AK94" s="600"/>
      <c r="AL94" s="667"/>
      <c r="AM94" s="668"/>
    </row>
    <row r="95" spans="1:45" ht="12.75" customHeight="1" x14ac:dyDescent="0.2">
      <c r="A95" s="556" t="s">
        <v>210</v>
      </c>
      <c r="B95" s="665">
        <f t="shared" si="15"/>
        <v>0</v>
      </c>
      <c r="C95" s="600">
        <v>0</v>
      </c>
      <c r="D95" s="600">
        <v>0</v>
      </c>
      <c r="E95" s="600">
        <v>0</v>
      </c>
      <c r="F95" s="600">
        <v>0</v>
      </c>
      <c r="G95" s="600">
        <v>0</v>
      </c>
      <c r="H95" s="600">
        <v>0</v>
      </c>
      <c r="I95" s="600">
        <v>0</v>
      </c>
      <c r="J95" s="600">
        <v>0</v>
      </c>
      <c r="K95" s="600">
        <v>0</v>
      </c>
      <c r="L95" s="600">
        <v>0</v>
      </c>
      <c r="M95" s="600">
        <v>0</v>
      </c>
      <c r="N95" s="600">
        <v>0</v>
      </c>
      <c r="O95" s="600">
        <v>0</v>
      </c>
      <c r="P95" s="600">
        <v>0</v>
      </c>
      <c r="Q95" s="600">
        <v>0</v>
      </c>
      <c r="R95" s="600">
        <v>0</v>
      </c>
      <c r="S95" s="600">
        <v>0</v>
      </c>
      <c r="T95" s="600">
        <v>0</v>
      </c>
      <c r="U95" s="600">
        <v>0</v>
      </c>
      <c r="V95" s="600">
        <v>0</v>
      </c>
      <c r="W95" s="600">
        <v>0</v>
      </c>
      <c r="X95" s="600">
        <v>0</v>
      </c>
      <c r="Y95" s="600">
        <v>0</v>
      </c>
      <c r="Z95" s="600">
        <v>0</v>
      </c>
      <c r="AA95" s="600">
        <v>0</v>
      </c>
      <c r="AB95" s="600">
        <v>0</v>
      </c>
      <c r="AC95" s="600">
        <v>0</v>
      </c>
      <c r="AD95" s="600">
        <v>0</v>
      </c>
      <c r="AE95" s="600">
        <v>0</v>
      </c>
      <c r="AF95" s="600">
        <v>0</v>
      </c>
      <c r="AG95" s="666">
        <v>0</v>
      </c>
      <c r="AH95" s="583"/>
      <c r="AJ95" s="583"/>
      <c r="AK95" s="600"/>
      <c r="AL95" s="667"/>
      <c r="AM95" s="668"/>
    </row>
    <row r="96" spans="1:45" ht="12.75" customHeight="1" x14ac:dyDescent="0.2">
      <c r="A96" s="556" t="s">
        <v>211</v>
      </c>
      <c r="B96" s="665">
        <f t="shared" si="15"/>
        <v>0</v>
      </c>
      <c r="C96" s="597">
        <v>0</v>
      </c>
      <c r="D96" s="597">
        <v>0</v>
      </c>
      <c r="E96" s="597">
        <v>0</v>
      </c>
      <c r="F96" s="597">
        <v>0</v>
      </c>
      <c r="G96" s="597">
        <v>0</v>
      </c>
      <c r="H96" s="597">
        <v>0</v>
      </c>
      <c r="I96" s="597">
        <v>0</v>
      </c>
      <c r="J96" s="597">
        <v>0</v>
      </c>
      <c r="K96" s="597">
        <v>0</v>
      </c>
      <c r="L96" s="597">
        <v>0</v>
      </c>
      <c r="M96" s="597">
        <v>0</v>
      </c>
      <c r="N96" s="597">
        <v>0</v>
      </c>
      <c r="O96" s="597">
        <v>0</v>
      </c>
      <c r="P96" s="597">
        <v>0</v>
      </c>
      <c r="Q96" s="597">
        <v>0</v>
      </c>
      <c r="R96" s="597">
        <v>0</v>
      </c>
      <c r="S96" s="597">
        <v>0</v>
      </c>
      <c r="T96" s="597">
        <v>0</v>
      </c>
      <c r="U96" s="597">
        <v>0</v>
      </c>
      <c r="V96" s="597">
        <v>0</v>
      </c>
      <c r="W96" s="597">
        <v>0</v>
      </c>
      <c r="X96" s="597">
        <v>0</v>
      </c>
      <c r="Y96" s="597">
        <v>0</v>
      </c>
      <c r="Z96" s="597">
        <v>0</v>
      </c>
      <c r="AA96" s="597">
        <v>0</v>
      </c>
      <c r="AB96" s="597">
        <v>0</v>
      </c>
      <c r="AC96" s="597">
        <v>0</v>
      </c>
      <c r="AD96" s="597">
        <v>0</v>
      </c>
      <c r="AE96" s="597">
        <v>0</v>
      </c>
      <c r="AF96" s="597">
        <v>0</v>
      </c>
      <c r="AG96" s="666">
        <v>0</v>
      </c>
      <c r="AH96" s="583"/>
      <c r="AJ96" s="583"/>
      <c r="AK96" s="600"/>
      <c r="AL96" s="667"/>
      <c r="AM96" s="668"/>
    </row>
    <row r="97" spans="1:45" ht="12.75" customHeight="1" x14ac:dyDescent="0.2">
      <c r="A97" s="556" t="s">
        <v>212</v>
      </c>
      <c r="B97" s="665">
        <f t="shared" si="15"/>
        <v>0</v>
      </c>
      <c r="C97" s="597">
        <v>0</v>
      </c>
      <c r="D97" s="597">
        <v>0</v>
      </c>
      <c r="E97" s="597">
        <v>0</v>
      </c>
      <c r="F97" s="597">
        <v>0</v>
      </c>
      <c r="G97" s="597">
        <v>0</v>
      </c>
      <c r="H97" s="597">
        <v>0</v>
      </c>
      <c r="I97" s="597">
        <v>0</v>
      </c>
      <c r="J97" s="597">
        <v>0</v>
      </c>
      <c r="K97" s="597">
        <v>0</v>
      </c>
      <c r="L97" s="597">
        <v>0</v>
      </c>
      <c r="M97" s="597">
        <v>0</v>
      </c>
      <c r="N97" s="597">
        <v>0</v>
      </c>
      <c r="O97" s="597">
        <v>0</v>
      </c>
      <c r="P97" s="597">
        <v>0</v>
      </c>
      <c r="Q97" s="597">
        <v>0</v>
      </c>
      <c r="R97" s="597">
        <v>0</v>
      </c>
      <c r="S97" s="597">
        <v>0</v>
      </c>
      <c r="T97" s="597">
        <v>0</v>
      </c>
      <c r="U97" s="597">
        <v>0</v>
      </c>
      <c r="V97" s="597">
        <v>0</v>
      </c>
      <c r="W97" s="597">
        <v>0</v>
      </c>
      <c r="X97" s="597">
        <v>0</v>
      </c>
      <c r="Y97" s="597">
        <v>0</v>
      </c>
      <c r="Z97" s="597">
        <v>0</v>
      </c>
      <c r="AA97" s="597">
        <v>0</v>
      </c>
      <c r="AB97" s="597">
        <v>0</v>
      </c>
      <c r="AC97" s="597">
        <v>0</v>
      </c>
      <c r="AD97" s="597">
        <v>0</v>
      </c>
      <c r="AE97" s="597">
        <v>0</v>
      </c>
      <c r="AF97" s="597">
        <v>0</v>
      </c>
      <c r="AG97" s="666">
        <v>0</v>
      </c>
      <c r="AH97" s="583"/>
      <c r="AJ97" s="583"/>
      <c r="AK97" s="600"/>
      <c r="AL97" s="667"/>
      <c r="AM97" s="668"/>
    </row>
    <row r="98" spans="1:45" ht="12.75" customHeight="1" x14ac:dyDescent="0.2">
      <c r="A98" s="556"/>
      <c r="B98" s="665"/>
      <c r="C98" s="600"/>
      <c r="D98" s="600"/>
      <c r="E98" s="600"/>
      <c r="F98" s="600"/>
      <c r="G98" s="600"/>
      <c r="H98" s="600"/>
      <c r="I98" s="600"/>
      <c r="J98" s="600"/>
      <c r="K98" s="600"/>
      <c r="L98" s="600"/>
      <c r="M98" s="600"/>
      <c r="N98" s="600"/>
      <c r="O98" s="600"/>
      <c r="P98" s="600"/>
      <c r="Q98" s="600"/>
      <c r="R98" s="600"/>
      <c r="S98" s="600"/>
      <c r="T98" s="600"/>
      <c r="U98" s="600"/>
      <c r="V98" s="600"/>
      <c r="W98" s="600"/>
      <c r="X98" s="600"/>
      <c r="Y98" s="600"/>
      <c r="Z98" s="600"/>
      <c r="AA98" s="600"/>
      <c r="AB98" s="600"/>
      <c r="AC98" s="600"/>
      <c r="AD98" s="600"/>
      <c r="AE98" s="600"/>
      <c r="AF98" s="600"/>
      <c r="AG98" s="666"/>
      <c r="AH98" s="583"/>
      <c r="AJ98" s="583"/>
      <c r="AK98" s="600"/>
      <c r="AL98" s="667"/>
      <c r="AM98" s="668"/>
    </row>
    <row r="99" spans="1:45" ht="12.75" customHeight="1" x14ac:dyDescent="0.2">
      <c r="A99" s="556"/>
      <c r="B99" s="665"/>
      <c r="C99" s="600"/>
      <c r="D99" s="600"/>
      <c r="E99" s="600"/>
      <c r="F99" s="600"/>
      <c r="G99" s="600"/>
      <c r="H99" s="600"/>
      <c r="I99" s="600"/>
      <c r="J99" s="600"/>
      <c r="K99" s="600"/>
      <c r="L99" s="600"/>
      <c r="M99" s="600"/>
      <c r="N99" s="600"/>
      <c r="O99" s="600"/>
      <c r="P99" s="600"/>
      <c r="Q99" s="600"/>
      <c r="R99" s="600"/>
      <c r="S99" s="600"/>
      <c r="T99" s="600"/>
      <c r="U99" s="600"/>
      <c r="V99" s="600"/>
      <c r="W99" s="600"/>
      <c r="X99" s="600"/>
      <c r="Y99" s="600"/>
      <c r="Z99" s="600"/>
      <c r="AA99" s="600"/>
      <c r="AB99" s="600"/>
      <c r="AC99" s="600"/>
      <c r="AD99" s="600"/>
      <c r="AE99" s="600"/>
      <c r="AF99" s="600"/>
      <c r="AG99" s="666"/>
      <c r="AH99" s="583"/>
      <c r="AJ99" s="583"/>
      <c r="AK99" s="600"/>
      <c r="AL99" s="667"/>
      <c r="AM99" s="668"/>
    </row>
    <row r="100" spans="1:45" ht="12.75" customHeight="1" x14ac:dyDescent="0.2">
      <c r="A100" s="556"/>
      <c r="B100" s="665"/>
      <c r="C100" s="600"/>
      <c r="D100" s="600"/>
      <c r="E100" s="600"/>
      <c r="F100" s="600"/>
      <c r="G100" s="600"/>
      <c r="H100" s="600"/>
      <c r="I100" s="600"/>
      <c r="J100" s="600"/>
      <c r="K100" s="600"/>
      <c r="L100" s="600"/>
      <c r="M100" s="600"/>
      <c r="N100" s="600"/>
      <c r="O100" s="600"/>
      <c r="P100" s="600"/>
      <c r="Q100" s="600"/>
      <c r="R100" s="600"/>
      <c r="S100" s="600"/>
      <c r="T100" s="600"/>
      <c r="U100" s="600"/>
      <c r="V100" s="600"/>
      <c r="W100" s="600"/>
      <c r="X100" s="600"/>
      <c r="Y100" s="600"/>
      <c r="Z100" s="600"/>
      <c r="AA100" s="600"/>
      <c r="AB100" s="600"/>
      <c r="AC100" s="600"/>
      <c r="AD100" s="600"/>
      <c r="AE100" s="600"/>
      <c r="AF100" s="600"/>
      <c r="AG100" s="666"/>
      <c r="AH100" s="583"/>
      <c r="AJ100" s="583"/>
      <c r="AK100" s="600"/>
      <c r="AL100" s="667"/>
      <c r="AM100" s="668"/>
    </row>
    <row r="101" spans="1:45" ht="12.75" customHeight="1" thickBot="1" x14ac:dyDescent="0.25">
      <c r="A101" s="556"/>
      <c r="B101" s="665"/>
      <c r="C101" s="600"/>
      <c r="D101" s="600"/>
      <c r="E101" s="600"/>
      <c r="F101" s="600"/>
      <c r="G101" s="600"/>
      <c r="H101" s="600"/>
      <c r="I101" s="600"/>
      <c r="J101" s="600"/>
      <c r="K101" s="600"/>
      <c r="L101" s="600"/>
      <c r="M101" s="600"/>
      <c r="N101" s="600"/>
      <c r="O101" s="600"/>
      <c r="P101" s="600"/>
      <c r="Q101" s="600"/>
      <c r="R101" s="600"/>
      <c r="S101" s="600"/>
      <c r="T101" s="600"/>
      <c r="U101" s="600"/>
      <c r="V101" s="600"/>
      <c r="W101" s="600"/>
      <c r="X101" s="600"/>
      <c r="Y101" s="600"/>
      <c r="Z101" s="600"/>
      <c r="AA101" s="600"/>
      <c r="AB101" s="600"/>
      <c r="AC101" s="600"/>
      <c r="AD101" s="600"/>
      <c r="AE101" s="600"/>
      <c r="AF101" s="600"/>
      <c r="AG101" s="666"/>
      <c r="AH101" s="583"/>
      <c r="AJ101" s="583"/>
      <c r="AK101" s="600"/>
      <c r="AL101" s="667"/>
      <c r="AM101" s="668"/>
    </row>
    <row r="102" spans="1:45" ht="12.75" customHeight="1" x14ac:dyDescent="0.2">
      <c r="A102" s="687" t="s">
        <v>213</v>
      </c>
      <c r="B102" s="678">
        <f>SUM(B87:B101)</f>
        <v>0</v>
      </c>
      <c r="C102" s="688"/>
      <c r="D102" s="688"/>
      <c r="E102" s="688"/>
      <c r="F102" s="688"/>
      <c r="G102" s="688"/>
      <c r="H102" s="688"/>
      <c r="I102" s="688"/>
      <c r="J102" s="688"/>
      <c r="K102" s="688"/>
      <c r="L102" s="688"/>
      <c r="M102" s="688"/>
      <c r="N102" s="688"/>
      <c r="O102" s="688"/>
      <c r="P102" s="688"/>
      <c r="Q102" s="688"/>
      <c r="R102" s="688"/>
      <c r="S102" s="688"/>
      <c r="T102" s="688"/>
      <c r="U102" s="688"/>
      <c r="V102" s="688"/>
      <c r="W102" s="688"/>
      <c r="X102" s="688"/>
      <c r="Y102" s="688"/>
      <c r="Z102" s="688"/>
      <c r="AA102" s="688"/>
      <c r="AB102" s="688"/>
      <c r="AC102" s="688"/>
      <c r="AD102" s="688"/>
      <c r="AE102" s="688"/>
      <c r="AF102" s="688"/>
      <c r="AG102" s="689"/>
      <c r="AH102" s="583"/>
      <c r="AJ102" s="583"/>
      <c r="AK102" s="600"/>
      <c r="AL102" s="667"/>
      <c r="AM102" s="668"/>
    </row>
    <row r="103" spans="1:45" ht="12.75" customHeight="1" x14ac:dyDescent="0.2">
      <c r="A103" s="583"/>
      <c r="B103" s="682"/>
      <c r="C103" s="600"/>
      <c r="D103" s="600"/>
      <c r="E103" s="600"/>
      <c r="F103" s="600"/>
      <c r="G103" s="600"/>
      <c r="H103" s="600"/>
      <c r="I103" s="600"/>
      <c r="J103" s="600"/>
      <c r="K103" s="600"/>
      <c r="L103" s="600"/>
      <c r="M103" s="600"/>
      <c r="N103" s="600"/>
      <c r="O103" s="600"/>
      <c r="P103" s="600"/>
      <c r="Q103" s="600"/>
      <c r="R103" s="600"/>
      <c r="S103" s="600"/>
      <c r="T103" s="600"/>
      <c r="U103" s="600"/>
      <c r="V103" s="600"/>
      <c r="W103" s="600"/>
      <c r="X103" s="600"/>
      <c r="Y103" s="600"/>
      <c r="Z103" s="600"/>
      <c r="AA103" s="600"/>
      <c r="AB103" s="600"/>
      <c r="AC103" s="600"/>
      <c r="AD103" s="600"/>
      <c r="AE103" s="600"/>
      <c r="AF103" s="600"/>
      <c r="AG103" s="597"/>
      <c r="AH103" s="583"/>
      <c r="AJ103" s="583"/>
      <c r="AK103" s="600"/>
      <c r="AL103" s="667"/>
      <c r="AM103" s="668"/>
    </row>
    <row r="104" spans="1:45" ht="12.75" customHeight="1" x14ac:dyDescent="0.2">
      <c r="A104" s="645"/>
      <c r="B104" s="646" t="s">
        <v>161</v>
      </c>
      <c r="C104" s="647">
        <f t="shared" ref="C104:R104" si="16">SUM(C108:C117)</f>
        <v>0</v>
      </c>
      <c r="D104" s="647">
        <f t="shared" si="16"/>
        <v>0</v>
      </c>
      <c r="E104" s="647">
        <f t="shared" si="16"/>
        <v>0</v>
      </c>
      <c r="F104" s="647">
        <f t="shared" si="16"/>
        <v>0</v>
      </c>
      <c r="G104" s="647">
        <f t="shared" si="16"/>
        <v>0</v>
      </c>
      <c r="H104" s="647">
        <f t="shared" si="16"/>
        <v>0</v>
      </c>
      <c r="I104" s="647">
        <f t="shared" si="16"/>
        <v>0</v>
      </c>
      <c r="J104" s="647">
        <f t="shared" si="16"/>
        <v>0</v>
      </c>
      <c r="K104" s="647">
        <f t="shared" si="16"/>
        <v>0</v>
      </c>
      <c r="L104" s="647">
        <f t="shared" si="16"/>
        <v>0</v>
      </c>
      <c r="M104" s="647">
        <f t="shared" si="16"/>
        <v>0</v>
      </c>
      <c r="N104" s="647">
        <f t="shared" si="16"/>
        <v>0</v>
      </c>
      <c r="O104" s="647">
        <f t="shared" si="16"/>
        <v>0</v>
      </c>
      <c r="P104" s="647">
        <f t="shared" si="16"/>
        <v>0</v>
      </c>
      <c r="Q104" s="647">
        <f t="shared" si="16"/>
        <v>0</v>
      </c>
      <c r="R104" s="647">
        <f t="shared" si="16"/>
        <v>0</v>
      </c>
      <c r="S104" s="647">
        <f t="shared" ref="S104:AG104" si="17">SUM(S108:S117)</f>
        <v>0</v>
      </c>
      <c r="T104" s="647">
        <f t="shared" si="17"/>
        <v>0</v>
      </c>
      <c r="U104" s="647">
        <f t="shared" si="17"/>
        <v>0</v>
      </c>
      <c r="V104" s="647">
        <f t="shared" si="17"/>
        <v>0</v>
      </c>
      <c r="W104" s="647">
        <f t="shared" si="17"/>
        <v>0</v>
      </c>
      <c r="X104" s="647">
        <f t="shared" si="17"/>
        <v>0</v>
      </c>
      <c r="Y104" s="647">
        <f t="shared" si="17"/>
        <v>0</v>
      </c>
      <c r="Z104" s="647">
        <f t="shared" si="17"/>
        <v>0</v>
      </c>
      <c r="AA104" s="647">
        <f t="shared" si="17"/>
        <v>0</v>
      </c>
      <c r="AB104" s="647">
        <f t="shared" si="17"/>
        <v>0</v>
      </c>
      <c r="AC104" s="647">
        <f t="shared" si="17"/>
        <v>0</v>
      </c>
      <c r="AD104" s="647">
        <f t="shared" si="17"/>
        <v>0</v>
      </c>
      <c r="AE104" s="647">
        <f t="shared" si="17"/>
        <v>0</v>
      </c>
      <c r="AF104" s="647">
        <f t="shared" si="17"/>
        <v>0</v>
      </c>
      <c r="AG104" s="647">
        <f t="shared" si="17"/>
        <v>0</v>
      </c>
      <c r="AH104" s="287"/>
      <c r="AI104" s="683"/>
      <c r="AJ104" s="684"/>
      <c r="AK104" s="287"/>
      <c r="AL104" s="602"/>
      <c r="AN104" s="287"/>
      <c r="AO104" s="287"/>
      <c r="AP104" s="287"/>
      <c r="AQ104" s="287"/>
      <c r="AR104" s="287"/>
      <c r="AS104" s="287"/>
    </row>
    <row r="105" spans="1:45" s="653" customFormat="1" ht="12.75" customHeight="1" x14ac:dyDescent="0.25">
      <c r="A105" s="650" t="s">
        <v>214</v>
      </c>
      <c r="B105" s="651">
        <f t="shared" ref="B105:AG105" si="18">B44</f>
        <v>36831</v>
      </c>
      <c r="C105" s="652">
        <f t="shared" si="18"/>
        <v>36831</v>
      </c>
      <c r="D105" s="652">
        <f t="shared" si="18"/>
        <v>36832</v>
      </c>
      <c r="E105" s="652">
        <f t="shared" si="18"/>
        <v>36833</v>
      </c>
      <c r="F105" s="652">
        <f t="shared" si="18"/>
        <v>36834</v>
      </c>
      <c r="G105" s="652">
        <f t="shared" si="18"/>
        <v>36835</v>
      </c>
      <c r="H105" s="652">
        <f t="shared" si="18"/>
        <v>36836</v>
      </c>
      <c r="I105" s="652">
        <f t="shared" si="18"/>
        <v>36837</v>
      </c>
      <c r="J105" s="652">
        <f t="shared" si="18"/>
        <v>36838</v>
      </c>
      <c r="K105" s="652">
        <f t="shared" si="18"/>
        <v>36839</v>
      </c>
      <c r="L105" s="652">
        <f t="shared" si="18"/>
        <v>36840</v>
      </c>
      <c r="M105" s="652">
        <f t="shared" si="18"/>
        <v>36841</v>
      </c>
      <c r="N105" s="652">
        <f t="shared" si="18"/>
        <v>36842</v>
      </c>
      <c r="O105" s="652">
        <f t="shared" si="18"/>
        <v>36843</v>
      </c>
      <c r="P105" s="652">
        <f t="shared" si="18"/>
        <v>36844</v>
      </c>
      <c r="Q105" s="652">
        <f t="shared" si="18"/>
        <v>36845</v>
      </c>
      <c r="R105" s="652">
        <f t="shared" si="18"/>
        <v>36846</v>
      </c>
      <c r="S105" s="652">
        <f t="shared" si="18"/>
        <v>36847</v>
      </c>
      <c r="T105" s="652">
        <f t="shared" si="18"/>
        <v>36848</v>
      </c>
      <c r="U105" s="652">
        <f t="shared" si="18"/>
        <v>36849</v>
      </c>
      <c r="V105" s="652">
        <f t="shared" si="18"/>
        <v>36850</v>
      </c>
      <c r="W105" s="652">
        <f t="shared" si="18"/>
        <v>36851</v>
      </c>
      <c r="X105" s="652">
        <f t="shared" si="18"/>
        <v>36852</v>
      </c>
      <c r="Y105" s="652">
        <f t="shared" si="18"/>
        <v>36853</v>
      </c>
      <c r="Z105" s="652">
        <f t="shared" si="18"/>
        <v>36854</v>
      </c>
      <c r="AA105" s="652">
        <f t="shared" si="18"/>
        <v>36855</v>
      </c>
      <c r="AB105" s="652">
        <f t="shared" si="18"/>
        <v>36856</v>
      </c>
      <c r="AC105" s="652">
        <f t="shared" si="18"/>
        <v>36857</v>
      </c>
      <c r="AD105" s="652">
        <f t="shared" si="18"/>
        <v>36858</v>
      </c>
      <c r="AE105" s="652">
        <f t="shared" si="18"/>
        <v>36859</v>
      </c>
      <c r="AF105" s="652">
        <f t="shared" si="18"/>
        <v>36860</v>
      </c>
      <c r="AG105" s="652">
        <f t="shared" si="18"/>
        <v>36861</v>
      </c>
      <c r="AI105" s="683"/>
      <c r="AJ105" s="685"/>
      <c r="AL105" s="656"/>
    </row>
    <row r="106" spans="1:45" ht="12.75" customHeight="1" x14ac:dyDescent="0.25">
      <c r="A106" s="657"/>
      <c r="B106" s="657"/>
      <c r="C106" s="658" t="str">
        <f t="shared" ref="C106:AG106" si="19">C45</f>
        <v>W</v>
      </c>
      <c r="D106" s="658" t="str">
        <f t="shared" si="19"/>
        <v>R</v>
      </c>
      <c r="E106" s="658" t="str">
        <f t="shared" si="19"/>
        <v>F</v>
      </c>
      <c r="F106" s="658" t="str">
        <f t="shared" si="19"/>
        <v>S</v>
      </c>
      <c r="G106" s="658" t="str">
        <f t="shared" si="19"/>
        <v>S</v>
      </c>
      <c r="H106" s="658" t="str">
        <f t="shared" si="19"/>
        <v>M</v>
      </c>
      <c r="I106" s="658" t="str">
        <f t="shared" si="19"/>
        <v>T</v>
      </c>
      <c r="J106" s="658" t="str">
        <f t="shared" si="19"/>
        <v>W</v>
      </c>
      <c r="K106" s="658" t="str">
        <f t="shared" si="19"/>
        <v>R</v>
      </c>
      <c r="L106" s="658" t="str">
        <f t="shared" si="19"/>
        <v>F</v>
      </c>
      <c r="M106" s="658" t="str">
        <f t="shared" si="19"/>
        <v>S</v>
      </c>
      <c r="N106" s="658" t="str">
        <f t="shared" si="19"/>
        <v>S</v>
      </c>
      <c r="O106" s="658" t="str">
        <f t="shared" si="19"/>
        <v>M</v>
      </c>
      <c r="P106" s="658" t="str">
        <f t="shared" si="19"/>
        <v>T</v>
      </c>
      <c r="Q106" s="658" t="str">
        <f t="shared" si="19"/>
        <v>W</v>
      </c>
      <c r="R106" s="658" t="str">
        <f t="shared" si="19"/>
        <v>R</v>
      </c>
      <c r="S106" s="658" t="str">
        <f t="shared" si="19"/>
        <v>F</v>
      </c>
      <c r="T106" s="658" t="str">
        <f t="shared" si="19"/>
        <v>S</v>
      </c>
      <c r="U106" s="658" t="str">
        <f t="shared" si="19"/>
        <v>S</v>
      </c>
      <c r="V106" s="658" t="str">
        <f t="shared" si="19"/>
        <v>M</v>
      </c>
      <c r="W106" s="658" t="str">
        <f t="shared" si="19"/>
        <v>T</v>
      </c>
      <c r="X106" s="658" t="str">
        <f t="shared" si="19"/>
        <v>W</v>
      </c>
      <c r="Y106" s="658" t="str">
        <f t="shared" si="19"/>
        <v>R</v>
      </c>
      <c r="Z106" s="658" t="str">
        <f t="shared" si="19"/>
        <v>F</v>
      </c>
      <c r="AA106" s="658" t="str">
        <f t="shared" si="19"/>
        <v>S</v>
      </c>
      <c r="AB106" s="658" t="str">
        <f t="shared" si="19"/>
        <v>S</v>
      </c>
      <c r="AC106" s="658" t="str">
        <f t="shared" si="19"/>
        <v>M</v>
      </c>
      <c r="AD106" s="658" t="str">
        <f t="shared" si="19"/>
        <v>T</v>
      </c>
      <c r="AE106" s="658" t="str">
        <f t="shared" si="19"/>
        <v>W</v>
      </c>
      <c r="AF106" s="658" t="str">
        <f t="shared" si="19"/>
        <v>R</v>
      </c>
      <c r="AG106" s="658" t="str">
        <f t="shared" si="19"/>
        <v>F</v>
      </c>
      <c r="AH106" s="287"/>
      <c r="AI106" s="683"/>
      <c r="AJ106" s="684"/>
      <c r="AK106" s="287"/>
      <c r="AL106" s="583"/>
      <c r="AN106" s="287"/>
      <c r="AO106" s="287"/>
      <c r="AP106" s="287"/>
      <c r="AQ106" s="287"/>
      <c r="AR106" s="287"/>
      <c r="AS106" s="287"/>
    </row>
    <row r="107" spans="1:45" ht="12.75" customHeight="1" thickBot="1" x14ac:dyDescent="0.3">
      <c r="A107" s="661"/>
      <c r="B107" s="662" t="s">
        <v>167</v>
      </c>
      <c r="C107" s="663"/>
      <c r="D107" s="663"/>
      <c r="E107" s="663"/>
      <c r="F107" s="663"/>
      <c r="G107" s="663"/>
      <c r="H107" s="663"/>
      <c r="I107" s="663"/>
      <c r="J107" s="663"/>
      <c r="K107" s="663"/>
      <c r="L107" s="663"/>
      <c r="M107" s="663"/>
      <c r="N107" s="663"/>
      <c r="O107" s="663"/>
      <c r="P107" s="663"/>
      <c r="Q107" s="663"/>
      <c r="R107" s="663"/>
      <c r="S107" s="663"/>
      <c r="T107" s="663"/>
      <c r="U107" s="663"/>
      <c r="V107" s="663"/>
      <c r="W107" s="663"/>
      <c r="X107" s="663"/>
      <c r="Y107" s="663"/>
      <c r="Z107" s="663"/>
      <c r="AA107" s="663"/>
      <c r="AB107" s="663"/>
      <c r="AC107" s="663"/>
      <c r="AD107" s="663"/>
      <c r="AE107" s="663"/>
      <c r="AF107" s="663"/>
      <c r="AG107" s="664"/>
      <c r="AH107" s="583"/>
      <c r="AI107" s="672"/>
      <c r="AJ107" s="686"/>
      <c r="AK107" s="600"/>
      <c r="AL107" s="667"/>
      <c r="AM107" s="668"/>
    </row>
    <row r="108" spans="1:45" ht="12.75" customHeight="1" thickTop="1" x14ac:dyDescent="0.2">
      <c r="A108" s="556" t="s">
        <v>205</v>
      </c>
      <c r="B108" s="665">
        <f t="shared" ref="B108:B113" si="20">SUM(C108:AG108)</f>
        <v>0</v>
      </c>
      <c r="C108" s="600">
        <v>0</v>
      </c>
      <c r="D108" s="600">
        <v>0</v>
      </c>
      <c r="E108" s="600">
        <v>0</v>
      </c>
      <c r="F108" s="600">
        <v>0</v>
      </c>
      <c r="G108" s="600">
        <v>0</v>
      </c>
      <c r="H108" s="600">
        <v>0</v>
      </c>
      <c r="I108" s="600">
        <v>0</v>
      </c>
      <c r="J108" s="600">
        <v>0</v>
      </c>
      <c r="K108" s="600">
        <v>0</v>
      </c>
      <c r="L108" s="600">
        <v>0</v>
      </c>
      <c r="M108" s="600">
        <v>0</v>
      </c>
      <c r="N108" s="600">
        <v>0</v>
      </c>
      <c r="O108" s="600">
        <v>0</v>
      </c>
      <c r="P108" s="600">
        <v>0</v>
      </c>
      <c r="Q108" s="600">
        <v>0</v>
      </c>
      <c r="R108" s="600">
        <v>0</v>
      </c>
      <c r="S108" s="600">
        <v>0</v>
      </c>
      <c r="T108" s="600">
        <v>0</v>
      </c>
      <c r="U108" s="600">
        <v>0</v>
      </c>
      <c r="V108" s="600">
        <v>0</v>
      </c>
      <c r="W108" s="600">
        <v>0</v>
      </c>
      <c r="X108" s="600">
        <v>0</v>
      </c>
      <c r="Y108" s="600">
        <v>0</v>
      </c>
      <c r="Z108" s="600">
        <v>0</v>
      </c>
      <c r="AA108" s="600">
        <v>0</v>
      </c>
      <c r="AB108" s="600">
        <v>0</v>
      </c>
      <c r="AC108" s="600">
        <v>0</v>
      </c>
      <c r="AD108" s="600">
        <v>0</v>
      </c>
      <c r="AE108" s="600">
        <v>0</v>
      </c>
      <c r="AF108" s="600">
        <v>0</v>
      </c>
      <c r="AG108" s="666">
        <v>0</v>
      </c>
      <c r="AH108" s="583"/>
      <c r="AJ108" s="583"/>
      <c r="AK108" s="600"/>
      <c r="AL108" s="667"/>
      <c r="AM108" s="668"/>
    </row>
    <row r="109" spans="1:45" ht="12.75" customHeight="1" x14ac:dyDescent="0.2">
      <c r="A109" s="556" t="s">
        <v>207</v>
      </c>
      <c r="B109" s="665">
        <f t="shared" si="20"/>
        <v>0</v>
      </c>
      <c r="C109" s="600">
        <v>0</v>
      </c>
      <c r="D109" s="600">
        <v>0</v>
      </c>
      <c r="E109" s="600">
        <v>0</v>
      </c>
      <c r="F109" s="600">
        <v>0</v>
      </c>
      <c r="G109" s="600">
        <v>0</v>
      </c>
      <c r="H109" s="600">
        <v>0</v>
      </c>
      <c r="I109" s="600">
        <v>0</v>
      </c>
      <c r="J109" s="600">
        <v>0</v>
      </c>
      <c r="K109" s="600">
        <v>0</v>
      </c>
      <c r="L109" s="600">
        <v>0</v>
      </c>
      <c r="M109" s="600">
        <v>0</v>
      </c>
      <c r="N109" s="600">
        <v>0</v>
      </c>
      <c r="O109" s="600">
        <v>0</v>
      </c>
      <c r="P109" s="600">
        <v>0</v>
      </c>
      <c r="Q109" s="600">
        <v>0</v>
      </c>
      <c r="R109" s="600">
        <v>0</v>
      </c>
      <c r="S109" s="600">
        <v>0</v>
      </c>
      <c r="T109" s="600">
        <v>0</v>
      </c>
      <c r="U109" s="600">
        <v>0</v>
      </c>
      <c r="V109" s="600">
        <v>0</v>
      </c>
      <c r="W109" s="600">
        <v>0</v>
      </c>
      <c r="X109" s="600">
        <v>0</v>
      </c>
      <c r="Y109" s="600">
        <v>0</v>
      </c>
      <c r="Z109" s="600">
        <v>0</v>
      </c>
      <c r="AA109" s="600">
        <v>0</v>
      </c>
      <c r="AB109" s="600">
        <v>0</v>
      </c>
      <c r="AC109" s="600">
        <v>0</v>
      </c>
      <c r="AD109" s="600">
        <v>0</v>
      </c>
      <c r="AE109" s="600">
        <v>0</v>
      </c>
      <c r="AF109" s="600">
        <v>0</v>
      </c>
      <c r="AG109" s="666">
        <v>0</v>
      </c>
      <c r="AH109" s="583"/>
      <c r="AJ109" s="583"/>
      <c r="AK109" s="600"/>
      <c r="AL109" s="667"/>
      <c r="AM109" s="668"/>
    </row>
    <row r="110" spans="1:45" ht="12.75" customHeight="1" x14ac:dyDescent="0.2">
      <c r="A110" s="556" t="s">
        <v>208</v>
      </c>
      <c r="B110" s="665">
        <f t="shared" si="20"/>
        <v>0</v>
      </c>
      <c r="C110" s="600">
        <v>0</v>
      </c>
      <c r="D110" s="600">
        <v>0</v>
      </c>
      <c r="E110" s="600">
        <v>0</v>
      </c>
      <c r="F110" s="600">
        <v>0</v>
      </c>
      <c r="G110" s="600">
        <v>0</v>
      </c>
      <c r="H110" s="600">
        <v>0</v>
      </c>
      <c r="I110" s="600">
        <v>0</v>
      </c>
      <c r="J110" s="600">
        <v>0</v>
      </c>
      <c r="K110" s="600">
        <v>0</v>
      </c>
      <c r="L110" s="600">
        <v>0</v>
      </c>
      <c r="M110" s="600">
        <v>0</v>
      </c>
      <c r="N110" s="600">
        <v>0</v>
      </c>
      <c r="O110" s="600">
        <v>0</v>
      </c>
      <c r="P110" s="600">
        <v>0</v>
      </c>
      <c r="Q110" s="600">
        <v>0</v>
      </c>
      <c r="R110" s="600">
        <v>0</v>
      </c>
      <c r="S110" s="600">
        <v>0</v>
      </c>
      <c r="T110" s="600">
        <v>0</v>
      </c>
      <c r="U110" s="600">
        <v>0</v>
      </c>
      <c r="V110" s="600">
        <v>0</v>
      </c>
      <c r="W110" s="600">
        <v>0</v>
      </c>
      <c r="X110" s="600">
        <v>0</v>
      </c>
      <c r="Y110" s="600">
        <v>0</v>
      </c>
      <c r="Z110" s="600">
        <v>0</v>
      </c>
      <c r="AA110" s="600">
        <v>0</v>
      </c>
      <c r="AB110" s="600">
        <v>0</v>
      </c>
      <c r="AC110" s="600">
        <v>0</v>
      </c>
      <c r="AD110" s="600">
        <v>0</v>
      </c>
      <c r="AE110" s="600">
        <v>0</v>
      </c>
      <c r="AF110" s="600">
        <v>0</v>
      </c>
      <c r="AG110" s="666">
        <v>0</v>
      </c>
      <c r="AH110" s="583"/>
      <c r="AJ110" s="583"/>
      <c r="AK110" s="600"/>
      <c r="AL110" s="667"/>
      <c r="AM110" s="668"/>
    </row>
    <row r="111" spans="1:45" ht="12.75" customHeight="1" x14ac:dyDescent="0.2">
      <c r="A111" s="556" t="s">
        <v>209</v>
      </c>
      <c r="B111" s="665">
        <f t="shared" si="20"/>
        <v>0</v>
      </c>
      <c r="C111" s="600">
        <v>0</v>
      </c>
      <c r="D111" s="600">
        <v>0</v>
      </c>
      <c r="E111" s="600">
        <v>0</v>
      </c>
      <c r="F111" s="600">
        <v>0</v>
      </c>
      <c r="G111" s="600">
        <v>0</v>
      </c>
      <c r="H111" s="600">
        <v>0</v>
      </c>
      <c r="I111" s="600">
        <v>0</v>
      </c>
      <c r="J111" s="600">
        <v>0</v>
      </c>
      <c r="K111" s="600">
        <v>0</v>
      </c>
      <c r="L111" s="600">
        <v>0</v>
      </c>
      <c r="M111" s="600">
        <v>0</v>
      </c>
      <c r="N111" s="600">
        <v>0</v>
      </c>
      <c r="O111" s="600">
        <v>0</v>
      </c>
      <c r="P111" s="600">
        <v>0</v>
      </c>
      <c r="Q111" s="600">
        <v>0</v>
      </c>
      <c r="R111" s="600">
        <v>0</v>
      </c>
      <c r="S111" s="600">
        <v>0</v>
      </c>
      <c r="T111" s="600">
        <v>0</v>
      </c>
      <c r="U111" s="600">
        <v>0</v>
      </c>
      <c r="V111" s="600">
        <v>0</v>
      </c>
      <c r="W111" s="600">
        <v>0</v>
      </c>
      <c r="X111" s="600">
        <v>0</v>
      </c>
      <c r="Y111" s="600">
        <v>0</v>
      </c>
      <c r="Z111" s="600">
        <v>0</v>
      </c>
      <c r="AA111" s="600">
        <v>0</v>
      </c>
      <c r="AB111" s="600">
        <v>0</v>
      </c>
      <c r="AC111" s="600">
        <v>0</v>
      </c>
      <c r="AD111" s="600">
        <v>0</v>
      </c>
      <c r="AE111" s="600">
        <v>0</v>
      </c>
      <c r="AF111" s="600">
        <v>0</v>
      </c>
      <c r="AG111" s="666">
        <v>0</v>
      </c>
      <c r="AH111" s="583"/>
      <c r="AJ111" s="583"/>
      <c r="AK111" s="600"/>
      <c r="AL111" s="667"/>
      <c r="AM111" s="668"/>
    </row>
    <row r="112" spans="1:45" ht="12.75" customHeight="1" x14ac:dyDescent="0.2">
      <c r="A112" s="556" t="s">
        <v>210</v>
      </c>
      <c r="B112" s="665">
        <f t="shared" si="20"/>
        <v>0</v>
      </c>
      <c r="C112" s="600">
        <v>0</v>
      </c>
      <c r="D112" s="600">
        <v>0</v>
      </c>
      <c r="E112" s="600">
        <v>0</v>
      </c>
      <c r="F112" s="600">
        <v>0</v>
      </c>
      <c r="G112" s="600">
        <v>0</v>
      </c>
      <c r="H112" s="600">
        <v>0</v>
      </c>
      <c r="I112" s="600">
        <v>0</v>
      </c>
      <c r="J112" s="600">
        <v>0</v>
      </c>
      <c r="K112" s="600">
        <v>0</v>
      </c>
      <c r="L112" s="600">
        <v>0</v>
      </c>
      <c r="M112" s="600">
        <v>0</v>
      </c>
      <c r="N112" s="600">
        <v>0</v>
      </c>
      <c r="O112" s="600">
        <v>0</v>
      </c>
      <c r="P112" s="600">
        <v>0</v>
      </c>
      <c r="Q112" s="600">
        <v>0</v>
      </c>
      <c r="R112" s="600">
        <v>0</v>
      </c>
      <c r="S112" s="600">
        <v>0</v>
      </c>
      <c r="T112" s="600">
        <v>0</v>
      </c>
      <c r="U112" s="600">
        <v>0</v>
      </c>
      <c r="V112" s="600">
        <v>0</v>
      </c>
      <c r="W112" s="600">
        <v>0</v>
      </c>
      <c r="X112" s="600">
        <v>0</v>
      </c>
      <c r="Y112" s="600">
        <v>0</v>
      </c>
      <c r="Z112" s="600">
        <v>0</v>
      </c>
      <c r="AA112" s="600">
        <v>0</v>
      </c>
      <c r="AB112" s="600">
        <v>0</v>
      </c>
      <c r="AC112" s="600">
        <v>0</v>
      </c>
      <c r="AD112" s="600">
        <v>0</v>
      </c>
      <c r="AE112" s="600">
        <v>0</v>
      </c>
      <c r="AF112" s="600">
        <v>0</v>
      </c>
      <c r="AG112" s="666">
        <v>0</v>
      </c>
      <c r="AH112" s="583"/>
      <c r="AJ112" s="583"/>
      <c r="AK112" s="600"/>
      <c r="AL112" s="667"/>
      <c r="AM112" s="668"/>
    </row>
    <row r="113" spans="1:39" ht="12.75" customHeight="1" x14ac:dyDescent="0.2">
      <c r="A113" s="556" t="s">
        <v>212</v>
      </c>
      <c r="B113" s="665">
        <f t="shared" si="20"/>
        <v>0</v>
      </c>
      <c r="C113" s="600">
        <v>0</v>
      </c>
      <c r="D113" s="600">
        <v>0</v>
      </c>
      <c r="E113" s="600">
        <v>0</v>
      </c>
      <c r="F113" s="600">
        <v>0</v>
      </c>
      <c r="G113" s="600">
        <v>0</v>
      </c>
      <c r="H113" s="600">
        <v>0</v>
      </c>
      <c r="I113" s="600">
        <v>0</v>
      </c>
      <c r="J113" s="600">
        <v>0</v>
      </c>
      <c r="K113" s="600">
        <v>0</v>
      </c>
      <c r="L113" s="600">
        <v>0</v>
      </c>
      <c r="M113" s="600">
        <v>0</v>
      </c>
      <c r="N113" s="600">
        <v>0</v>
      </c>
      <c r="O113" s="600">
        <v>0</v>
      </c>
      <c r="P113" s="600">
        <v>0</v>
      </c>
      <c r="Q113" s="600">
        <v>0</v>
      </c>
      <c r="R113" s="600">
        <v>0</v>
      </c>
      <c r="S113" s="600">
        <v>0</v>
      </c>
      <c r="T113" s="600">
        <v>0</v>
      </c>
      <c r="U113" s="600">
        <v>0</v>
      </c>
      <c r="V113" s="600">
        <v>0</v>
      </c>
      <c r="W113" s="600">
        <v>0</v>
      </c>
      <c r="X113" s="600">
        <v>0</v>
      </c>
      <c r="Y113" s="600">
        <v>0</v>
      </c>
      <c r="Z113" s="600">
        <v>0</v>
      </c>
      <c r="AA113" s="600">
        <v>0</v>
      </c>
      <c r="AB113" s="600">
        <v>0</v>
      </c>
      <c r="AC113" s="600">
        <v>0</v>
      </c>
      <c r="AD113" s="600">
        <v>0</v>
      </c>
      <c r="AE113" s="600">
        <v>0</v>
      </c>
      <c r="AF113" s="600">
        <v>0</v>
      </c>
      <c r="AG113" s="666">
        <v>0</v>
      </c>
      <c r="AH113" s="583"/>
      <c r="AJ113" s="583"/>
      <c r="AK113" s="600"/>
      <c r="AL113" s="667"/>
      <c r="AM113" s="668"/>
    </row>
    <row r="114" spans="1:39" ht="12.75" customHeight="1" x14ac:dyDescent="0.2">
      <c r="A114" s="556"/>
      <c r="B114" s="665"/>
      <c r="C114" s="600"/>
      <c r="D114" s="600"/>
      <c r="E114" s="600"/>
      <c r="F114" s="600"/>
      <c r="G114" s="600"/>
      <c r="H114" s="600"/>
      <c r="I114" s="600"/>
      <c r="J114" s="600"/>
      <c r="K114" s="600"/>
      <c r="L114" s="600"/>
      <c r="M114" s="600"/>
      <c r="N114" s="600"/>
      <c r="O114" s="600"/>
      <c r="P114" s="600"/>
      <c r="Q114" s="600"/>
      <c r="R114" s="600"/>
      <c r="S114" s="600"/>
      <c r="T114" s="600"/>
      <c r="U114" s="600"/>
      <c r="V114" s="600"/>
      <c r="W114" s="600"/>
      <c r="X114" s="600"/>
      <c r="Y114" s="600"/>
      <c r="Z114" s="600"/>
      <c r="AA114" s="600"/>
      <c r="AB114" s="600"/>
      <c r="AC114" s="600"/>
      <c r="AD114" s="600"/>
      <c r="AE114" s="600"/>
      <c r="AF114" s="600"/>
      <c r="AG114" s="666"/>
      <c r="AH114" s="583"/>
      <c r="AJ114" s="583"/>
      <c r="AK114" s="600"/>
      <c r="AL114" s="667"/>
      <c r="AM114" s="668"/>
    </row>
    <row r="115" spans="1:39" ht="12.75" customHeight="1" x14ac:dyDescent="0.2">
      <c r="A115" s="556"/>
      <c r="B115" s="665"/>
      <c r="C115" s="600"/>
      <c r="D115" s="600"/>
      <c r="E115" s="600"/>
      <c r="F115" s="600"/>
      <c r="G115" s="600"/>
      <c r="H115" s="600"/>
      <c r="I115" s="600"/>
      <c r="J115" s="600"/>
      <c r="K115" s="600"/>
      <c r="L115" s="600"/>
      <c r="M115" s="600"/>
      <c r="N115" s="600"/>
      <c r="O115" s="600"/>
      <c r="P115" s="600"/>
      <c r="Q115" s="600"/>
      <c r="R115" s="600"/>
      <c r="S115" s="600"/>
      <c r="T115" s="600"/>
      <c r="U115" s="600"/>
      <c r="V115" s="600"/>
      <c r="W115" s="600"/>
      <c r="X115" s="600"/>
      <c r="Y115" s="600"/>
      <c r="Z115" s="600"/>
      <c r="AA115" s="600"/>
      <c r="AB115" s="600"/>
      <c r="AC115" s="600"/>
      <c r="AD115" s="600"/>
      <c r="AE115" s="600"/>
      <c r="AF115" s="600"/>
      <c r="AG115" s="666"/>
      <c r="AH115" s="583"/>
      <c r="AJ115" s="583"/>
      <c r="AK115" s="600"/>
      <c r="AL115" s="667"/>
      <c r="AM115" s="668"/>
    </row>
    <row r="116" spans="1:39" ht="12.75" customHeight="1" x14ac:dyDescent="0.2">
      <c r="A116" s="556"/>
      <c r="B116" s="665"/>
      <c r="C116" s="600"/>
      <c r="D116" s="600"/>
      <c r="E116" s="600"/>
      <c r="F116" s="600"/>
      <c r="G116" s="600"/>
      <c r="H116" s="600"/>
      <c r="I116" s="600"/>
      <c r="J116" s="600"/>
      <c r="K116" s="600"/>
      <c r="L116" s="600"/>
      <c r="M116" s="600"/>
      <c r="N116" s="600"/>
      <c r="O116" s="600"/>
      <c r="P116" s="600"/>
      <c r="Q116" s="600"/>
      <c r="R116" s="600"/>
      <c r="S116" s="600"/>
      <c r="T116" s="600"/>
      <c r="U116" s="600"/>
      <c r="V116" s="600"/>
      <c r="W116" s="600"/>
      <c r="X116" s="600"/>
      <c r="Y116" s="600"/>
      <c r="Z116" s="600"/>
      <c r="AA116" s="600"/>
      <c r="AB116" s="600"/>
      <c r="AC116" s="600"/>
      <c r="AD116" s="600"/>
      <c r="AE116" s="600"/>
      <c r="AF116" s="600"/>
      <c r="AG116" s="666"/>
      <c r="AH116" s="583"/>
      <c r="AJ116" s="583"/>
      <c r="AK116" s="600"/>
      <c r="AL116" s="667"/>
      <c r="AM116" s="668"/>
    </row>
    <row r="117" spans="1:39" ht="12.75" customHeight="1" thickBot="1" x14ac:dyDescent="0.25">
      <c r="A117" s="556"/>
      <c r="B117" s="665"/>
      <c r="C117" s="600"/>
      <c r="D117" s="600"/>
      <c r="E117" s="600"/>
      <c r="F117" s="600"/>
      <c r="G117" s="600"/>
      <c r="H117" s="600"/>
      <c r="I117" s="600"/>
      <c r="J117" s="600"/>
      <c r="K117" s="600"/>
      <c r="L117" s="600"/>
      <c r="M117" s="600"/>
      <c r="N117" s="600"/>
      <c r="O117" s="600"/>
      <c r="P117" s="600"/>
      <c r="Q117" s="600"/>
      <c r="R117" s="600"/>
      <c r="S117" s="600"/>
      <c r="T117" s="600"/>
      <c r="U117" s="600"/>
      <c r="V117" s="600"/>
      <c r="W117" s="600"/>
      <c r="X117" s="600"/>
      <c r="Y117" s="600"/>
      <c r="Z117" s="600"/>
      <c r="AA117" s="600"/>
      <c r="AB117" s="600"/>
      <c r="AC117" s="600"/>
      <c r="AD117" s="600"/>
      <c r="AE117" s="600"/>
      <c r="AF117" s="600"/>
      <c r="AG117" s="666"/>
      <c r="AH117" s="583"/>
      <c r="AJ117" s="583"/>
      <c r="AK117" s="600"/>
      <c r="AL117" s="667"/>
      <c r="AM117" s="668"/>
    </row>
    <row r="118" spans="1:39" ht="12.75" customHeight="1" x14ac:dyDescent="0.2">
      <c r="A118" s="687" t="s">
        <v>215</v>
      </c>
      <c r="B118" s="678">
        <f>SUM(B108:B117)</f>
        <v>0</v>
      </c>
      <c r="C118" s="688"/>
      <c r="D118" s="688"/>
      <c r="E118" s="688"/>
      <c r="F118" s="688"/>
      <c r="G118" s="688"/>
      <c r="H118" s="688"/>
      <c r="I118" s="688"/>
      <c r="J118" s="688"/>
      <c r="K118" s="688"/>
      <c r="L118" s="688"/>
      <c r="M118" s="688"/>
      <c r="N118" s="688"/>
      <c r="O118" s="688"/>
      <c r="P118" s="688"/>
      <c r="Q118" s="688"/>
      <c r="R118" s="688"/>
      <c r="S118" s="688"/>
      <c r="T118" s="688"/>
      <c r="U118" s="688"/>
      <c r="V118" s="688"/>
      <c r="W118" s="688"/>
      <c r="X118" s="688"/>
      <c r="Y118" s="688"/>
      <c r="Z118" s="688"/>
      <c r="AA118" s="688"/>
      <c r="AB118" s="688"/>
      <c r="AC118" s="688"/>
      <c r="AD118" s="688"/>
      <c r="AE118" s="688"/>
      <c r="AF118" s="688"/>
      <c r="AG118" s="689"/>
      <c r="AH118" s="583"/>
      <c r="AJ118" s="583"/>
      <c r="AK118" s="600"/>
      <c r="AL118" s="667"/>
      <c r="AM118" s="668"/>
    </row>
    <row r="119" spans="1:39" ht="12.75" customHeight="1" x14ac:dyDescent="0.2">
      <c r="A119" s="583"/>
      <c r="B119" s="682"/>
      <c r="AH119" s="583"/>
      <c r="AJ119" s="583"/>
      <c r="AK119" s="600"/>
      <c r="AL119" s="667"/>
      <c r="AM119" s="668"/>
    </row>
    <row r="120" spans="1:39" ht="12.75" customHeight="1" x14ac:dyDescent="0.2">
      <c r="A120" s="583"/>
      <c r="B120" s="682"/>
      <c r="AH120" s="583"/>
      <c r="AJ120" s="583"/>
      <c r="AK120" s="600"/>
      <c r="AL120" s="667"/>
      <c r="AM120" s="668"/>
    </row>
    <row r="121" spans="1:39" ht="12.75" customHeight="1" x14ac:dyDescent="0.2">
      <c r="A121" s="640" t="s">
        <v>216</v>
      </c>
      <c r="B121" s="641"/>
      <c r="AH121" s="583"/>
      <c r="AJ121" s="583"/>
      <c r="AK121" s="600"/>
      <c r="AL121" s="667"/>
      <c r="AM121" s="668"/>
    </row>
    <row r="122" spans="1:39" ht="12.75" customHeight="1" x14ac:dyDescent="0.2">
      <c r="A122" s="596"/>
      <c r="AK122" s="287"/>
      <c r="AL122" s="667"/>
      <c r="AM122" s="668"/>
    </row>
    <row r="123" spans="1:39" ht="12.75" customHeight="1" thickBot="1" x14ac:dyDescent="0.25">
      <c r="D123" s="555" t="s">
        <v>17</v>
      </c>
      <c r="AI123" s="287"/>
      <c r="AJ123" s="595"/>
      <c r="AK123" s="595"/>
      <c r="AL123" s="287"/>
      <c r="AM123" s="287"/>
    </row>
    <row r="124" spans="1:39" ht="12.75" customHeight="1" thickTop="1" thickBot="1" x14ac:dyDescent="0.25">
      <c r="A124" s="690" t="s">
        <v>217</v>
      </c>
      <c r="B124" s="691"/>
      <c r="C124" s="692"/>
      <c r="D124" s="692"/>
      <c r="E124" s="693"/>
      <c r="G124" s="690" t="s">
        <v>218</v>
      </c>
      <c r="H124" s="690"/>
      <c r="I124" s="691"/>
      <c r="J124" s="692"/>
      <c r="K124" s="692"/>
      <c r="L124" s="693"/>
      <c r="M124" s="595"/>
      <c r="N124" s="595"/>
      <c r="O124" s="287"/>
      <c r="P124" s="287"/>
    </row>
    <row r="125" spans="1:39" ht="12.75" customHeight="1" thickTop="1" x14ac:dyDescent="0.2">
      <c r="A125" s="694" t="s">
        <v>219</v>
      </c>
      <c r="B125" s="695" t="s">
        <v>220</v>
      </c>
      <c r="C125" s="696"/>
      <c r="D125" s="697"/>
      <c r="E125" s="698" t="s">
        <v>221</v>
      </c>
      <c r="G125" s="699" t="s">
        <v>220</v>
      </c>
      <c r="H125" s="700"/>
      <c r="I125" s="701"/>
      <c r="J125" s="701"/>
      <c r="K125" s="701"/>
      <c r="L125" s="702" t="s">
        <v>221</v>
      </c>
      <c r="M125" s="595"/>
      <c r="N125" s="595"/>
      <c r="O125" s="287"/>
      <c r="P125" s="287"/>
    </row>
    <row r="126" spans="1:39" ht="12.75" customHeight="1" x14ac:dyDescent="0.2">
      <c r="A126" s="703"/>
      <c r="B126" s="583"/>
      <c r="C126" s="583"/>
      <c r="D126" s="704"/>
      <c r="E126" s="705"/>
      <c r="G126" s="706"/>
      <c r="H126" s="707"/>
      <c r="I126" s="583"/>
      <c r="J126" s="287"/>
      <c r="K126" s="708"/>
      <c r="L126" s="705"/>
      <c r="M126" s="287"/>
      <c r="N126" s="287"/>
      <c r="O126" s="287"/>
      <c r="P126" s="287"/>
    </row>
    <row r="127" spans="1:39" ht="12.75" customHeight="1" x14ac:dyDescent="0.2">
      <c r="A127" s="153">
        <v>36617</v>
      </c>
      <c r="B127" s="24" t="s">
        <v>479</v>
      </c>
      <c r="C127" s="24"/>
      <c r="D127" s="38"/>
      <c r="E127" s="141">
        <v>-1</v>
      </c>
      <c r="G127" s="710"/>
      <c r="H127" s="595"/>
      <c r="I127" s="711"/>
      <c r="J127" s="287"/>
      <c r="K127" s="708"/>
      <c r="L127" s="705"/>
      <c r="M127" s="287"/>
      <c r="N127" s="287"/>
      <c r="O127" s="287"/>
      <c r="P127" s="287"/>
    </row>
    <row r="128" spans="1:39" ht="12.75" customHeight="1" x14ac:dyDescent="0.2">
      <c r="A128" s="153">
        <v>36647</v>
      </c>
      <c r="B128" s="24" t="s">
        <v>487</v>
      </c>
      <c r="C128" s="583"/>
      <c r="D128" s="704"/>
      <c r="E128" s="705">
        <v>-1684</v>
      </c>
      <c r="G128" s="710"/>
      <c r="H128" s="583"/>
      <c r="I128" s="287"/>
      <c r="J128" s="287"/>
      <c r="K128" s="708"/>
      <c r="L128" s="705"/>
      <c r="M128" s="287"/>
      <c r="N128" s="287"/>
      <c r="O128" s="287"/>
      <c r="P128" s="287"/>
    </row>
    <row r="129" spans="1:16" ht="12.75" customHeight="1" x14ac:dyDescent="0.2">
      <c r="A129" s="153">
        <v>36678</v>
      </c>
      <c r="B129" s="24" t="s">
        <v>493</v>
      </c>
      <c r="C129" s="583"/>
      <c r="D129" s="704"/>
      <c r="E129" s="712">
        <v>-5169</v>
      </c>
      <c r="G129" s="710"/>
      <c r="H129" s="583"/>
      <c r="I129" s="287"/>
      <c r="J129" s="287"/>
      <c r="K129" s="704"/>
      <c r="L129" s="712"/>
      <c r="M129" s="287"/>
      <c r="N129" s="287"/>
      <c r="O129" s="287"/>
      <c r="P129" s="287"/>
    </row>
    <row r="130" spans="1:16" ht="12.75" customHeight="1" x14ac:dyDescent="0.2">
      <c r="A130" s="709">
        <v>36708</v>
      </c>
      <c r="B130" s="24" t="s">
        <v>494</v>
      </c>
      <c r="C130" s="583"/>
      <c r="D130" s="704"/>
      <c r="E130" s="705">
        <v>-5285</v>
      </c>
      <c r="G130" s="710"/>
      <c r="H130" s="583"/>
      <c r="I130" s="287"/>
      <c r="J130" s="287"/>
      <c r="K130" s="704"/>
      <c r="L130" s="705"/>
      <c r="M130" s="287"/>
      <c r="N130" s="287"/>
      <c r="O130" s="287"/>
      <c r="P130" s="287"/>
    </row>
    <row r="131" spans="1:16" ht="12.75" customHeight="1" x14ac:dyDescent="0.2">
      <c r="A131" s="709">
        <v>36739</v>
      </c>
      <c r="B131" s="24" t="s">
        <v>499</v>
      </c>
      <c r="C131" s="583"/>
      <c r="D131" s="704"/>
      <c r="E131" s="705">
        <v>-6400</v>
      </c>
      <c r="G131" s="710"/>
      <c r="H131" s="583"/>
      <c r="I131" s="287"/>
      <c r="J131" s="287"/>
      <c r="K131" s="704"/>
      <c r="L131" s="705"/>
      <c r="M131" s="287"/>
      <c r="N131" s="287"/>
      <c r="O131" s="287"/>
      <c r="P131" s="287"/>
    </row>
    <row r="132" spans="1:16" ht="12.75" customHeight="1" x14ac:dyDescent="0.2">
      <c r="A132" s="709">
        <v>36770</v>
      </c>
      <c r="B132" s="24" t="s">
        <v>510</v>
      </c>
      <c r="C132" s="711"/>
      <c r="D132" s="713"/>
      <c r="E132" s="712">
        <v>-8403</v>
      </c>
      <c r="G132" s="710"/>
      <c r="H132" s="287"/>
      <c r="I132" s="287"/>
      <c r="J132" s="287"/>
      <c r="K132" s="708"/>
      <c r="L132" s="712"/>
      <c r="M132" s="287"/>
      <c r="N132" s="287"/>
      <c r="O132" s="287"/>
      <c r="P132" s="287"/>
    </row>
    <row r="133" spans="1:16" ht="12.75" customHeight="1" x14ac:dyDescent="0.2">
      <c r="A133" s="709">
        <v>36800</v>
      </c>
      <c r="B133" s="24" t="s">
        <v>519</v>
      </c>
      <c r="C133" s="711"/>
      <c r="D133" s="713"/>
      <c r="E133" s="712">
        <v>-7821</v>
      </c>
      <c r="G133" s="710"/>
      <c r="H133" s="583"/>
      <c r="I133" s="287"/>
      <c r="J133" s="287"/>
      <c r="K133" s="704"/>
      <c r="L133" s="712"/>
      <c r="M133" s="287"/>
      <c r="N133" s="287"/>
      <c r="O133" s="287"/>
      <c r="P133" s="287"/>
    </row>
    <row r="134" spans="1:16" ht="12.75" customHeight="1" x14ac:dyDescent="0.2">
      <c r="A134" s="709"/>
      <c r="B134" s="583"/>
      <c r="C134" s="711"/>
      <c r="D134" s="713"/>
      <c r="E134" s="705"/>
      <c r="G134" s="710"/>
      <c r="H134" s="583"/>
      <c r="I134" s="287"/>
      <c r="J134" s="287"/>
      <c r="K134" s="704"/>
      <c r="L134" s="705"/>
      <c r="M134" s="642"/>
      <c r="N134" s="668"/>
      <c r="O134" s="287"/>
      <c r="P134" s="287"/>
    </row>
    <row r="135" spans="1:16" ht="12.75" customHeight="1" x14ac:dyDescent="0.2">
      <c r="A135" s="709"/>
      <c r="B135" s="583"/>
      <c r="C135" s="583"/>
      <c r="D135" s="704"/>
      <c r="E135" s="705"/>
      <c r="G135" s="710"/>
      <c r="H135" s="583"/>
      <c r="I135" s="287"/>
      <c r="J135" s="287"/>
      <c r="K135" s="704"/>
      <c r="L135" s="705"/>
      <c r="M135" s="642"/>
      <c r="N135" s="287"/>
      <c r="O135" s="287"/>
      <c r="P135" s="287"/>
    </row>
    <row r="136" spans="1:16" ht="12.75" customHeight="1" x14ac:dyDescent="0.2">
      <c r="A136" s="709"/>
      <c r="B136" s="583"/>
      <c r="C136" s="583"/>
      <c r="D136" s="704"/>
      <c r="E136" s="705"/>
      <c r="G136" s="710"/>
      <c r="H136" s="583"/>
      <c r="I136" s="287"/>
      <c r="J136" s="287"/>
      <c r="K136" s="704"/>
      <c r="L136" s="705"/>
      <c r="M136" s="287"/>
      <c r="N136" s="642"/>
      <c r="O136" s="287"/>
      <c r="P136" s="287"/>
    </row>
    <row r="137" spans="1:16" ht="12.75" customHeight="1" x14ac:dyDescent="0.2">
      <c r="A137" s="709"/>
      <c r="B137" s="583"/>
      <c r="C137" s="583"/>
      <c r="D137" s="704"/>
      <c r="E137" s="705"/>
      <c r="G137" s="710"/>
      <c r="H137" s="583"/>
      <c r="I137" s="287"/>
      <c r="J137" s="287"/>
      <c r="K137" s="704"/>
      <c r="L137" s="705"/>
      <c r="M137" s="287"/>
      <c r="N137" s="642"/>
      <c r="O137" s="287"/>
      <c r="P137" s="287"/>
    </row>
    <row r="138" spans="1:16" ht="12.75" customHeight="1" x14ac:dyDescent="0.2">
      <c r="A138" s="709"/>
      <c r="B138" s="583"/>
      <c r="C138" s="714"/>
      <c r="D138" s="704"/>
      <c r="E138" s="705"/>
      <c r="G138" s="710"/>
      <c r="H138" s="583"/>
      <c r="I138" s="287"/>
      <c r="J138" s="287"/>
      <c r="K138" s="704"/>
      <c r="L138" s="705"/>
      <c r="M138" s="287"/>
      <c r="N138" s="287"/>
      <c r="O138" s="287"/>
      <c r="P138" s="287"/>
    </row>
    <row r="139" spans="1:16" ht="12.75" customHeight="1" x14ac:dyDescent="0.2">
      <c r="A139" s="709"/>
      <c r="B139" s="287"/>
      <c r="C139" s="287"/>
      <c r="D139" s="676"/>
      <c r="E139" s="705"/>
      <c r="G139" s="710"/>
      <c r="H139" s="583"/>
      <c r="I139" s="287"/>
      <c r="J139" s="287"/>
      <c r="K139" s="704"/>
      <c r="L139" s="705"/>
      <c r="M139" s="287"/>
      <c r="N139" s="287"/>
      <c r="O139" s="287"/>
      <c r="P139" s="287"/>
    </row>
    <row r="140" spans="1:16" ht="12.75" customHeight="1" x14ac:dyDescent="0.2">
      <c r="A140" s="709"/>
      <c r="B140" s="287"/>
      <c r="C140" s="287"/>
      <c r="D140" s="704"/>
      <c r="E140" s="705"/>
      <c r="G140" s="710"/>
      <c r="H140" s="583"/>
      <c r="I140" s="287"/>
      <c r="J140" s="287"/>
      <c r="K140" s="704"/>
      <c r="L140" s="705"/>
      <c r="M140" s="287"/>
      <c r="N140" s="287"/>
      <c r="O140" s="287"/>
      <c r="P140" s="287"/>
    </row>
    <row r="141" spans="1:16" ht="12.75" customHeight="1" x14ac:dyDescent="0.2">
      <c r="A141" s="709"/>
      <c r="B141" s="287"/>
      <c r="C141" s="287"/>
      <c r="D141" s="704"/>
      <c r="E141" s="705"/>
      <c r="G141" s="710"/>
      <c r="H141" s="583"/>
      <c r="I141" s="287"/>
      <c r="J141" s="287"/>
      <c r="K141" s="704"/>
      <c r="L141" s="705"/>
      <c r="M141" s="287"/>
      <c r="N141" s="287"/>
      <c r="O141" s="287"/>
      <c r="P141" s="287"/>
    </row>
    <row r="142" spans="1:16" ht="12.75" customHeight="1" x14ac:dyDescent="0.2">
      <c r="A142" s="709"/>
      <c r="B142" s="583"/>
      <c r="C142" s="583"/>
      <c r="D142" s="704"/>
      <c r="E142" s="705"/>
      <c r="G142" s="710"/>
      <c r="H142" s="583"/>
      <c r="I142" s="287"/>
      <c r="J142" s="287"/>
      <c r="K142" s="704"/>
      <c r="L142" s="705"/>
      <c r="M142" s="287"/>
      <c r="N142" s="287"/>
      <c r="O142" s="287"/>
      <c r="P142" s="287"/>
    </row>
    <row r="143" spans="1:16" ht="12.75" customHeight="1" x14ac:dyDescent="0.2">
      <c r="A143" s="709"/>
      <c r="B143" s="583"/>
      <c r="C143" s="583"/>
      <c r="D143" s="704"/>
      <c r="E143" s="705"/>
      <c r="G143" s="710"/>
      <c r="H143" s="583"/>
      <c r="I143" s="287"/>
      <c r="J143" s="287"/>
      <c r="K143" s="704"/>
      <c r="L143" s="705"/>
      <c r="M143" s="287"/>
      <c r="N143" s="287"/>
      <c r="O143" s="287"/>
      <c r="P143" s="287"/>
    </row>
    <row r="144" spans="1:16" ht="12.75" customHeight="1" x14ac:dyDescent="0.2">
      <c r="A144" s="709"/>
      <c r="B144" s="583"/>
      <c r="C144" s="583"/>
      <c r="D144" s="704"/>
      <c r="E144" s="705"/>
      <c r="G144" s="710"/>
      <c r="H144" s="583"/>
      <c r="I144" s="287"/>
      <c r="J144" s="287"/>
      <c r="K144" s="704"/>
      <c r="L144" s="705"/>
      <c r="M144" s="287"/>
      <c r="N144" s="287"/>
      <c r="O144" s="287"/>
      <c r="P144" s="287"/>
    </row>
    <row r="145" spans="1:16" ht="12.75" customHeight="1" x14ac:dyDescent="0.2">
      <c r="A145" s="709"/>
      <c r="B145" s="583"/>
      <c r="C145" s="583"/>
      <c r="D145" s="704"/>
      <c r="E145" s="705"/>
      <c r="G145" s="710"/>
      <c r="H145" s="583"/>
      <c r="I145" s="287"/>
      <c r="J145" s="287"/>
      <c r="K145" s="704"/>
      <c r="L145" s="705"/>
      <c r="M145" s="287"/>
      <c r="N145" s="287"/>
      <c r="O145" s="287"/>
      <c r="P145" s="287"/>
    </row>
    <row r="146" spans="1:16" ht="12.75" customHeight="1" x14ac:dyDescent="0.2">
      <c r="A146" s="709"/>
      <c r="B146" s="583"/>
      <c r="C146" s="583"/>
      <c r="D146" s="704"/>
      <c r="E146" s="705"/>
      <c r="G146" s="710"/>
      <c r="H146" s="583"/>
      <c r="I146" s="287"/>
      <c r="J146" s="287"/>
      <c r="K146" s="704"/>
      <c r="L146" s="705"/>
      <c r="M146" s="287"/>
      <c r="N146" s="287"/>
      <c r="O146" s="287"/>
      <c r="P146" s="287"/>
    </row>
    <row r="147" spans="1:16" ht="12.75" customHeight="1" x14ac:dyDescent="0.2">
      <c r="A147" s="709"/>
      <c r="B147" s="583"/>
      <c r="C147" s="583"/>
      <c r="D147" s="704"/>
      <c r="E147" s="705"/>
      <c r="G147" s="710"/>
      <c r="H147" s="583"/>
      <c r="I147" s="287"/>
      <c r="J147" s="287"/>
      <c r="K147" s="704"/>
      <c r="L147" s="705"/>
      <c r="M147" s="287"/>
      <c r="N147" s="287"/>
      <c r="O147" s="287"/>
      <c r="P147" s="287"/>
    </row>
    <row r="148" spans="1:16" ht="12.75" customHeight="1" x14ac:dyDescent="0.2">
      <c r="A148" s="709"/>
      <c r="B148" s="583"/>
      <c r="C148" s="583"/>
      <c r="D148" s="704"/>
      <c r="E148" s="705"/>
      <c r="G148" s="710"/>
      <c r="H148" s="583"/>
      <c r="I148" s="287"/>
      <c r="J148" s="287"/>
      <c r="K148" s="704"/>
      <c r="L148" s="705"/>
      <c r="M148" s="287"/>
      <c r="N148" s="287"/>
      <c r="O148" s="287"/>
      <c r="P148" s="287"/>
    </row>
    <row r="149" spans="1:16" ht="12.75" customHeight="1" x14ac:dyDescent="0.2">
      <c r="A149" s="709"/>
      <c r="B149" s="583"/>
      <c r="C149" s="583"/>
      <c r="D149" s="704"/>
      <c r="E149" s="705"/>
      <c r="G149" s="710"/>
      <c r="H149" s="583"/>
      <c r="I149" s="287"/>
      <c r="J149" s="287"/>
      <c r="K149" s="704"/>
      <c r="L149" s="705"/>
      <c r="M149" s="287"/>
      <c r="N149" s="287"/>
      <c r="O149" s="287"/>
      <c r="P149" s="287"/>
    </row>
    <row r="150" spans="1:16" ht="12.75" customHeight="1" x14ac:dyDescent="0.2">
      <c r="A150" s="709"/>
      <c r="B150" s="583"/>
      <c r="C150" s="583"/>
      <c r="D150" s="704"/>
      <c r="E150" s="705"/>
      <c r="G150" s="710"/>
      <c r="H150" s="583"/>
      <c r="I150" s="287"/>
      <c r="J150" s="287"/>
      <c r="K150" s="704"/>
      <c r="L150" s="705"/>
      <c r="M150" s="287"/>
      <c r="N150" s="287"/>
      <c r="O150" s="287"/>
      <c r="P150" s="287"/>
    </row>
    <row r="151" spans="1:16" ht="12.75" customHeight="1" x14ac:dyDescent="0.2">
      <c r="A151" s="709"/>
      <c r="B151" s="583"/>
      <c r="C151" s="583"/>
      <c r="D151" s="704"/>
      <c r="E151" s="705"/>
      <c r="G151" s="710"/>
      <c r="H151" s="583"/>
      <c r="I151" s="287"/>
      <c r="J151" s="287"/>
      <c r="K151" s="704"/>
      <c r="L151" s="705"/>
      <c r="M151" s="287"/>
      <c r="N151" s="287"/>
      <c r="O151" s="287"/>
      <c r="P151" s="287"/>
    </row>
    <row r="152" spans="1:16" ht="12.75" customHeight="1" x14ac:dyDescent="0.2">
      <c r="A152" s="709"/>
      <c r="B152" s="583"/>
      <c r="C152" s="583"/>
      <c r="D152" s="704"/>
      <c r="E152" s="705"/>
      <c r="G152" s="710"/>
      <c r="H152" s="583"/>
      <c r="I152" s="287"/>
      <c r="J152" s="287"/>
      <c r="K152" s="704"/>
      <c r="L152" s="705"/>
      <c r="M152" s="287"/>
      <c r="N152" s="287"/>
      <c r="O152" s="287"/>
      <c r="P152" s="287"/>
    </row>
    <row r="153" spans="1:16" ht="12.75" customHeight="1" x14ac:dyDescent="0.2">
      <c r="A153" s="709"/>
      <c r="B153" s="583"/>
      <c r="C153" s="583"/>
      <c r="D153" s="704"/>
      <c r="E153" s="705"/>
      <c r="G153" s="710"/>
      <c r="H153" s="583"/>
      <c r="I153" s="287"/>
      <c r="J153" s="287"/>
      <c r="K153" s="704"/>
      <c r="L153" s="705"/>
      <c r="M153" s="287"/>
      <c r="N153" s="287"/>
      <c r="O153" s="287"/>
      <c r="P153" s="287"/>
    </row>
    <row r="154" spans="1:16" ht="12.75" customHeight="1" x14ac:dyDescent="0.2">
      <c r="A154" s="709"/>
      <c r="B154" s="583"/>
      <c r="C154" s="583"/>
      <c r="D154" s="704"/>
      <c r="E154" s="705"/>
      <c r="G154" s="710"/>
      <c r="H154" s="583"/>
      <c r="I154" s="287"/>
      <c r="J154" s="287"/>
      <c r="K154" s="704"/>
      <c r="L154" s="705"/>
      <c r="M154" s="287"/>
      <c r="N154" s="287"/>
      <c r="O154" s="287"/>
      <c r="P154" s="287"/>
    </row>
    <row r="155" spans="1:16" ht="12.75" customHeight="1" x14ac:dyDescent="0.2">
      <c r="A155" s="709"/>
      <c r="B155" s="583"/>
      <c r="C155" s="583"/>
      <c r="D155" s="704"/>
      <c r="E155" s="705"/>
      <c r="G155" s="710"/>
      <c r="H155" s="583"/>
      <c r="I155" s="287"/>
      <c r="J155" s="287"/>
      <c r="K155" s="704"/>
      <c r="L155" s="705"/>
      <c r="M155" s="287"/>
      <c r="N155" s="287"/>
      <c r="O155" s="287"/>
      <c r="P155" s="287"/>
    </row>
    <row r="156" spans="1:16" ht="12.75" customHeight="1" x14ac:dyDescent="0.2">
      <c r="A156" s="709"/>
      <c r="B156" s="583"/>
      <c r="C156" s="583"/>
      <c r="D156" s="704"/>
      <c r="E156" s="705"/>
      <c r="G156" s="710"/>
      <c r="H156" s="583"/>
      <c r="I156" s="287"/>
      <c r="J156" s="287"/>
      <c r="K156" s="704"/>
      <c r="L156" s="705"/>
      <c r="M156" s="287"/>
      <c r="N156" s="287"/>
      <c r="O156" s="287"/>
      <c r="P156" s="287"/>
    </row>
    <row r="157" spans="1:16" ht="12.75" customHeight="1" x14ac:dyDescent="0.2">
      <c r="A157" s="709"/>
      <c r="B157" s="583"/>
      <c r="C157" s="583"/>
      <c r="D157" s="704"/>
      <c r="E157" s="705"/>
      <c r="G157" s="710"/>
      <c r="H157" s="583"/>
      <c r="I157" s="287"/>
      <c r="J157" s="287"/>
      <c r="K157" s="704"/>
      <c r="L157" s="705"/>
      <c r="M157" s="287"/>
      <c r="N157" s="287"/>
      <c r="O157" s="287"/>
      <c r="P157" s="287"/>
    </row>
    <row r="158" spans="1:16" ht="12.75" customHeight="1" x14ac:dyDescent="0.2">
      <c r="A158" s="709"/>
      <c r="B158" s="583"/>
      <c r="C158" s="583"/>
      <c r="D158" s="704"/>
      <c r="E158" s="715"/>
      <c r="G158" s="710"/>
      <c r="H158" s="583"/>
      <c r="I158" s="287"/>
      <c r="J158" s="287"/>
      <c r="K158" s="704"/>
      <c r="L158" s="715"/>
      <c r="M158" s="287"/>
      <c r="N158" s="287"/>
      <c r="O158" s="287"/>
      <c r="P158" s="287"/>
    </row>
    <row r="159" spans="1:16" ht="12.75" customHeight="1" thickBot="1" x14ac:dyDescent="0.25">
      <c r="A159" s="716"/>
      <c r="B159" s="583"/>
      <c r="C159" s="583"/>
      <c r="D159" s="717" t="s">
        <v>241</v>
      </c>
      <c r="E159" s="718">
        <f>SUM(E126:E158)</f>
        <v>-34763</v>
      </c>
      <c r="G159" s="716"/>
      <c r="H159" s="583"/>
      <c r="I159" s="287"/>
      <c r="J159" s="287"/>
      <c r="K159" s="717" t="s">
        <v>242</v>
      </c>
      <c r="L159" s="718">
        <f>SUM(L126:L158)</f>
        <v>0</v>
      </c>
      <c r="M159" s="287"/>
      <c r="N159" s="287"/>
      <c r="O159" s="287"/>
      <c r="P159" s="287"/>
    </row>
    <row r="160" spans="1:16" ht="12.75" customHeight="1" thickTop="1" thickBot="1" x14ac:dyDescent="0.25">
      <c r="A160" s="719"/>
      <c r="B160" s="720"/>
      <c r="C160" s="720"/>
      <c r="D160" s="720"/>
      <c r="E160" s="721"/>
      <c r="G160" s="719"/>
      <c r="H160" s="720"/>
      <c r="I160" s="720"/>
      <c r="J160" s="720"/>
      <c r="K160" s="720"/>
      <c r="L160" s="721"/>
      <c r="M160" s="287"/>
      <c r="N160" s="287"/>
      <c r="O160" s="287"/>
      <c r="P160" s="287"/>
    </row>
    <row r="161" spans="1:39" ht="12.75" customHeight="1" thickTop="1" x14ac:dyDescent="0.2">
      <c r="AJ161" s="287"/>
      <c r="AK161" s="287"/>
      <c r="AL161" s="287"/>
      <c r="AM161" s="287"/>
    </row>
    <row r="162" spans="1:39" ht="12.75" customHeight="1" thickBot="1" x14ac:dyDescent="0.25">
      <c r="AJ162" s="287"/>
      <c r="AK162" s="287"/>
      <c r="AL162" s="287"/>
      <c r="AM162" s="287"/>
    </row>
    <row r="163" spans="1:39" ht="12.75" customHeight="1" thickTop="1" thickBot="1" x14ac:dyDescent="0.25">
      <c r="A163" s="690" t="s">
        <v>243</v>
      </c>
      <c r="B163" s="692"/>
      <c r="C163" s="692"/>
      <c r="D163" s="692"/>
      <c r="E163" s="693"/>
      <c r="AJ163" s="287"/>
      <c r="AK163" s="287"/>
      <c r="AL163" s="287"/>
      <c r="AM163" s="287"/>
    </row>
    <row r="164" spans="1:39" ht="12.75" customHeight="1" thickTop="1" x14ac:dyDescent="0.2">
      <c r="A164" s="694" t="s">
        <v>219</v>
      </c>
      <c r="B164" s="695" t="s">
        <v>220</v>
      </c>
      <c r="C164" s="696"/>
      <c r="D164" s="697"/>
      <c r="E164" s="698" t="s">
        <v>221</v>
      </c>
      <c r="AJ164" s="287"/>
      <c r="AK164" s="287"/>
      <c r="AL164" s="287"/>
      <c r="AM164" s="287"/>
    </row>
    <row r="165" spans="1:39" ht="12.75" customHeight="1" x14ac:dyDescent="0.2">
      <c r="A165" s="722"/>
      <c r="B165" s="583"/>
      <c r="C165" s="583"/>
      <c r="D165" s="704"/>
      <c r="E165" s="705"/>
      <c r="AJ165" s="287"/>
      <c r="AK165" s="287"/>
      <c r="AL165" s="287"/>
      <c r="AM165" s="287"/>
    </row>
    <row r="166" spans="1:39" ht="12.75" customHeight="1" x14ac:dyDescent="0.2">
      <c r="A166" s="722"/>
      <c r="B166" s="583"/>
      <c r="C166" s="583"/>
      <c r="D166" s="704"/>
      <c r="E166" s="705"/>
      <c r="AJ166" s="287"/>
      <c r="AK166" s="287"/>
      <c r="AL166" s="287"/>
      <c r="AM166" s="287"/>
    </row>
    <row r="167" spans="1:39" ht="12.75" customHeight="1" x14ac:dyDescent="0.2">
      <c r="A167" s="722"/>
      <c r="B167" s="583"/>
      <c r="C167" s="583"/>
      <c r="D167" s="704"/>
      <c r="E167" s="705"/>
      <c r="AJ167" s="287"/>
      <c r="AK167" s="287"/>
      <c r="AL167" s="287"/>
      <c r="AM167" s="287"/>
    </row>
    <row r="168" spans="1:39" ht="12.75" customHeight="1" x14ac:dyDescent="0.2">
      <c r="A168" s="722"/>
      <c r="B168" s="583"/>
      <c r="C168" s="583"/>
      <c r="D168" s="704"/>
      <c r="E168" s="712"/>
      <c r="AJ168" s="287"/>
      <c r="AK168" s="287"/>
      <c r="AL168" s="287"/>
      <c r="AM168" s="287"/>
    </row>
    <row r="169" spans="1:39" ht="12.75" customHeight="1" x14ac:dyDescent="0.2">
      <c r="A169" s="722"/>
      <c r="B169" s="583"/>
      <c r="C169" s="583"/>
      <c r="D169" s="704"/>
      <c r="E169" s="705"/>
      <c r="AJ169" s="287"/>
      <c r="AK169" s="287"/>
      <c r="AL169" s="287"/>
      <c r="AM169" s="287"/>
    </row>
    <row r="170" spans="1:39" ht="12.75" customHeight="1" x14ac:dyDescent="0.2">
      <c r="A170" s="722"/>
      <c r="B170" s="583"/>
      <c r="C170" s="583"/>
      <c r="D170" s="704"/>
      <c r="E170" s="705"/>
      <c r="AJ170" s="287"/>
      <c r="AK170" s="287"/>
      <c r="AL170" s="287"/>
      <c r="AM170" s="287"/>
    </row>
    <row r="171" spans="1:39" ht="12.75" customHeight="1" x14ac:dyDescent="0.2">
      <c r="A171" s="722"/>
      <c r="B171" s="583"/>
      <c r="C171" s="711"/>
      <c r="D171" s="713"/>
      <c r="E171" s="712"/>
      <c r="AJ171" s="287"/>
      <c r="AK171" s="287"/>
      <c r="AL171" s="287"/>
      <c r="AM171" s="287"/>
    </row>
    <row r="172" spans="1:39" ht="12.75" customHeight="1" x14ac:dyDescent="0.2">
      <c r="A172" s="722"/>
      <c r="B172" s="707"/>
      <c r="C172" s="711"/>
      <c r="D172" s="713"/>
      <c r="E172" s="712"/>
      <c r="AJ172" s="287"/>
      <c r="AK172" s="287"/>
      <c r="AL172" s="287"/>
      <c r="AM172" s="287"/>
    </row>
    <row r="173" spans="1:39" ht="12.75" customHeight="1" x14ac:dyDescent="0.2">
      <c r="A173" s="722"/>
      <c r="B173" s="707"/>
      <c r="C173" s="583"/>
      <c r="D173" s="704"/>
      <c r="E173" s="705"/>
      <c r="AJ173" s="287"/>
      <c r="AK173" s="287"/>
      <c r="AL173" s="287"/>
      <c r="AM173" s="287"/>
    </row>
    <row r="174" spans="1:39" ht="12.75" customHeight="1" x14ac:dyDescent="0.2">
      <c r="A174" s="722"/>
      <c r="B174" s="583"/>
      <c r="C174" s="583"/>
      <c r="D174" s="704"/>
      <c r="E174" s="705"/>
      <c r="AJ174" s="287"/>
      <c r="AK174" s="287"/>
      <c r="AL174" s="287"/>
      <c r="AM174" s="287"/>
    </row>
    <row r="175" spans="1:39" ht="12.75" customHeight="1" x14ac:dyDescent="0.2">
      <c r="A175" s="722"/>
      <c r="B175" s="583"/>
      <c r="C175" s="583"/>
      <c r="D175" s="704"/>
      <c r="E175" s="712"/>
      <c r="AJ175" s="287"/>
      <c r="AK175" s="287"/>
      <c r="AL175" s="287"/>
      <c r="AM175" s="287"/>
    </row>
    <row r="176" spans="1:39" ht="12.75" customHeight="1" x14ac:dyDescent="0.2">
      <c r="A176" s="722"/>
      <c r="B176" s="583"/>
      <c r="C176" s="583"/>
      <c r="D176" s="704"/>
      <c r="E176" s="705"/>
      <c r="AJ176" s="287"/>
      <c r="AK176" s="287"/>
      <c r="AL176" s="287"/>
      <c r="AM176" s="287"/>
    </row>
    <row r="177" spans="1:39" ht="12.75" customHeight="1" x14ac:dyDescent="0.2">
      <c r="A177" s="722"/>
      <c r="B177" s="583"/>
      <c r="C177" s="583"/>
      <c r="D177" s="704"/>
      <c r="E177" s="705"/>
      <c r="AJ177" s="287"/>
      <c r="AK177" s="287"/>
      <c r="AL177" s="287"/>
      <c r="AM177" s="287"/>
    </row>
    <row r="178" spans="1:39" ht="12.75" customHeight="1" x14ac:dyDescent="0.2">
      <c r="A178" s="722"/>
      <c r="B178" s="595"/>
      <c r="C178" s="711"/>
      <c r="D178" s="713"/>
      <c r="E178" s="712"/>
      <c r="AJ178" s="287"/>
      <c r="AK178" s="287"/>
      <c r="AL178" s="287"/>
      <c r="AM178" s="287"/>
    </row>
    <row r="179" spans="1:39" ht="12.75" customHeight="1" x14ac:dyDescent="0.2">
      <c r="A179" s="722"/>
      <c r="B179" s="595"/>
      <c r="C179" s="711"/>
      <c r="D179" s="713"/>
      <c r="E179" s="712"/>
      <c r="AJ179" s="287"/>
      <c r="AK179" s="287"/>
      <c r="AL179" s="287"/>
      <c r="AM179" s="287"/>
    </row>
    <row r="180" spans="1:39" ht="12.75" customHeight="1" x14ac:dyDescent="0.2">
      <c r="A180" s="722"/>
      <c r="B180" s="595"/>
      <c r="C180" s="711"/>
      <c r="D180" s="713"/>
      <c r="E180" s="705"/>
      <c r="AJ180" s="287"/>
      <c r="AK180" s="287"/>
      <c r="AL180" s="287"/>
      <c r="AM180" s="287"/>
    </row>
    <row r="181" spans="1:39" ht="12.75" customHeight="1" x14ac:dyDescent="0.2">
      <c r="A181" s="722"/>
      <c r="B181" s="583"/>
      <c r="C181" s="583"/>
      <c r="D181" s="704"/>
      <c r="E181" s="705"/>
      <c r="AJ181" s="287"/>
      <c r="AK181" s="287"/>
      <c r="AL181" s="287"/>
      <c r="AM181" s="287"/>
    </row>
    <row r="182" spans="1:39" ht="12.75" customHeight="1" x14ac:dyDescent="0.2">
      <c r="A182" s="722"/>
      <c r="B182" s="583"/>
      <c r="C182" s="583"/>
      <c r="D182" s="704"/>
      <c r="E182" s="705"/>
      <c r="AJ182" s="287"/>
      <c r="AK182" s="287"/>
      <c r="AL182" s="287"/>
      <c r="AM182" s="287"/>
    </row>
    <row r="183" spans="1:39" ht="12.75" customHeight="1" x14ac:dyDescent="0.2">
      <c r="A183" s="722"/>
      <c r="B183" s="583"/>
      <c r="C183" s="583"/>
      <c r="D183" s="704"/>
      <c r="E183" s="705"/>
      <c r="AJ183" s="287"/>
      <c r="AK183" s="287"/>
      <c r="AL183" s="287"/>
      <c r="AM183" s="287"/>
    </row>
    <row r="184" spans="1:39" ht="12.75" customHeight="1" x14ac:dyDescent="0.2">
      <c r="A184" s="722"/>
      <c r="B184" s="583"/>
      <c r="C184" s="583"/>
      <c r="D184" s="704"/>
      <c r="E184" s="715"/>
      <c r="AJ184" s="287"/>
      <c r="AK184" s="287"/>
      <c r="AL184" s="287"/>
      <c r="AM184" s="287"/>
    </row>
    <row r="185" spans="1:39" ht="12.75" customHeight="1" thickBot="1" x14ac:dyDescent="0.25">
      <c r="A185" s="723"/>
      <c r="B185" s="583"/>
      <c r="C185" s="583"/>
      <c r="D185" s="717" t="s">
        <v>244</v>
      </c>
      <c r="E185" s="718">
        <f>SUM(E165:E184)</f>
        <v>0</v>
      </c>
      <c r="AJ185" s="287"/>
      <c r="AK185" s="287"/>
      <c r="AL185" s="287"/>
      <c r="AM185" s="287"/>
    </row>
    <row r="186" spans="1:39" ht="12.75" customHeight="1" thickTop="1" thickBot="1" x14ac:dyDescent="0.25">
      <c r="A186" s="724"/>
      <c r="B186" s="720"/>
      <c r="C186" s="720"/>
      <c r="D186" s="720"/>
      <c r="E186" s="721"/>
      <c r="AJ186" s="287"/>
      <c r="AK186" s="287"/>
      <c r="AL186" s="287"/>
      <c r="AM186" s="287"/>
    </row>
    <row r="187" spans="1:39" ht="12.75" customHeight="1" thickTop="1" x14ac:dyDescent="0.2">
      <c r="AJ187" s="287"/>
      <c r="AK187" s="287"/>
      <c r="AL187" s="287"/>
      <c r="AM187" s="287"/>
    </row>
    <row r="188" spans="1:39" ht="12.75" customHeight="1" thickBot="1" x14ac:dyDescent="0.25">
      <c r="AJ188" s="287"/>
      <c r="AK188" s="287"/>
      <c r="AL188" s="287"/>
      <c r="AM188" s="287"/>
    </row>
    <row r="189" spans="1:39" ht="12.75" customHeight="1" thickTop="1" x14ac:dyDescent="0.2">
      <c r="A189" s="725" t="s">
        <v>245</v>
      </c>
      <c r="B189" s="726"/>
      <c r="C189" s="726"/>
      <c r="D189" s="726"/>
      <c r="E189" s="726"/>
      <c r="F189" s="726"/>
      <c r="G189" s="726"/>
      <c r="H189" s="726"/>
      <c r="I189" s="726"/>
      <c r="J189" s="726"/>
      <c r="K189" s="726"/>
      <c r="L189" s="726"/>
      <c r="M189" s="727"/>
      <c r="O189" s="287"/>
      <c r="P189" s="287"/>
      <c r="Q189" s="287"/>
      <c r="R189" s="287"/>
    </row>
    <row r="190" spans="1:39" ht="12.75" customHeight="1" x14ac:dyDescent="0.2">
      <c r="A190" s="728" t="s">
        <v>246</v>
      </c>
      <c r="B190" s="729" t="s">
        <v>219</v>
      </c>
      <c r="C190" s="730" t="s">
        <v>247</v>
      </c>
      <c r="D190" s="731" t="s">
        <v>248</v>
      </c>
      <c r="E190" s="732" t="s">
        <v>220</v>
      </c>
      <c r="F190" s="733"/>
      <c r="G190" s="733"/>
      <c r="H190" s="733"/>
      <c r="I190" s="733"/>
      <c r="J190" s="733"/>
      <c r="K190" s="733"/>
      <c r="L190" s="733"/>
      <c r="M190" s="734" t="s">
        <v>221</v>
      </c>
      <c r="O190" s="287"/>
      <c r="P190" s="287"/>
      <c r="Q190" s="287"/>
      <c r="R190" s="287"/>
    </row>
    <row r="191" spans="1:39" ht="12.75" customHeight="1" x14ac:dyDescent="0.2">
      <c r="A191" s="735"/>
      <c r="B191" s="736"/>
      <c r="C191" s="737"/>
      <c r="D191" s="704"/>
      <c r="E191" s="583"/>
      <c r="F191" s="583"/>
      <c r="G191" s="583"/>
      <c r="H191" s="583"/>
      <c r="I191" s="583"/>
      <c r="J191" s="583"/>
      <c r="K191" s="583"/>
      <c r="L191" s="583"/>
      <c r="M191" s="738"/>
      <c r="O191" s="287"/>
      <c r="P191" s="287"/>
      <c r="Q191" s="287"/>
      <c r="R191" s="287"/>
    </row>
    <row r="192" spans="1:39" ht="12.75" customHeight="1" x14ac:dyDescent="0.2">
      <c r="A192" s="735"/>
      <c r="B192" s="736"/>
      <c r="C192" s="737"/>
      <c r="D192" s="704"/>
      <c r="E192" s="583"/>
      <c r="F192" s="583"/>
      <c r="G192" s="583"/>
      <c r="H192" s="583"/>
      <c r="I192" s="583"/>
      <c r="J192" s="583"/>
      <c r="K192" s="583"/>
      <c r="L192" s="583"/>
      <c r="M192" s="738"/>
      <c r="O192" s="287"/>
      <c r="P192" s="287"/>
      <c r="Q192" s="287"/>
      <c r="R192" s="287"/>
    </row>
    <row r="193" spans="1:18" ht="12.75" customHeight="1" x14ac:dyDescent="0.2">
      <c r="A193" s="735"/>
      <c r="B193" s="736"/>
      <c r="C193" s="737"/>
      <c r="D193" s="704"/>
      <c r="E193" s="583"/>
      <c r="F193" s="583"/>
      <c r="G193" s="583"/>
      <c r="H193" s="583"/>
      <c r="I193" s="583"/>
      <c r="J193" s="583"/>
      <c r="K193" s="583"/>
      <c r="L193" s="583"/>
      <c r="M193" s="738"/>
      <c r="O193" s="287"/>
      <c r="P193" s="287"/>
      <c r="Q193" s="287"/>
      <c r="R193" s="287"/>
    </row>
    <row r="194" spans="1:18" ht="12.75" customHeight="1" x14ac:dyDescent="0.2">
      <c r="A194" s="735"/>
      <c r="B194" s="736"/>
      <c r="C194" s="737"/>
      <c r="D194" s="704"/>
      <c r="E194" s="583"/>
      <c r="F194" s="583"/>
      <c r="G194" s="583"/>
      <c r="H194" s="583"/>
      <c r="I194" s="583"/>
      <c r="J194" s="583"/>
      <c r="K194" s="583"/>
      <c r="L194" s="583"/>
      <c r="M194" s="738"/>
      <c r="O194" s="287"/>
      <c r="P194" s="287"/>
      <c r="Q194" s="287"/>
      <c r="R194" s="287"/>
    </row>
    <row r="195" spans="1:18" ht="12.75" customHeight="1" x14ac:dyDescent="0.2">
      <c r="A195" s="735"/>
      <c r="B195" s="736"/>
      <c r="C195" s="737"/>
      <c r="D195" s="704"/>
      <c r="E195" s="583"/>
      <c r="F195" s="583"/>
      <c r="G195" s="583"/>
      <c r="H195" s="583"/>
      <c r="I195" s="583"/>
      <c r="J195" s="583"/>
      <c r="K195" s="583"/>
      <c r="L195" s="583"/>
      <c r="M195" s="738"/>
      <c r="O195" s="287"/>
      <c r="P195" s="287"/>
      <c r="Q195" s="287"/>
      <c r="R195" s="287"/>
    </row>
    <row r="196" spans="1:18" ht="12.75" customHeight="1" x14ac:dyDescent="0.2">
      <c r="A196" s="735"/>
      <c r="B196" s="736"/>
      <c r="C196" s="737"/>
      <c r="D196" s="704"/>
      <c r="E196" s="583"/>
      <c r="F196" s="583"/>
      <c r="G196" s="583"/>
      <c r="H196" s="583"/>
      <c r="I196" s="583"/>
      <c r="J196" s="583"/>
      <c r="K196" s="583"/>
      <c r="L196" s="583"/>
      <c r="M196" s="738"/>
    </row>
    <row r="197" spans="1:18" ht="12.75" customHeight="1" x14ac:dyDescent="0.2">
      <c r="A197" s="735"/>
      <c r="B197" s="736"/>
      <c r="C197" s="737"/>
      <c r="D197" s="704"/>
      <c r="E197" s="583"/>
      <c r="F197" s="583"/>
      <c r="G197" s="583"/>
      <c r="H197" s="583"/>
      <c r="I197" s="583"/>
      <c r="J197" s="583"/>
      <c r="K197" s="583"/>
      <c r="L197" s="583"/>
      <c r="M197" s="738"/>
    </row>
    <row r="198" spans="1:18" ht="12.75" customHeight="1" x14ac:dyDescent="0.2">
      <c r="A198" s="735"/>
      <c r="B198" s="736"/>
      <c r="C198" s="737"/>
      <c r="D198" s="704"/>
      <c r="E198" s="583"/>
      <c r="F198" s="583"/>
      <c r="G198" s="583"/>
      <c r="H198" s="583"/>
      <c r="I198" s="583"/>
      <c r="J198" s="583"/>
      <c r="K198" s="583"/>
      <c r="L198" s="583"/>
      <c r="M198" s="738"/>
    </row>
    <row r="199" spans="1:18" ht="12.75" customHeight="1" x14ac:dyDescent="0.2">
      <c r="A199" s="735"/>
      <c r="B199" s="736"/>
      <c r="C199" s="737"/>
      <c r="D199" s="704"/>
      <c r="E199" s="583"/>
      <c r="F199" s="583"/>
      <c r="G199" s="583"/>
      <c r="H199" s="583"/>
      <c r="I199" s="583"/>
      <c r="J199" s="583"/>
      <c r="K199" s="583"/>
      <c r="L199" s="583"/>
      <c r="M199" s="738"/>
    </row>
    <row r="200" spans="1:18" ht="12.75" customHeight="1" x14ac:dyDescent="0.2">
      <c r="A200" s="735"/>
      <c r="B200" s="736"/>
      <c r="C200" s="737"/>
      <c r="D200" s="704"/>
      <c r="E200" s="583"/>
      <c r="F200" s="583"/>
      <c r="G200" s="583"/>
      <c r="H200" s="583"/>
      <c r="I200" s="583"/>
      <c r="J200" s="583"/>
      <c r="K200" s="583"/>
      <c r="L200" s="583"/>
      <c r="M200" s="738"/>
    </row>
    <row r="201" spans="1:18" ht="12.75" customHeight="1" x14ac:dyDescent="0.2">
      <c r="A201" s="739"/>
      <c r="B201" s="736"/>
      <c r="C201" s="737"/>
      <c r="D201" s="704"/>
      <c r="E201" s="583"/>
      <c r="F201" s="583"/>
      <c r="G201" s="583"/>
      <c r="H201" s="583"/>
      <c r="I201" s="583"/>
      <c r="J201" s="583"/>
      <c r="K201" s="583"/>
      <c r="L201" s="583"/>
      <c r="M201" s="738"/>
    </row>
    <row r="202" spans="1:18" ht="12.75" customHeight="1" x14ac:dyDescent="0.2">
      <c r="A202" s="739"/>
      <c r="B202" s="736"/>
      <c r="C202" s="737"/>
      <c r="D202" s="704"/>
      <c r="E202" s="583"/>
      <c r="F202" s="583"/>
      <c r="G202" s="583"/>
      <c r="H202" s="583"/>
      <c r="I202" s="583"/>
      <c r="J202" s="583"/>
      <c r="K202" s="583"/>
      <c r="L202" s="583"/>
      <c r="M202" s="738"/>
    </row>
    <row r="203" spans="1:18" ht="12.75" customHeight="1" x14ac:dyDescent="0.2">
      <c r="A203" s="739"/>
      <c r="B203" s="736"/>
      <c r="C203" s="737"/>
      <c r="D203" s="704"/>
      <c r="E203" s="583"/>
      <c r="F203" s="583"/>
      <c r="G203" s="583"/>
      <c r="H203" s="583"/>
      <c r="I203" s="583"/>
      <c r="J203" s="583"/>
      <c r="K203" s="583"/>
      <c r="L203" s="583"/>
      <c r="M203" s="738"/>
    </row>
    <row r="204" spans="1:18" ht="12.75" customHeight="1" x14ac:dyDescent="0.2">
      <c r="A204" s="739"/>
      <c r="B204" s="736"/>
      <c r="C204" s="737"/>
      <c r="D204" s="704"/>
      <c r="E204" s="583"/>
      <c r="F204" s="583"/>
      <c r="G204" s="583"/>
      <c r="H204" s="583"/>
      <c r="I204" s="583"/>
      <c r="J204" s="583"/>
      <c r="K204" s="583"/>
      <c r="L204" s="583"/>
      <c r="M204" s="738"/>
    </row>
    <row r="205" spans="1:18" ht="12.75" customHeight="1" x14ac:dyDescent="0.2">
      <c r="A205" s="739"/>
      <c r="B205" s="736"/>
      <c r="C205" s="740"/>
      <c r="D205" s="704"/>
      <c r="E205" s="583"/>
      <c r="F205" s="583"/>
      <c r="G205" s="583"/>
      <c r="H205" s="583"/>
      <c r="I205" s="583"/>
      <c r="J205" s="583"/>
      <c r="K205" s="583"/>
      <c r="L205" s="583"/>
      <c r="M205" s="738"/>
    </row>
    <row r="206" spans="1:18" ht="12.75" customHeight="1" x14ac:dyDescent="0.2">
      <c r="A206" s="739"/>
      <c r="B206" s="736"/>
      <c r="C206" s="740"/>
      <c r="D206" s="704"/>
      <c r="E206" s="583"/>
      <c r="F206" s="583"/>
      <c r="G206" s="583"/>
      <c r="H206" s="583"/>
      <c r="I206" s="583"/>
      <c r="J206" s="583"/>
      <c r="K206" s="583"/>
      <c r="L206" s="583"/>
      <c r="M206" s="738"/>
    </row>
    <row r="207" spans="1:18" ht="12.75" customHeight="1" x14ac:dyDescent="0.2">
      <c r="A207" s="739"/>
      <c r="B207" s="736"/>
      <c r="C207" s="740"/>
      <c r="D207" s="704"/>
      <c r="E207" s="583"/>
      <c r="F207" s="583"/>
      <c r="G207" s="583"/>
      <c r="H207" s="583"/>
      <c r="I207" s="583"/>
      <c r="J207" s="583"/>
      <c r="K207" s="583"/>
      <c r="L207" s="583"/>
      <c r="M207" s="738"/>
    </row>
    <row r="208" spans="1:18" ht="12.75" customHeight="1" x14ac:dyDescent="0.2">
      <c r="A208" s="739"/>
      <c r="B208" s="736"/>
      <c r="C208" s="741"/>
      <c r="D208" s="704"/>
      <c r="E208" s="583"/>
      <c r="F208" s="583"/>
      <c r="G208" s="583"/>
      <c r="H208" s="583"/>
      <c r="I208" s="583"/>
      <c r="J208" s="583"/>
      <c r="K208" s="583"/>
      <c r="L208" s="583"/>
      <c r="M208" s="738"/>
    </row>
    <row r="209" spans="1:14" ht="12.75" customHeight="1" x14ac:dyDescent="0.2">
      <c r="A209" s="739"/>
      <c r="B209" s="736"/>
      <c r="C209" s="741"/>
      <c r="D209" s="704"/>
      <c r="E209" s="583"/>
      <c r="F209" s="583"/>
      <c r="G209" s="583"/>
      <c r="H209" s="583"/>
      <c r="I209" s="583"/>
      <c r="J209" s="583"/>
      <c r="K209" s="583"/>
      <c r="L209" s="583"/>
      <c r="M209" s="738"/>
    </row>
    <row r="210" spans="1:14" ht="12.75" customHeight="1" x14ac:dyDescent="0.2">
      <c r="A210" s="739"/>
      <c r="B210" s="736"/>
      <c r="C210" s="741"/>
      <c r="D210" s="704"/>
      <c r="E210" s="583"/>
      <c r="F210" s="583"/>
      <c r="G210" s="583"/>
      <c r="H210" s="583"/>
      <c r="I210" s="583"/>
      <c r="J210" s="583"/>
      <c r="K210" s="583"/>
      <c r="L210" s="583"/>
      <c r="M210" s="738"/>
    </row>
    <row r="211" spans="1:14" ht="12.75" customHeight="1" x14ac:dyDescent="0.2">
      <c r="A211" s="739"/>
      <c r="B211" s="736"/>
      <c r="C211" s="741"/>
      <c r="D211" s="704"/>
      <c r="E211" s="583"/>
      <c r="F211" s="583"/>
      <c r="G211" s="583"/>
      <c r="H211" s="583"/>
      <c r="I211" s="583"/>
      <c r="J211" s="583"/>
      <c r="K211" s="583"/>
      <c r="L211" s="583"/>
      <c r="M211" s="738"/>
    </row>
    <row r="212" spans="1:14" ht="12.75" customHeight="1" x14ac:dyDescent="0.2">
      <c r="A212" s="739"/>
      <c r="B212" s="736"/>
      <c r="C212" s="741"/>
      <c r="D212" s="704"/>
      <c r="E212" s="583"/>
      <c r="F212" s="583"/>
      <c r="G212" s="583"/>
      <c r="H212" s="583"/>
      <c r="I212" s="583"/>
      <c r="J212" s="583"/>
      <c r="K212" s="583"/>
      <c r="L212" s="583"/>
      <c r="M212" s="738"/>
    </row>
    <row r="213" spans="1:14" ht="12.75" customHeight="1" x14ac:dyDescent="0.2">
      <c r="A213" s="739"/>
      <c r="B213" s="736"/>
      <c r="C213" s="741"/>
      <c r="D213" s="704"/>
      <c r="E213" s="583"/>
      <c r="F213" s="583"/>
      <c r="G213" s="583"/>
      <c r="H213" s="583"/>
      <c r="I213" s="583"/>
      <c r="J213" s="583"/>
      <c r="K213" s="583"/>
      <c r="L213" s="583"/>
      <c r="M213" s="738"/>
    </row>
    <row r="214" spans="1:14" ht="12.75" customHeight="1" thickBot="1" x14ac:dyDescent="0.25">
      <c r="A214" s="739"/>
      <c r="B214" s="736"/>
      <c r="C214" s="742"/>
      <c r="D214" s="704"/>
      <c r="E214" s="583"/>
      <c r="F214" s="583"/>
      <c r="G214" s="583"/>
      <c r="H214" s="583"/>
      <c r="I214" s="583"/>
      <c r="J214" s="583"/>
      <c r="K214" s="583"/>
      <c r="L214" s="717" t="s">
        <v>249</v>
      </c>
      <c r="M214" s="743">
        <f>SUM(M191:M213)</f>
        <v>0</v>
      </c>
    </row>
    <row r="215" spans="1:14" ht="12.75" customHeight="1" thickTop="1" thickBot="1" x14ac:dyDescent="0.25">
      <c r="A215" s="744"/>
      <c r="B215" s="745"/>
      <c r="C215" s="720"/>
      <c r="D215" s="720"/>
      <c r="E215" s="720"/>
      <c r="F215" s="720"/>
      <c r="G215" s="720"/>
      <c r="H215" s="720"/>
      <c r="I215" s="720"/>
      <c r="J215" s="720"/>
      <c r="K215" s="720"/>
      <c r="L215" s="720"/>
      <c r="M215" s="721"/>
    </row>
    <row r="216" spans="1:14" ht="12.75" customHeight="1" thickTop="1" x14ac:dyDescent="0.2"/>
    <row r="217" spans="1:14" ht="12.75" customHeight="1" thickBot="1" x14ac:dyDescent="0.25"/>
    <row r="218" spans="1:14" ht="12.75" customHeight="1" thickTop="1" thickBot="1" x14ac:dyDescent="0.25">
      <c r="A218" s="746" t="s">
        <v>250</v>
      </c>
      <c r="B218" s="747"/>
      <c r="C218" s="747"/>
      <c r="D218" s="747"/>
      <c r="E218" s="747"/>
      <c r="F218" s="748"/>
      <c r="G218" s="749"/>
      <c r="H218" s="749"/>
      <c r="I218" s="749"/>
      <c r="J218" s="749"/>
      <c r="K218" s="749"/>
      <c r="L218" s="749"/>
      <c r="M218" s="749"/>
      <c r="N218" s="749"/>
    </row>
    <row r="219" spans="1:14" ht="12.75" customHeight="1" thickBot="1" x14ac:dyDescent="0.25">
      <c r="A219" s="750" t="s">
        <v>246</v>
      </c>
      <c r="B219" s="751" t="s">
        <v>219</v>
      </c>
      <c r="C219" s="752" t="s">
        <v>247</v>
      </c>
      <c r="D219" s="753" t="s">
        <v>248</v>
      </c>
      <c r="E219" s="754"/>
      <c r="F219" s="755" t="s">
        <v>221</v>
      </c>
      <c r="G219" s="749"/>
      <c r="H219" s="749"/>
      <c r="I219" s="749"/>
      <c r="J219" s="749"/>
      <c r="K219" s="749"/>
      <c r="L219" s="749"/>
      <c r="M219" s="749"/>
      <c r="N219" s="749"/>
    </row>
    <row r="220" spans="1:14" ht="12.75" customHeight="1" x14ac:dyDescent="0.2">
      <c r="A220" s="756"/>
      <c r="B220" s="736"/>
      <c r="C220" s="757"/>
      <c r="D220" s="583"/>
      <c r="E220" s="758"/>
      <c r="F220" s="759"/>
      <c r="G220" s="760"/>
      <c r="H220" s="760"/>
      <c r="I220" s="760"/>
      <c r="J220" s="760"/>
      <c r="K220" s="760"/>
      <c r="L220" s="760"/>
      <c r="M220" s="760"/>
      <c r="N220" s="760"/>
    </row>
    <row r="221" spans="1:14" ht="12.75" customHeight="1" x14ac:dyDescent="0.2">
      <c r="A221" s="756"/>
      <c r="B221" s="736"/>
      <c r="C221" s="749"/>
      <c r="D221" s="761"/>
      <c r="E221" s="758"/>
      <c r="F221" s="762"/>
      <c r="G221" s="760"/>
      <c r="H221" s="760"/>
      <c r="I221" s="760"/>
      <c r="J221" s="760"/>
      <c r="K221" s="760"/>
      <c r="L221" s="760"/>
      <c r="M221" s="760"/>
      <c r="N221" s="760"/>
    </row>
    <row r="222" spans="1:14" ht="12.75" customHeight="1" x14ac:dyDescent="0.2">
      <c r="A222" s="756"/>
      <c r="B222" s="736"/>
      <c r="C222" s="749"/>
      <c r="D222" s="761"/>
      <c r="E222" s="758"/>
      <c r="F222" s="763"/>
      <c r="G222" s="749"/>
      <c r="H222" s="749"/>
      <c r="I222" s="749"/>
      <c r="J222" s="749"/>
      <c r="K222" s="749"/>
      <c r="L222" s="749"/>
      <c r="M222" s="749"/>
      <c r="N222" s="749"/>
    </row>
    <row r="223" spans="1:14" ht="12.75" customHeight="1" x14ac:dyDescent="0.2">
      <c r="A223" s="756"/>
      <c r="B223" s="736"/>
      <c r="C223" s="749"/>
      <c r="D223" s="761"/>
      <c r="E223" s="758"/>
      <c r="F223" s="763"/>
      <c r="G223" s="749"/>
      <c r="H223" s="749"/>
      <c r="I223" s="749"/>
      <c r="J223" s="749"/>
      <c r="K223" s="749"/>
      <c r="L223" s="749"/>
      <c r="M223" s="749"/>
      <c r="N223" s="749"/>
    </row>
    <row r="224" spans="1:14" ht="12.75" customHeight="1" x14ac:dyDescent="0.2">
      <c r="A224" s="756"/>
      <c r="B224" s="736"/>
      <c r="C224" s="749"/>
      <c r="D224" s="761"/>
      <c r="E224" s="758"/>
      <c r="F224" s="763"/>
      <c r="G224" s="749"/>
      <c r="H224" s="749"/>
      <c r="I224" s="749"/>
      <c r="J224" s="749"/>
      <c r="K224" s="749"/>
      <c r="L224" s="749"/>
      <c r="M224" s="749"/>
      <c r="N224" s="749"/>
    </row>
    <row r="225" spans="1:14" ht="12.75" customHeight="1" x14ac:dyDescent="0.2">
      <c r="A225" s="756"/>
      <c r="B225" s="736"/>
      <c r="C225" s="749"/>
      <c r="D225" s="761"/>
      <c r="E225" s="758"/>
      <c r="F225" s="763"/>
      <c r="G225" s="749"/>
      <c r="H225" s="749"/>
      <c r="I225" s="749"/>
      <c r="J225" s="749"/>
      <c r="K225" s="749"/>
      <c r="L225" s="749"/>
      <c r="M225" s="749"/>
      <c r="N225" s="749"/>
    </row>
    <row r="226" spans="1:14" ht="12.75" customHeight="1" x14ac:dyDescent="0.2">
      <c r="A226" s="756"/>
      <c r="B226" s="736"/>
      <c r="C226" s="749"/>
      <c r="D226" s="761"/>
      <c r="E226" s="758"/>
      <c r="F226" s="763"/>
      <c r="G226" s="749"/>
      <c r="H226" s="749"/>
      <c r="I226" s="749"/>
      <c r="J226" s="749"/>
      <c r="K226" s="749"/>
      <c r="L226" s="749"/>
      <c r="M226" s="749"/>
      <c r="N226" s="749"/>
    </row>
    <row r="227" spans="1:14" ht="12.75" customHeight="1" x14ac:dyDescent="0.2">
      <c r="A227" s="756"/>
      <c r="B227" s="736"/>
      <c r="C227" s="749"/>
      <c r="D227" s="761"/>
      <c r="E227" s="758"/>
      <c r="F227" s="763"/>
      <c r="G227" s="749"/>
      <c r="H227" s="749"/>
      <c r="I227" s="749"/>
      <c r="J227" s="749"/>
      <c r="K227" s="749"/>
      <c r="L227" s="749"/>
      <c r="M227" s="749"/>
      <c r="N227" s="749"/>
    </row>
    <row r="228" spans="1:14" ht="12.75" customHeight="1" x14ac:dyDescent="0.2">
      <c r="A228" s="756"/>
      <c r="B228" s="736"/>
      <c r="C228" s="749"/>
      <c r="D228" s="761"/>
      <c r="E228" s="758"/>
      <c r="F228" s="763"/>
      <c r="G228" s="749"/>
      <c r="H228" s="749"/>
      <c r="I228" s="749"/>
      <c r="J228" s="749"/>
      <c r="K228" s="749"/>
      <c r="L228" s="749"/>
      <c r="M228" s="749"/>
      <c r="N228" s="749"/>
    </row>
    <row r="229" spans="1:14" ht="12.75" customHeight="1" x14ac:dyDescent="0.2">
      <c r="A229" s="756"/>
      <c r="B229" s="736"/>
      <c r="C229" s="749"/>
      <c r="D229" s="761"/>
      <c r="E229" s="758"/>
      <c r="F229" s="763"/>
      <c r="G229" s="749"/>
      <c r="H229" s="749"/>
      <c r="I229" s="749"/>
      <c r="J229" s="749"/>
      <c r="K229" s="749"/>
      <c r="L229" s="749"/>
      <c r="M229" s="749"/>
      <c r="N229" s="749"/>
    </row>
    <row r="230" spans="1:14" ht="12.75" customHeight="1" x14ac:dyDescent="0.2">
      <c r="A230" s="756"/>
      <c r="B230" s="736"/>
      <c r="C230" s="749"/>
      <c r="D230" s="761"/>
      <c r="E230" s="758"/>
      <c r="F230" s="763"/>
      <c r="G230" s="749"/>
      <c r="H230" s="749"/>
      <c r="I230" s="749"/>
      <c r="J230" s="749"/>
      <c r="K230" s="749"/>
      <c r="L230" s="749"/>
      <c r="M230" s="749"/>
      <c r="N230" s="749"/>
    </row>
    <row r="231" spans="1:14" ht="12.75" customHeight="1" x14ac:dyDescent="0.2">
      <c r="A231" s="756"/>
      <c r="B231" s="736"/>
      <c r="C231" s="749"/>
      <c r="D231" s="761"/>
      <c r="E231" s="758"/>
      <c r="F231" s="763"/>
      <c r="G231" s="749"/>
      <c r="H231" s="749"/>
      <c r="I231" s="749"/>
      <c r="J231" s="749"/>
      <c r="K231" s="749"/>
      <c r="L231" s="749"/>
      <c r="M231" s="749"/>
      <c r="N231" s="749"/>
    </row>
    <row r="232" spans="1:14" ht="12.75" customHeight="1" x14ac:dyDescent="0.2">
      <c r="A232" s="756"/>
      <c r="B232" s="736"/>
      <c r="C232" s="749"/>
      <c r="D232" s="761"/>
      <c r="E232" s="758"/>
      <c r="F232" s="763"/>
      <c r="G232" s="749"/>
      <c r="H232" s="749"/>
      <c r="I232" s="749"/>
      <c r="J232" s="749"/>
      <c r="K232" s="749"/>
      <c r="L232" s="749"/>
      <c r="M232" s="749"/>
      <c r="N232" s="749"/>
    </row>
    <row r="233" spans="1:14" ht="12.75" customHeight="1" x14ac:dyDescent="0.2">
      <c r="A233" s="756"/>
      <c r="B233" s="736"/>
      <c r="C233" s="749"/>
      <c r="D233" s="761"/>
      <c r="E233" s="758"/>
      <c r="F233" s="763"/>
      <c r="G233" s="749"/>
      <c r="H233" s="749"/>
      <c r="I233" s="749"/>
      <c r="J233" s="749"/>
      <c r="K233" s="749"/>
      <c r="L233" s="749"/>
      <c r="M233" s="749"/>
      <c r="N233" s="749"/>
    </row>
    <row r="234" spans="1:14" ht="12.75" customHeight="1" x14ac:dyDescent="0.2">
      <c r="A234" s="756"/>
      <c r="B234" s="736"/>
      <c r="C234" s="749"/>
      <c r="D234" s="761"/>
      <c r="E234" s="758"/>
      <c r="F234" s="763"/>
      <c r="G234" s="749"/>
      <c r="H234" s="749"/>
      <c r="I234" s="749"/>
      <c r="J234" s="749"/>
      <c r="K234" s="749"/>
      <c r="L234" s="749"/>
      <c r="M234" s="749"/>
      <c r="N234" s="749"/>
    </row>
    <row r="235" spans="1:14" ht="12.75" customHeight="1" x14ac:dyDescent="0.2">
      <c r="A235" s="756"/>
      <c r="B235" s="736"/>
      <c r="C235" s="749"/>
      <c r="D235" s="761"/>
      <c r="E235" s="758"/>
      <c r="F235" s="763"/>
      <c r="G235" s="749"/>
      <c r="H235" s="749"/>
      <c r="I235" s="749"/>
      <c r="J235" s="749"/>
      <c r="K235" s="749"/>
      <c r="L235" s="749"/>
      <c r="M235" s="749"/>
      <c r="N235" s="749"/>
    </row>
    <row r="236" spans="1:14" ht="12.75" customHeight="1" x14ac:dyDescent="0.2">
      <c r="A236" s="756"/>
      <c r="B236" s="736"/>
      <c r="C236" s="749"/>
      <c r="D236" s="761"/>
      <c r="E236" s="758"/>
      <c r="F236" s="763"/>
      <c r="G236" s="749"/>
      <c r="H236" s="749"/>
      <c r="I236" s="749"/>
      <c r="J236" s="749"/>
      <c r="K236" s="749"/>
      <c r="L236" s="749"/>
      <c r="M236" s="749"/>
      <c r="N236" s="749"/>
    </row>
    <row r="237" spans="1:14" ht="12.75" customHeight="1" x14ac:dyDescent="0.2">
      <c r="A237" s="756"/>
      <c r="B237" s="736"/>
      <c r="C237" s="749"/>
      <c r="D237" s="761"/>
      <c r="E237" s="758"/>
      <c r="F237" s="763"/>
      <c r="G237" s="749"/>
      <c r="H237" s="749"/>
      <c r="I237" s="749"/>
      <c r="J237" s="749"/>
      <c r="K237" s="749"/>
      <c r="L237" s="749"/>
      <c r="M237" s="749"/>
      <c r="N237" s="749"/>
    </row>
    <row r="238" spans="1:14" ht="12.75" customHeight="1" thickBot="1" x14ac:dyDescent="0.25">
      <c r="A238" s="756"/>
      <c r="B238" s="736"/>
      <c r="C238" s="749"/>
      <c r="D238" s="749"/>
      <c r="E238" s="717" t="s">
        <v>251</v>
      </c>
      <c r="F238" s="764">
        <f>SUM(F219:F237)</f>
        <v>0</v>
      </c>
      <c r="G238" s="749"/>
      <c r="H238" s="749"/>
      <c r="I238" s="749"/>
      <c r="J238" s="749"/>
      <c r="K238" s="749"/>
      <c r="L238" s="749"/>
      <c r="M238" s="749"/>
      <c r="N238" s="749"/>
    </row>
    <row r="239" spans="1:14" ht="12.75" customHeight="1" thickTop="1" thickBot="1" x14ac:dyDescent="0.25">
      <c r="A239" s="765"/>
      <c r="B239" s="766"/>
      <c r="C239" s="767"/>
      <c r="D239" s="767"/>
      <c r="E239" s="768"/>
      <c r="F239" s="769"/>
      <c r="G239" s="749"/>
      <c r="H239" s="749"/>
      <c r="I239" s="749"/>
      <c r="J239" s="749"/>
      <c r="K239" s="749"/>
      <c r="L239" s="749"/>
      <c r="M239" s="749"/>
      <c r="N239" s="749"/>
    </row>
    <row r="240" spans="1:14" ht="12.75" customHeight="1" thickTop="1" x14ac:dyDescent="0.2"/>
  </sheetData>
  <customSheetViews>
    <customSheetView guid="{535643D3-B9EE-11D2-A857-00805F2505DF}"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A-B9EE-11D2-A857-00805F2505DF}"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1-B9EE-11D2-A857-00805F2505DF}"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Q240"/>
  <sheetViews>
    <sheetView zoomScale="75" workbookViewId="0">
      <pane xSplit="2" ySplit="6" topLeftCell="W96" activePane="bottomRight" state="frozen"/>
      <selection activeCell="D9" sqref="D9:D13"/>
      <selection pane="topRight" activeCell="D9" sqref="D9:D13"/>
      <selection pane="bottomLeft" activeCell="D9" sqref="D9:D13"/>
      <selection pane="bottomRight" activeCell="L160" sqref="L160"/>
    </sheetView>
  </sheetViews>
  <sheetFormatPr defaultRowHeight="12.75" x14ac:dyDescent="0.2"/>
  <cols>
    <col min="1" max="1" width="23.85546875" style="13" customWidth="1"/>
    <col min="2" max="2" width="23.7109375" style="13" customWidth="1"/>
    <col min="3"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B1" s="815">
        <f>M38</f>
        <v>0</v>
      </c>
      <c r="D1" s="1"/>
      <c r="E1" s="1"/>
      <c r="F1" s="1"/>
      <c r="G1" s="1"/>
      <c r="H1" s="1"/>
      <c r="I1" s="1"/>
      <c r="J1" s="1"/>
      <c r="K1" s="1"/>
      <c r="L1" s="1"/>
      <c r="M1" s="1"/>
      <c r="N1" s="1"/>
      <c r="O1" s="1"/>
    </row>
    <row r="2" spans="1:37" ht="12.75" customHeight="1" x14ac:dyDescent="0.25">
      <c r="A2" s="101" t="s">
        <v>75</v>
      </c>
      <c r="D2" s="1"/>
      <c r="E2" s="1"/>
      <c r="F2" s="1"/>
      <c r="G2" s="1"/>
      <c r="H2" s="1"/>
      <c r="I2" s="1"/>
      <c r="J2" s="1"/>
      <c r="K2" s="1"/>
      <c r="L2" s="1"/>
      <c r="M2" s="1"/>
      <c r="N2" s="1"/>
      <c r="O2" s="1"/>
    </row>
    <row r="3" spans="1:37" ht="12.75" customHeight="1" x14ac:dyDescent="0.25">
      <c r="A3" s="257" t="s">
        <v>76</v>
      </c>
      <c r="B3" s="255" t="s">
        <v>267</v>
      </c>
      <c r="C3" s="255" t="s">
        <v>78</v>
      </c>
      <c r="D3" s="1"/>
      <c r="E3" s="1"/>
      <c r="F3" s="1"/>
      <c r="G3" s="1"/>
      <c r="H3" s="1"/>
      <c r="I3" s="1"/>
      <c r="J3" s="1"/>
      <c r="K3" s="1"/>
      <c r="L3" s="1"/>
      <c r="M3" s="1"/>
      <c r="N3" s="1"/>
      <c r="O3" s="1"/>
    </row>
    <row r="4" spans="1:37" ht="12.75" customHeight="1" x14ac:dyDescent="0.25">
      <c r="A4" s="257" t="s">
        <v>79</v>
      </c>
      <c r="B4" s="323">
        <f>Front!B4</f>
        <v>36831</v>
      </c>
      <c r="D4" s="1"/>
      <c r="E4" s="1"/>
      <c r="F4" s="1"/>
      <c r="G4" s="1"/>
      <c r="H4" s="1"/>
      <c r="I4" s="1"/>
      <c r="J4" s="1"/>
      <c r="K4" s="1"/>
      <c r="L4" s="1"/>
      <c r="M4" s="1"/>
      <c r="N4" s="1"/>
      <c r="O4" s="1"/>
    </row>
    <row r="5" spans="1:37" ht="12.75" customHeight="1" thickBot="1" x14ac:dyDescent="0.3">
      <c r="A5" s="257" t="s">
        <v>80</v>
      </c>
      <c r="B5" s="570">
        <f>Front!B5</f>
        <v>36847</v>
      </c>
      <c r="C5" s="15"/>
      <c r="V5" s="24"/>
      <c r="W5" s="24"/>
      <c r="X5" s="24"/>
      <c r="Y5" s="24"/>
      <c r="Z5" s="24"/>
      <c r="AA5" s="24"/>
    </row>
    <row r="6" spans="1:37" ht="12.75" customHeight="1" x14ac:dyDescent="0.25">
      <c r="A6" s="257" t="s">
        <v>81</v>
      </c>
      <c r="B6" s="776">
        <f>Front!$G$12</f>
        <v>949836</v>
      </c>
      <c r="C6" s="15"/>
      <c r="K6" s="123" t="s">
        <v>82</v>
      </c>
      <c r="L6" s="62"/>
      <c r="M6" s="62"/>
      <c r="N6" s="62"/>
      <c r="O6" s="62"/>
      <c r="P6" s="62"/>
      <c r="Q6" s="62"/>
      <c r="R6" s="7"/>
      <c r="S6" s="102" t="s">
        <v>83</v>
      </c>
      <c r="T6" s="102"/>
      <c r="V6" s="123" t="s">
        <v>84</v>
      </c>
      <c r="W6" s="62"/>
      <c r="X6" s="62"/>
      <c r="Y6" s="62"/>
      <c r="Z6" s="62"/>
      <c r="AA6" s="7"/>
    </row>
    <row r="7" spans="1:37" ht="12.75" customHeight="1" x14ac:dyDescent="0.2">
      <c r="B7" s="506"/>
      <c r="D7" s="103" t="s">
        <v>93</v>
      </c>
      <c r="E7" s="103" t="s">
        <v>94</v>
      </c>
      <c r="K7" s="64"/>
      <c r="L7" s="65" t="s">
        <v>88</v>
      </c>
      <c r="M7" s="65" t="s">
        <v>88</v>
      </c>
      <c r="N7" s="65" t="s">
        <v>88</v>
      </c>
      <c r="O7" s="65" t="s">
        <v>88</v>
      </c>
      <c r="P7" s="65" t="s">
        <v>88</v>
      </c>
      <c r="Q7" s="65" t="s">
        <v>88</v>
      </c>
      <c r="R7" s="66" t="s">
        <v>4</v>
      </c>
      <c r="S7" s="103" t="s">
        <v>89</v>
      </c>
      <c r="T7" s="103" t="s">
        <v>90</v>
      </c>
      <c r="V7" s="67" t="s">
        <v>91</v>
      </c>
      <c r="W7" s="24"/>
      <c r="X7" s="24"/>
      <c r="Y7" s="24"/>
      <c r="Z7" s="24"/>
      <c r="AA7" s="68"/>
    </row>
    <row r="8" spans="1:37" ht="12.75" customHeight="1" x14ac:dyDescent="0.2">
      <c r="A8" s="16" t="s">
        <v>92</v>
      </c>
      <c r="G8" s="17" t="s">
        <v>95</v>
      </c>
      <c r="H8" s="17"/>
      <c r="K8" s="124" t="s">
        <v>96</v>
      </c>
      <c r="L8" s="24"/>
      <c r="M8" s="24"/>
      <c r="N8" s="24"/>
      <c r="O8" s="24"/>
      <c r="P8" s="24"/>
      <c r="Q8" s="9"/>
      <c r="R8" s="68"/>
      <c r="V8" s="67" t="s">
        <v>97</v>
      </c>
      <c r="W8" s="24"/>
      <c r="X8" s="24"/>
      <c r="Y8" s="24"/>
      <c r="Z8" s="24"/>
      <c r="AA8" s="68"/>
    </row>
    <row r="9" spans="1:37" ht="12.75" customHeight="1" x14ac:dyDescent="0.2">
      <c r="A9" s="13" t="s">
        <v>98</v>
      </c>
      <c r="D9" s="18">
        <v>-82772632</v>
      </c>
      <c r="E9" s="18">
        <v>-94419865</v>
      </c>
      <c r="F9" s="1" t="s">
        <v>99</v>
      </c>
      <c r="G9" s="19" t="s">
        <v>100</v>
      </c>
      <c r="H9" s="19"/>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
      <c r="A10" s="13" t="s">
        <v>102</v>
      </c>
      <c r="D10" s="21">
        <v>144219076</v>
      </c>
      <c r="E10" s="21">
        <v>157566384</v>
      </c>
      <c r="F10" s="1" t="s">
        <v>99</v>
      </c>
      <c r="G10" s="19" t="s">
        <v>100</v>
      </c>
      <c r="H10" s="19"/>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
      <c r="A11" s="13" t="s">
        <v>368</v>
      </c>
      <c r="D11" s="21">
        <v>0</v>
      </c>
      <c r="E11" s="21">
        <v>0</v>
      </c>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
      <c r="A12" s="13" t="s">
        <v>109</v>
      </c>
      <c r="D12" s="21">
        <v>0</v>
      </c>
      <c r="E12" s="21">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
      <c r="A13" s="13" t="s">
        <v>112</v>
      </c>
      <c r="D13" s="21">
        <v>0</v>
      </c>
      <c r="E13" s="21">
        <v>0</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25">
      <c r="A14" s="13" t="s">
        <v>115</v>
      </c>
      <c r="E14" s="22">
        <f>+E159</f>
        <v>-2581772</v>
      </c>
      <c r="F14" s="13" t="s">
        <v>116</v>
      </c>
      <c r="K14" s="67" t="s">
        <v>117</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118</v>
      </c>
      <c r="Z14" s="24"/>
      <c r="AA14" s="68"/>
    </row>
    <row r="15" spans="1:37" ht="12.75" customHeight="1" thickTop="1" x14ac:dyDescent="0.2">
      <c r="A15" s="13" t="s">
        <v>119</v>
      </c>
      <c r="E15" s="22">
        <f>+L160</f>
        <v>0</v>
      </c>
      <c r="F15" s="13" t="s">
        <v>116</v>
      </c>
      <c r="K15" s="67" t="s">
        <v>120</v>
      </c>
      <c r="L15" s="249">
        <v>0</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2">
      <c r="A16" s="13" t="s">
        <v>124</v>
      </c>
      <c r="E16" s="22">
        <f>+E185</f>
        <v>0</v>
      </c>
      <c r="F16" s="13" t="s">
        <v>116</v>
      </c>
      <c r="I16" s="23"/>
      <c r="J16" s="23"/>
      <c r="K16" s="67" t="s">
        <v>125</v>
      </c>
      <c r="L16" s="248">
        <v>0</v>
      </c>
      <c r="M16" s="248">
        <v>0</v>
      </c>
      <c r="N16" s="248">
        <v>0</v>
      </c>
      <c r="O16" s="248">
        <v>0</v>
      </c>
      <c r="P16" s="248">
        <v>0</v>
      </c>
      <c r="Q16" s="248">
        <v>0</v>
      </c>
      <c r="R16" s="251">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2"/>
      <c r="L17" s="122">
        <f t="shared" ref="L17:Q17" si="1">SUM(L15*L16)</f>
        <v>0</v>
      </c>
      <c r="M17" s="122">
        <f t="shared" si="1"/>
        <v>0</v>
      </c>
      <c r="N17" s="122">
        <f t="shared" si="1"/>
        <v>0</v>
      </c>
      <c r="O17" s="122">
        <f t="shared" si="1"/>
        <v>0</v>
      </c>
      <c r="P17" s="122">
        <f t="shared" si="1"/>
        <v>0</v>
      </c>
      <c r="Q17" s="122">
        <f t="shared" si="1"/>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8">
        <f>SUM(E9:E16)</f>
        <v>60564747</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f>
        <v>60402688</v>
      </c>
      <c r="AA20" s="68"/>
      <c r="AB20" s="24"/>
      <c r="AC20" s="24"/>
      <c r="AD20" s="24"/>
      <c r="AE20" s="24"/>
      <c r="AF20" s="24"/>
      <c r="AG20" s="24"/>
      <c r="AH20" s="24"/>
      <c r="AI20" s="26"/>
      <c r="AJ20" s="24"/>
      <c r="AK20" s="24"/>
    </row>
    <row r="21" spans="1:37" ht="12.75" customHeight="1" thickBot="1" x14ac:dyDescent="0.25">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75" customHeight="1" x14ac:dyDescent="0.2">
      <c r="A22" s="13" t="s">
        <v>132</v>
      </c>
      <c r="E22" s="18">
        <v>0</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133</v>
      </c>
      <c r="E23" s="28">
        <f>B63</f>
        <v>0</v>
      </c>
      <c r="F23" s="1" t="s">
        <v>99</v>
      </c>
      <c r="G23" s="24"/>
      <c r="I23" s="24"/>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134</v>
      </c>
      <c r="E24" s="229">
        <f>E22+E23</f>
        <v>0</v>
      </c>
      <c r="F24" s="13" t="s">
        <v>116</v>
      </c>
      <c r="I24" s="24"/>
      <c r="J24" s="24"/>
      <c r="K24" s="67" t="s">
        <v>117</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135</v>
      </c>
      <c r="E25" s="22">
        <f>-M214</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136</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141</v>
      </c>
      <c r="E29" s="18">
        <v>-59289430.539999992</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143</v>
      </c>
      <c r="E30" s="29">
        <f>B61</f>
        <v>0</v>
      </c>
      <c r="F30" s="13" t="s">
        <v>144</v>
      </c>
      <c r="I30" s="24"/>
      <c r="J30" s="24"/>
      <c r="K30" s="67" t="s">
        <v>145</v>
      </c>
      <c r="L30" s="24"/>
      <c r="M30" s="26">
        <v>54442239</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146</v>
      </c>
      <c r="E31" s="22">
        <f>B102</f>
        <v>0</v>
      </c>
      <c r="F31" s="13" t="s">
        <v>144</v>
      </c>
      <c r="I31" s="24"/>
      <c r="J31" s="24"/>
      <c r="K31" s="67" t="s">
        <v>147</v>
      </c>
      <c r="L31" s="24"/>
      <c r="M31" s="26">
        <v>0</v>
      </c>
      <c r="N31" s="27">
        <f>M31</f>
        <v>0</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148</v>
      </c>
      <c r="E32" s="29">
        <f>B118</f>
        <v>0</v>
      </c>
      <c r="F32" s="13" t="s">
        <v>144</v>
      </c>
      <c r="G32" s="19"/>
      <c r="K32" s="67" t="s">
        <v>149</v>
      </c>
      <c r="L32" s="24"/>
      <c r="M32" s="26">
        <v>-59289430.539999992</v>
      </c>
      <c r="N32" s="27"/>
      <c r="O32" s="24" t="s">
        <v>142</v>
      </c>
      <c r="P32" s="24"/>
      <c r="Q32" s="24"/>
      <c r="R32" s="68"/>
      <c r="AI32" s="1"/>
    </row>
    <row r="33" spans="1:69" ht="12.75" customHeight="1" x14ac:dyDescent="0.2">
      <c r="A33" s="13" t="s">
        <v>268</v>
      </c>
      <c r="E33" s="22">
        <f>B68</f>
        <v>0</v>
      </c>
      <c r="F33" s="13" t="s">
        <v>144</v>
      </c>
      <c r="K33" s="67"/>
      <c r="L33" s="9"/>
      <c r="M33" s="27"/>
      <c r="N33" s="27"/>
      <c r="O33" s="24"/>
      <c r="P33" s="24"/>
      <c r="Q33" s="24"/>
      <c r="R33" s="68"/>
    </row>
    <row r="34" spans="1:69" ht="12.75" customHeight="1" x14ac:dyDescent="0.2">
      <c r="A34" s="13" t="s">
        <v>151</v>
      </c>
      <c r="E34" s="22">
        <f>B69</f>
        <v>0</v>
      </c>
      <c r="F34" s="13" t="s">
        <v>144</v>
      </c>
      <c r="K34" s="67" t="s">
        <v>152</v>
      </c>
      <c r="L34" s="24"/>
      <c r="M34" s="27">
        <f>B76</f>
        <v>5901514</v>
      </c>
      <c r="N34" s="27">
        <f>B63</f>
        <v>0</v>
      </c>
      <c r="O34" s="24" t="s">
        <v>153</v>
      </c>
      <c r="P34" s="24"/>
      <c r="Q34" s="24"/>
      <c r="R34" s="68"/>
    </row>
    <row r="35" spans="1:69" ht="12.75" customHeight="1" x14ac:dyDescent="0.2">
      <c r="A35" s="13" t="s">
        <v>154</v>
      </c>
      <c r="E35" s="22">
        <f>F238</f>
        <v>-220994</v>
      </c>
      <c r="F35" s="13" t="s">
        <v>144</v>
      </c>
      <c r="K35" s="67"/>
      <c r="L35" s="24"/>
      <c r="M35" s="27"/>
      <c r="N35" s="27"/>
      <c r="O35" s="24"/>
      <c r="P35" s="24"/>
      <c r="Q35" s="24"/>
      <c r="R35" s="68"/>
    </row>
    <row r="36" spans="1:69" ht="12.75" customHeight="1" thickBot="1" x14ac:dyDescent="0.25">
      <c r="A36" s="17" t="s">
        <v>155</v>
      </c>
      <c r="E36" s="228">
        <f>SUM(E29:E35)</f>
        <v>-59510424.539999992</v>
      </c>
      <c r="K36" s="67" t="s">
        <v>156</v>
      </c>
      <c r="L36" s="9"/>
      <c r="M36" s="27">
        <f>SUM(M30:M34)</f>
        <v>1054322.4600000083</v>
      </c>
      <c r="N36" s="27">
        <f>SUM(N30:N34)</f>
        <v>0</v>
      </c>
      <c r="O36" s="24"/>
      <c r="P36" s="24"/>
      <c r="Q36" s="24"/>
      <c r="R36" s="68"/>
    </row>
    <row r="37" spans="1:69" ht="12.75" customHeight="1" thickTop="1" x14ac:dyDescent="0.2">
      <c r="K37" s="206"/>
      <c r="L37" s="9"/>
      <c r="M37" s="9"/>
      <c r="N37" s="9"/>
      <c r="O37" s="24"/>
      <c r="P37" s="24"/>
      <c r="Q37" s="24"/>
      <c r="R37" s="68"/>
    </row>
    <row r="38" spans="1:69" ht="12.75" customHeight="1" thickBot="1" x14ac:dyDescent="0.3">
      <c r="A38" s="16" t="s">
        <v>157</v>
      </c>
      <c r="C38" s="20"/>
      <c r="E38" s="228">
        <f>+E36+E26+E19</f>
        <v>1054322.4600000083</v>
      </c>
      <c r="K38" s="67"/>
      <c r="L38" s="207" t="s">
        <v>158</v>
      </c>
      <c r="M38" s="208">
        <f>M36-E38</f>
        <v>0</v>
      </c>
      <c r="N38" s="209">
        <f>+N36-E26</f>
        <v>0</v>
      </c>
      <c r="O38" s="24"/>
      <c r="P38" s="24"/>
      <c r="Q38" s="24"/>
      <c r="R38" s="68"/>
      <c r="AN38" s="1"/>
      <c r="AO38" s="1"/>
      <c r="AP38" s="1"/>
      <c r="AQ38" s="1"/>
      <c r="AR38" s="1"/>
      <c r="AS38" s="1"/>
    </row>
    <row r="39" spans="1:69" ht="12.75" customHeight="1" thickTop="1" thickBot="1" x14ac:dyDescent="0.25">
      <c r="K39" s="74"/>
      <c r="L39" s="131"/>
      <c r="M39" s="131"/>
      <c r="N39" s="133"/>
      <c r="O39" s="131"/>
      <c r="P39" s="131"/>
      <c r="Q39" s="131"/>
      <c r="R39" s="132"/>
      <c r="AJ39" s="1"/>
      <c r="AK39" s="1"/>
      <c r="AN39" s="1"/>
      <c r="AO39" s="1"/>
      <c r="AP39" s="1"/>
      <c r="AQ39" s="1"/>
      <c r="AR39" s="1"/>
      <c r="AS39" s="1"/>
    </row>
    <row r="40" spans="1:69" ht="12.75" customHeight="1" x14ac:dyDescent="0.2">
      <c r="K40" s="24"/>
      <c r="L40" s="24"/>
      <c r="M40" s="24"/>
      <c r="N40" s="24"/>
      <c r="O40" s="24"/>
      <c r="P40" s="24"/>
      <c r="AJ40" s="1"/>
      <c r="AK40" s="1"/>
      <c r="AN40" s="1"/>
      <c r="AO40" s="1"/>
      <c r="AP40" s="1"/>
      <c r="AQ40" s="1"/>
      <c r="AR40" s="1"/>
      <c r="AS40" s="1"/>
    </row>
    <row r="41" spans="1:69" ht="12.75" customHeight="1" x14ac:dyDescent="0.25">
      <c r="A41" s="56" t="s">
        <v>159</v>
      </c>
      <c r="B41" s="57"/>
      <c r="K41" s="1"/>
      <c r="L41" s="1"/>
      <c r="M41" s="43"/>
      <c r="N41" s="1"/>
      <c r="O41" s="1"/>
      <c r="P41" s="1"/>
      <c r="AJ41" s="1"/>
      <c r="AK41" s="1"/>
      <c r="AN41" s="1"/>
      <c r="AO41" s="1"/>
      <c r="AP41" s="1"/>
      <c r="AQ41" s="1"/>
      <c r="AR41" s="1"/>
      <c r="AS41" s="1"/>
    </row>
    <row r="42" spans="1:69" ht="12.75" customHeight="1" x14ac:dyDescent="0.2">
      <c r="B42" s="1"/>
      <c r="C42" s="19"/>
      <c r="AI42" s="106" t="s">
        <v>160</v>
      </c>
      <c r="AJ42" s="107"/>
      <c r="AK42" s="1"/>
      <c r="AN42" s="1"/>
      <c r="AO42" s="1"/>
      <c r="AP42" s="1"/>
      <c r="AQ42" s="1"/>
      <c r="AR42" s="1"/>
      <c r="AS42" s="1"/>
    </row>
    <row r="43" spans="1:69" ht="12.75" customHeight="1" x14ac:dyDescent="0.2">
      <c r="A43" s="30"/>
      <c r="B43" s="31" t="s">
        <v>161</v>
      </c>
      <c r="C43" s="32">
        <f>SUM(C47:C71)-C61-C68-C69</f>
        <v>436252</v>
      </c>
      <c r="D43" s="32">
        <f t="shared" ref="D43:S43" si="3">SUM(D47:D71)-D61-D68-D69</f>
        <v>402599</v>
      </c>
      <c r="E43" s="32">
        <f t="shared" si="3"/>
        <v>258265</v>
      </c>
      <c r="F43" s="32">
        <f t="shared" si="3"/>
        <v>0</v>
      </c>
      <c r="G43" s="32">
        <f t="shared" si="3"/>
        <v>0</v>
      </c>
      <c r="H43" s="32">
        <f>SUM(H47:H71)-I61-H68-H69</f>
        <v>133265</v>
      </c>
      <c r="I43" s="32">
        <f>SUM(I47:I71)-J61-I68-I69</f>
        <v>738918</v>
      </c>
      <c r="J43" s="32">
        <f>SUM(J47:J71)-K61-J68-J69</f>
        <v>580275</v>
      </c>
      <c r="K43" s="32">
        <f t="shared" si="3"/>
        <v>224433</v>
      </c>
      <c r="L43" s="32">
        <f t="shared" si="3"/>
        <v>118625</v>
      </c>
      <c r="M43" s="32">
        <f t="shared" si="3"/>
        <v>0</v>
      </c>
      <c r="N43" s="32">
        <f>SUM(N47:N71)-N62-N68-N69</f>
        <v>0</v>
      </c>
      <c r="O43" s="32">
        <f t="shared" si="3"/>
        <v>1100973</v>
      </c>
      <c r="P43" s="32">
        <f t="shared" si="3"/>
        <v>473405</v>
      </c>
      <c r="Q43" s="32">
        <f t="shared" si="3"/>
        <v>533310</v>
      </c>
      <c r="R43" s="32">
        <f t="shared" si="3"/>
        <v>-798881</v>
      </c>
      <c r="S43" s="32">
        <f t="shared" si="3"/>
        <v>1700075</v>
      </c>
      <c r="T43" s="32">
        <f t="shared" ref="T43:AG43" si="4">SUM(T47:T71)-T61-T68-T69</f>
        <v>0</v>
      </c>
      <c r="U43" s="32">
        <f t="shared" si="4"/>
        <v>0</v>
      </c>
      <c r="V43" s="32">
        <f t="shared" si="4"/>
        <v>0</v>
      </c>
      <c r="W43" s="32">
        <f t="shared" si="4"/>
        <v>0</v>
      </c>
      <c r="X43" s="32">
        <f>SUM(X47:X71)-Y61-X68-X69</f>
        <v>0</v>
      </c>
      <c r="Y43" s="32">
        <f>SUM(Y47:Y71)-Z61-Y68-Y69</f>
        <v>0</v>
      </c>
      <c r="Z43" s="32">
        <f>SUM(Z47:Z71)-AA61-Z68-Z69</f>
        <v>0</v>
      </c>
      <c r="AA43" s="32">
        <f t="shared" si="4"/>
        <v>0</v>
      </c>
      <c r="AB43" s="32">
        <f t="shared" si="4"/>
        <v>0</v>
      </c>
      <c r="AC43" s="32">
        <f t="shared" si="4"/>
        <v>0</v>
      </c>
      <c r="AD43" s="32">
        <f t="shared" si="4"/>
        <v>0</v>
      </c>
      <c r="AE43" s="32">
        <f t="shared" si="4"/>
        <v>0</v>
      </c>
      <c r="AF43" s="32">
        <f t="shared" si="4"/>
        <v>0</v>
      </c>
      <c r="AG43" s="32">
        <f t="shared" si="4"/>
        <v>0</v>
      </c>
      <c r="AH43" s="1"/>
      <c r="AI43" s="108" t="s">
        <v>162</v>
      </c>
      <c r="AJ43" s="109" t="s">
        <v>163</v>
      </c>
      <c r="AK43" s="1"/>
      <c r="AL43" s="33"/>
      <c r="AN43" s="1"/>
      <c r="AO43" s="1"/>
      <c r="AP43" s="1"/>
      <c r="AQ43" s="1"/>
      <c r="AR43" s="1"/>
      <c r="AS43" s="1"/>
    </row>
    <row r="44" spans="1:69" s="99" customFormat="1" ht="12.75" customHeight="1" x14ac:dyDescent="0.25">
      <c r="A44" s="216" t="s">
        <v>164</v>
      </c>
      <c r="B44" s="116">
        <f>B4</f>
        <v>36831</v>
      </c>
      <c r="C44" s="104">
        <f>B44</f>
        <v>36831</v>
      </c>
      <c r="D44" s="104">
        <f t="shared" ref="D44:S44" si="5">C44+1</f>
        <v>36832</v>
      </c>
      <c r="E44" s="104">
        <f t="shared" si="5"/>
        <v>36833</v>
      </c>
      <c r="F44" s="104">
        <f t="shared" si="5"/>
        <v>36834</v>
      </c>
      <c r="G44" s="104">
        <f t="shared" si="5"/>
        <v>36835</v>
      </c>
      <c r="H44" s="104">
        <f t="shared" si="5"/>
        <v>36836</v>
      </c>
      <c r="I44" s="104">
        <f t="shared" si="5"/>
        <v>36837</v>
      </c>
      <c r="J44" s="104">
        <f t="shared" si="5"/>
        <v>36838</v>
      </c>
      <c r="K44" s="104">
        <f t="shared" si="5"/>
        <v>36839</v>
      </c>
      <c r="L44" s="104">
        <f t="shared" si="5"/>
        <v>36840</v>
      </c>
      <c r="M44" s="104">
        <f t="shared" si="5"/>
        <v>36841</v>
      </c>
      <c r="N44" s="104">
        <f t="shared" si="5"/>
        <v>36842</v>
      </c>
      <c r="O44" s="104">
        <f t="shared" si="5"/>
        <v>36843</v>
      </c>
      <c r="P44" s="104">
        <f t="shared" si="5"/>
        <v>36844</v>
      </c>
      <c r="Q44" s="104">
        <f t="shared" si="5"/>
        <v>36845</v>
      </c>
      <c r="R44" s="104">
        <f t="shared" si="5"/>
        <v>36846</v>
      </c>
      <c r="S44" s="104">
        <f t="shared" si="5"/>
        <v>36847</v>
      </c>
      <c r="T44" s="104">
        <f t="shared" ref="T44:AG44" si="6">S44+1</f>
        <v>36848</v>
      </c>
      <c r="U44" s="104">
        <f t="shared" si="6"/>
        <v>36849</v>
      </c>
      <c r="V44" s="104">
        <f t="shared" si="6"/>
        <v>36850</v>
      </c>
      <c r="W44" s="104">
        <f t="shared" si="6"/>
        <v>36851</v>
      </c>
      <c r="X44" s="104">
        <f t="shared" si="6"/>
        <v>36852</v>
      </c>
      <c r="Y44" s="104">
        <f t="shared" si="6"/>
        <v>36853</v>
      </c>
      <c r="Z44" s="104">
        <f t="shared" si="6"/>
        <v>36854</v>
      </c>
      <c r="AA44" s="104">
        <f t="shared" si="6"/>
        <v>36855</v>
      </c>
      <c r="AB44" s="104">
        <f t="shared" si="6"/>
        <v>36856</v>
      </c>
      <c r="AC44" s="104">
        <f t="shared" si="6"/>
        <v>36857</v>
      </c>
      <c r="AD44" s="104">
        <f t="shared" si="6"/>
        <v>36858</v>
      </c>
      <c r="AE44" s="104">
        <f t="shared" si="6"/>
        <v>36859</v>
      </c>
      <c r="AF44" s="104">
        <f t="shared" si="6"/>
        <v>36860</v>
      </c>
      <c r="AG44" s="104">
        <f t="shared" si="6"/>
        <v>36861</v>
      </c>
      <c r="AI44" s="110">
        <v>1</v>
      </c>
      <c r="AJ44" s="111" t="s">
        <v>165</v>
      </c>
      <c r="AL44" s="100"/>
    </row>
    <row r="45" spans="1:69" ht="12.75" customHeight="1" x14ac:dyDescent="0.25">
      <c r="A45" s="34"/>
      <c r="B45" s="34"/>
      <c r="C45" s="105" t="str">
        <f t="shared" ref="C45:R45" si="7">LOOKUP((WEEKDAY(C44,1)),$AI$44:$AI$50,$AJ$44:$AJ$50)</f>
        <v>W</v>
      </c>
      <c r="D45" s="105" t="str">
        <f t="shared" si="7"/>
        <v>R</v>
      </c>
      <c r="E45" s="105" t="str">
        <f t="shared" si="7"/>
        <v>F</v>
      </c>
      <c r="F45" s="105" t="str">
        <f t="shared" si="7"/>
        <v>S</v>
      </c>
      <c r="G45" s="105" t="str">
        <f t="shared" si="7"/>
        <v>S</v>
      </c>
      <c r="H45" s="105" t="str">
        <f t="shared" si="7"/>
        <v>M</v>
      </c>
      <c r="I45" s="105" t="str">
        <f t="shared" si="7"/>
        <v>T</v>
      </c>
      <c r="J45" s="105" t="str">
        <f t="shared" si="7"/>
        <v>W</v>
      </c>
      <c r="K45" s="105" t="str">
        <f t="shared" si="7"/>
        <v>R</v>
      </c>
      <c r="L45" s="105" t="str">
        <f t="shared" si="7"/>
        <v>F</v>
      </c>
      <c r="M45" s="105" t="str">
        <f t="shared" si="7"/>
        <v>S</v>
      </c>
      <c r="N45" s="105" t="str">
        <f t="shared" si="7"/>
        <v>S</v>
      </c>
      <c r="O45" s="105" t="str">
        <f t="shared" si="7"/>
        <v>M</v>
      </c>
      <c r="P45" s="105" t="str">
        <f t="shared" si="7"/>
        <v>T</v>
      </c>
      <c r="Q45" s="105" t="str">
        <f t="shared" si="7"/>
        <v>W</v>
      </c>
      <c r="R45" s="105" t="str">
        <f t="shared" si="7"/>
        <v>R</v>
      </c>
      <c r="S45" s="105" t="str">
        <f t="shared" ref="S45:AG45" si="8">LOOKUP((WEEKDAY(S44,1)),$AI$44:$AI$50,$AJ$44:$AJ$50)</f>
        <v>F</v>
      </c>
      <c r="T45" s="105" t="str">
        <f t="shared" si="8"/>
        <v>S</v>
      </c>
      <c r="U45" s="105" t="str">
        <f t="shared" si="8"/>
        <v>S</v>
      </c>
      <c r="V45" s="105" t="str">
        <f t="shared" si="8"/>
        <v>M</v>
      </c>
      <c r="W45" s="105" t="str">
        <f t="shared" si="8"/>
        <v>T</v>
      </c>
      <c r="X45" s="105" t="str">
        <f t="shared" si="8"/>
        <v>W</v>
      </c>
      <c r="Y45" s="105" t="str">
        <f t="shared" si="8"/>
        <v>R</v>
      </c>
      <c r="Z45" s="105" t="str">
        <f t="shared" si="8"/>
        <v>F</v>
      </c>
      <c r="AA45" s="105" t="str">
        <f t="shared" si="8"/>
        <v>S</v>
      </c>
      <c r="AB45" s="105" t="str">
        <f t="shared" si="8"/>
        <v>S</v>
      </c>
      <c r="AC45" s="105" t="str">
        <f t="shared" si="8"/>
        <v>M</v>
      </c>
      <c r="AD45" s="105" t="str">
        <f t="shared" si="8"/>
        <v>T</v>
      </c>
      <c r="AE45" s="105" t="str">
        <f t="shared" si="8"/>
        <v>W</v>
      </c>
      <c r="AF45" s="105" t="str">
        <f t="shared" si="8"/>
        <v>R</v>
      </c>
      <c r="AG45" s="105" t="str">
        <f t="shared" si="8"/>
        <v>F</v>
      </c>
      <c r="AH45" s="1"/>
      <c r="AI45" s="112">
        <v>2</v>
      </c>
      <c r="AJ45" s="113" t="s">
        <v>166</v>
      </c>
      <c r="AK45" s="1"/>
      <c r="AL45" s="24"/>
      <c r="AN45" s="1"/>
      <c r="AO45" s="1"/>
      <c r="AP45" s="1"/>
      <c r="AQ45" s="1"/>
      <c r="AR45" s="1"/>
      <c r="AS45" s="1"/>
    </row>
    <row r="46" spans="1:69" ht="12.75" customHeight="1" thickBot="1" x14ac:dyDescent="0.3">
      <c r="A46" s="217"/>
      <c r="B46" s="35" t="s">
        <v>167</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168</v>
      </c>
      <c r="AK46" s="1"/>
      <c r="AL46" s="24"/>
      <c r="AN46" s="1"/>
      <c r="AO46" s="1"/>
      <c r="AP46" s="1"/>
      <c r="AQ46" s="1"/>
      <c r="AR46" s="1"/>
      <c r="AS46" s="1"/>
    </row>
    <row r="47" spans="1:69" ht="12.75" customHeight="1" thickTop="1" x14ac:dyDescent="0.2">
      <c r="A47" s="22" t="s">
        <v>169</v>
      </c>
      <c r="B47" s="39">
        <f t="shared" ref="B47:B62" si="9">SUM(C47:AG47)</f>
        <v>8841033</v>
      </c>
      <c r="C47" s="20">
        <f>1089434+489</f>
        <v>1089923</v>
      </c>
      <c r="D47" s="20">
        <f>-141292+92147</f>
        <v>-49145</v>
      </c>
      <c r="E47" s="20">
        <v>475719</v>
      </c>
      <c r="F47" s="848"/>
      <c r="G47" s="848"/>
      <c r="H47" s="20">
        <f>-220994+219446+1724611</f>
        <v>1723063</v>
      </c>
      <c r="I47" s="20">
        <v>2835270</v>
      </c>
      <c r="J47" s="20">
        <v>4038958</v>
      </c>
      <c r="K47" s="20">
        <v>1233182</v>
      </c>
      <c r="L47" s="20">
        <v>-2305039</v>
      </c>
      <c r="M47" s="848"/>
      <c r="N47" s="848"/>
      <c r="O47" s="20">
        <v>-199807</v>
      </c>
      <c r="P47" s="20">
        <v>-3583418</v>
      </c>
      <c r="Q47" s="20">
        <v>-38230</v>
      </c>
      <c r="R47" s="20">
        <f>5404513</f>
        <v>5404513</v>
      </c>
      <c r="S47" s="20">
        <v>-1783956</v>
      </c>
      <c r="T47" s="848"/>
      <c r="U47" s="848"/>
      <c r="V47" s="20"/>
      <c r="W47" s="20"/>
      <c r="X47" s="20"/>
      <c r="Y47" s="20"/>
      <c r="Z47" s="20"/>
      <c r="AA47" s="848"/>
      <c r="AB47" s="848"/>
      <c r="AC47" s="20"/>
      <c r="AD47" s="20"/>
      <c r="AE47" s="20"/>
      <c r="AF47" s="20"/>
      <c r="AG47" s="20"/>
      <c r="AH47" s="20"/>
      <c r="AI47" s="20">
        <v>4</v>
      </c>
      <c r="AJ47" s="20" t="s">
        <v>170</v>
      </c>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row>
    <row r="48" spans="1:69" ht="12.75" customHeight="1" x14ac:dyDescent="0.2">
      <c r="A48" s="44" t="s">
        <v>171</v>
      </c>
      <c r="B48" s="39">
        <f t="shared" si="9"/>
        <v>2128328</v>
      </c>
      <c r="C48" s="20">
        <v>762097</v>
      </c>
      <c r="D48" s="20">
        <v>-355654</v>
      </c>
      <c r="E48" s="20">
        <v>-173866</v>
      </c>
      <c r="F48" s="848"/>
      <c r="G48" s="848"/>
      <c r="H48" s="20">
        <v>-1705351</v>
      </c>
      <c r="I48" s="20">
        <v>-1500301</v>
      </c>
      <c r="J48" s="20">
        <v>-2515893</v>
      </c>
      <c r="K48" s="20">
        <v>769058</v>
      </c>
      <c r="L48" s="20">
        <v>361152</v>
      </c>
      <c r="M48" s="848"/>
      <c r="N48" s="848"/>
      <c r="O48" s="20">
        <v>1770269</v>
      </c>
      <c r="P48" s="20">
        <v>4928401</v>
      </c>
      <c r="Q48" s="20">
        <v>1921554</v>
      </c>
      <c r="R48" s="20">
        <v>-5446796</v>
      </c>
      <c r="S48" s="20">
        <v>3313658</v>
      </c>
      <c r="T48" s="848"/>
      <c r="U48" s="848"/>
      <c r="V48" s="20"/>
      <c r="W48" s="20"/>
      <c r="X48" s="20"/>
      <c r="Y48" s="20"/>
      <c r="Z48" s="20"/>
      <c r="AA48" s="848"/>
      <c r="AB48" s="848"/>
      <c r="AC48" s="20"/>
      <c r="AD48" s="20"/>
      <c r="AE48" s="20"/>
      <c r="AF48" s="20"/>
      <c r="AG48" s="20"/>
      <c r="AH48" s="20"/>
      <c r="AI48" s="20">
        <v>5</v>
      </c>
      <c r="AJ48" s="20" t="s">
        <v>172</v>
      </c>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row>
    <row r="49" spans="1:69" ht="12.75" hidden="1" customHeight="1" x14ac:dyDescent="0.2">
      <c r="A49" s="44" t="s">
        <v>173</v>
      </c>
      <c r="B49" s="39">
        <f t="shared" si="9"/>
        <v>0</v>
      </c>
      <c r="C49" s="20"/>
      <c r="D49" s="20"/>
      <c r="E49" s="20"/>
      <c r="F49" s="848"/>
      <c r="G49" s="848"/>
      <c r="H49" s="20"/>
      <c r="I49" s="20"/>
      <c r="J49" s="20"/>
      <c r="K49" s="20"/>
      <c r="L49" s="20"/>
      <c r="M49" s="848"/>
      <c r="N49" s="848"/>
      <c r="O49" s="20"/>
      <c r="P49" s="20"/>
      <c r="Q49" s="20"/>
      <c r="R49" s="20"/>
      <c r="S49" s="20"/>
      <c r="T49" s="848"/>
      <c r="U49" s="848"/>
      <c r="V49" s="20"/>
      <c r="W49" s="20"/>
      <c r="X49" s="20"/>
      <c r="Y49" s="20"/>
      <c r="Z49" s="20"/>
      <c r="AA49" s="848"/>
      <c r="AB49" s="848"/>
      <c r="AC49" s="20"/>
      <c r="AD49" s="20"/>
      <c r="AE49" s="20"/>
      <c r="AF49" s="20"/>
      <c r="AG49" s="20"/>
      <c r="AH49" s="20"/>
      <c r="AI49" s="20">
        <v>6</v>
      </c>
      <c r="AJ49" s="20" t="s">
        <v>174</v>
      </c>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row>
    <row r="50" spans="1:69" ht="12.75" hidden="1" customHeight="1" x14ac:dyDescent="0.2">
      <c r="A50" s="44" t="s">
        <v>175</v>
      </c>
      <c r="B50" s="39">
        <f t="shared" si="9"/>
        <v>0</v>
      </c>
      <c r="C50" s="20"/>
      <c r="D50" s="20"/>
      <c r="E50" s="20"/>
      <c r="F50" s="848"/>
      <c r="G50" s="848"/>
      <c r="H50" s="20"/>
      <c r="I50" s="20"/>
      <c r="J50" s="20"/>
      <c r="K50" s="20"/>
      <c r="L50" s="20"/>
      <c r="M50" s="848"/>
      <c r="N50" s="848"/>
      <c r="O50" s="20"/>
      <c r="P50" s="20"/>
      <c r="Q50" s="20"/>
      <c r="R50" s="20"/>
      <c r="S50" s="20"/>
      <c r="T50" s="848"/>
      <c r="U50" s="848"/>
      <c r="V50" s="20"/>
      <c r="W50" s="20"/>
      <c r="X50" s="20"/>
      <c r="Y50" s="20"/>
      <c r="Z50" s="20"/>
      <c r="AA50" s="848"/>
      <c r="AB50" s="848"/>
      <c r="AC50" s="20"/>
      <c r="AD50" s="20"/>
      <c r="AE50" s="20"/>
      <c r="AF50" s="20"/>
      <c r="AG50" s="20"/>
      <c r="AH50" s="20"/>
      <c r="AI50" s="20">
        <v>7</v>
      </c>
      <c r="AJ50" s="20" t="s">
        <v>165</v>
      </c>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row>
    <row r="51" spans="1:69" ht="12.75" customHeight="1" x14ac:dyDescent="0.2">
      <c r="A51" s="44" t="s">
        <v>176</v>
      </c>
      <c r="B51" s="39">
        <f t="shared" si="9"/>
        <v>-9566430</v>
      </c>
      <c r="C51" s="20">
        <v>-2343352</v>
      </c>
      <c r="D51" s="20">
        <v>266870</v>
      </c>
      <c r="E51" s="20">
        <v>-142638</v>
      </c>
      <c r="F51" s="848"/>
      <c r="G51" s="848"/>
      <c r="H51" s="20">
        <v>337069</v>
      </c>
      <c r="I51" s="20">
        <v>-543815</v>
      </c>
      <c r="J51" s="20">
        <v>-1489249</v>
      </c>
      <c r="K51" s="20">
        <v>-1961501</v>
      </c>
      <c r="L51" s="20">
        <v>1607080</v>
      </c>
      <c r="M51" s="848"/>
      <c r="N51" s="848"/>
      <c r="O51" s="20">
        <v>-498275</v>
      </c>
      <c r="P51" s="20">
        <v>-371019</v>
      </c>
      <c r="Q51" s="20">
        <v>-2656174</v>
      </c>
      <c r="R51" s="20">
        <v>-341164</v>
      </c>
      <c r="S51" s="20">
        <v>-1430262</v>
      </c>
      <c r="T51" s="848"/>
      <c r="U51" s="848"/>
      <c r="V51" s="20"/>
      <c r="W51" s="20"/>
      <c r="X51" s="20"/>
      <c r="Y51" s="20"/>
      <c r="Z51" s="20"/>
      <c r="AA51" s="848"/>
      <c r="AB51" s="848"/>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row>
    <row r="52" spans="1:69" ht="12.75" hidden="1" customHeight="1" x14ac:dyDescent="0.2">
      <c r="A52" s="44" t="s">
        <v>177</v>
      </c>
      <c r="B52" s="39">
        <f t="shared" si="9"/>
        <v>0</v>
      </c>
      <c r="C52" s="20"/>
      <c r="D52" s="20"/>
      <c r="E52" s="20"/>
      <c r="F52" s="848"/>
      <c r="G52" s="848"/>
      <c r="H52" s="20"/>
      <c r="I52" s="20"/>
      <c r="J52" s="20"/>
      <c r="K52" s="20"/>
      <c r="L52" s="20"/>
      <c r="M52" s="848"/>
      <c r="N52" s="848"/>
      <c r="O52" s="20"/>
      <c r="P52" s="20"/>
      <c r="Q52" s="20"/>
      <c r="R52" s="20"/>
      <c r="S52" s="20"/>
      <c r="T52" s="848"/>
      <c r="U52" s="848"/>
      <c r="V52" s="20"/>
      <c r="W52" s="20"/>
      <c r="X52" s="20"/>
      <c r="Y52" s="20"/>
      <c r="Z52" s="20"/>
      <c r="AA52" s="848"/>
      <c r="AB52" s="848"/>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row>
    <row r="53" spans="1:69" ht="12.75" customHeight="1" x14ac:dyDescent="0.2">
      <c r="A53" s="22" t="s">
        <v>178</v>
      </c>
      <c r="B53" s="39">
        <f t="shared" si="9"/>
        <v>3047670</v>
      </c>
      <c r="C53" s="20">
        <v>522774</v>
      </c>
      <c r="D53" s="20">
        <v>551369</v>
      </c>
      <c r="E53" s="20">
        <v>-46978</v>
      </c>
      <c r="F53" s="848"/>
      <c r="G53" s="848"/>
      <c r="H53" s="20">
        <f>-76496+82186</f>
        <v>5690</v>
      </c>
      <c r="I53" s="20">
        <v>-428111</v>
      </c>
      <c r="J53" s="20">
        <v>-398699</v>
      </c>
      <c r="K53" s="20">
        <f>-63390-1241</f>
        <v>-64631</v>
      </c>
      <c r="L53" s="20">
        <v>417798</v>
      </c>
      <c r="M53" s="848"/>
      <c r="N53" s="848"/>
      <c r="O53" s="20">
        <v>-223</v>
      </c>
      <c r="P53" s="20">
        <v>38609</v>
      </c>
      <c r="Q53" s="20">
        <v>1476926</v>
      </c>
      <c r="R53" s="20">
        <f>-401775+73553</f>
        <v>-328222</v>
      </c>
      <c r="S53" s="20">
        <f>1362697-61329</f>
        <v>1301368</v>
      </c>
      <c r="T53" s="848"/>
      <c r="U53" s="848"/>
      <c r="V53" s="20"/>
      <c r="W53" s="20"/>
      <c r="X53" s="20"/>
      <c r="Y53" s="20"/>
      <c r="Z53" s="20"/>
      <c r="AA53" s="848"/>
      <c r="AB53" s="848"/>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row>
    <row r="54" spans="1:69" ht="12.75" hidden="1" customHeight="1" x14ac:dyDescent="0.2">
      <c r="A54" s="22" t="s">
        <v>269</v>
      </c>
      <c r="B54" s="39">
        <f t="shared" si="9"/>
        <v>0</v>
      </c>
      <c r="C54" s="20"/>
      <c r="D54" s="20"/>
      <c r="E54" s="20"/>
      <c r="F54" s="848"/>
      <c r="G54" s="848"/>
      <c r="H54" s="20"/>
      <c r="I54" s="20"/>
      <c r="J54" s="20"/>
      <c r="K54" s="20"/>
      <c r="L54" s="20"/>
      <c r="M54" s="848"/>
      <c r="N54" s="848"/>
      <c r="O54" s="20"/>
      <c r="P54" s="20"/>
      <c r="Q54" s="20"/>
      <c r="R54" s="20"/>
      <c r="S54" s="20"/>
      <c r="T54" s="848"/>
      <c r="U54" s="848"/>
      <c r="V54" s="20"/>
      <c r="W54" s="20"/>
      <c r="X54" s="20"/>
      <c r="Y54" s="20"/>
      <c r="Z54" s="20"/>
      <c r="AA54" s="848"/>
      <c r="AB54" s="848"/>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row>
    <row r="55" spans="1:69" ht="12.75" customHeight="1" x14ac:dyDescent="0.2">
      <c r="A55" s="22" t="s">
        <v>180</v>
      </c>
      <c r="B55" s="39">
        <f t="shared" si="9"/>
        <v>1650174</v>
      </c>
      <c r="C55" s="20">
        <v>632688</v>
      </c>
      <c r="D55" s="20">
        <v>66969</v>
      </c>
      <c r="E55" s="20">
        <v>271211</v>
      </c>
      <c r="F55" s="848"/>
      <c r="G55" s="848"/>
      <c r="H55" s="20">
        <v>-19976</v>
      </c>
      <c r="I55" s="20">
        <v>712348</v>
      </c>
      <c r="J55" s="20">
        <v>686399</v>
      </c>
      <c r="K55" s="20">
        <v>46946</v>
      </c>
      <c r="L55" s="20">
        <v>21241</v>
      </c>
      <c r="M55" s="848"/>
      <c r="N55" s="848"/>
      <c r="O55" s="20">
        <v>30032</v>
      </c>
      <c r="P55" s="20">
        <v>-292774</v>
      </c>
      <c r="Q55" s="20">
        <v>-155168</v>
      </c>
      <c r="R55" s="20">
        <v>-171049</v>
      </c>
      <c r="S55" s="20">
        <v>-178693</v>
      </c>
      <c r="T55" s="848"/>
      <c r="U55" s="848"/>
      <c r="V55" s="20"/>
      <c r="W55" s="20"/>
      <c r="X55" s="20"/>
      <c r="Y55" s="20"/>
      <c r="Z55" s="20"/>
      <c r="AA55" s="848"/>
      <c r="AB55" s="848"/>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row>
    <row r="56" spans="1:69" ht="12.75" customHeight="1" x14ac:dyDescent="0.2">
      <c r="A56" s="22" t="s">
        <v>181</v>
      </c>
      <c r="B56" s="39">
        <f t="shared" si="9"/>
        <v>-939697</v>
      </c>
      <c r="C56" s="20">
        <v>-60124</v>
      </c>
      <c r="D56" s="20">
        <v>-92655</v>
      </c>
      <c r="E56" s="20">
        <v>-119014</v>
      </c>
      <c r="F56" s="848"/>
      <c r="G56" s="848"/>
      <c r="H56" s="20">
        <v>-398932</v>
      </c>
      <c r="I56" s="20">
        <v>-272115</v>
      </c>
      <c r="J56" s="20">
        <v>52132</v>
      </c>
      <c r="K56" s="20">
        <v>56268</v>
      </c>
      <c r="L56" s="20"/>
      <c r="M56" s="848"/>
      <c r="N56" s="848"/>
      <c r="O56" s="20">
        <v>-245763</v>
      </c>
      <c r="P56" s="20">
        <v>-359728</v>
      </c>
      <c r="Q56" s="20">
        <v>-69339</v>
      </c>
      <c r="R56" s="20"/>
      <c r="S56" s="20">
        <v>569573</v>
      </c>
      <c r="T56" s="848"/>
      <c r="U56" s="848"/>
      <c r="V56" s="20"/>
      <c r="W56" s="20"/>
      <c r="X56" s="20"/>
      <c r="Y56" s="20"/>
      <c r="Z56" s="20"/>
      <c r="AA56" s="848"/>
      <c r="AB56" s="848"/>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row>
    <row r="57" spans="1:69" ht="12.75" customHeight="1" x14ac:dyDescent="0.2">
      <c r="A57" s="44" t="s">
        <v>182</v>
      </c>
      <c r="B57" s="39">
        <f t="shared" si="9"/>
        <v>1079050</v>
      </c>
      <c r="C57" s="20">
        <v>53035</v>
      </c>
      <c r="D57" s="20">
        <v>-10314</v>
      </c>
      <c r="E57" s="20">
        <v>24848</v>
      </c>
      <c r="F57" s="848"/>
      <c r="G57" s="848"/>
      <c r="H57" s="20">
        <v>185240</v>
      </c>
      <c r="I57" s="20">
        <v>56987</v>
      </c>
      <c r="J57" s="20">
        <v>124965</v>
      </c>
      <c r="K57" s="20">
        <v>85680</v>
      </c>
      <c r="L57" s="20">
        <v>26190</v>
      </c>
      <c r="M57" s="848"/>
      <c r="N57" s="848"/>
      <c r="O57" s="20">
        <v>182660</v>
      </c>
      <c r="P57" s="20">
        <v>127045</v>
      </c>
      <c r="Q57" s="20">
        <v>91919</v>
      </c>
      <c r="R57" s="20">
        <v>62242</v>
      </c>
      <c r="S57" s="20">
        <v>68553</v>
      </c>
      <c r="T57" s="848"/>
      <c r="U57" s="848"/>
      <c r="V57" s="20"/>
      <c r="W57" s="20"/>
      <c r="X57" s="20"/>
      <c r="Y57" s="20"/>
      <c r="Z57" s="20"/>
      <c r="AA57" s="848"/>
      <c r="AB57" s="848"/>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row>
    <row r="58" spans="1:69" ht="12.75" customHeight="1" x14ac:dyDescent="0.2">
      <c r="A58" s="44" t="s">
        <v>183</v>
      </c>
      <c r="B58" s="39">
        <f t="shared" si="9"/>
        <v>-15397</v>
      </c>
      <c r="C58" s="20">
        <v>-397</v>
      </c>
      <c r="D58" s="20">
        <v>-4332</v>
      </c>
      <c r="E58" s="20">
        <v>150</v>
      </c>
      <c r="F58" s="848"/>
      <c r="G58" s="848"/>
      <c r="H58" s="20">
        <v>2424</v>
      </c>
      <c r="I58" s="20">
        <v>1854</v>
      </c>
      <c r="J58" s="20">
        <v>5739</v>
      </c>
      <c r="K58" s="20">
        <v>-4551</v>
      </c>
      <c r="L58" s="20">
        <v>-2848</v>
      </c>
      <c r="M58" s="848"/>
      <c r="N58" s="848"/>
      <c r="O58" s="20">
        <v>7</v>
      </c>
      <c r="P58" s="20">
        <v>29</v>
      </c>
      <c r="Q58" s="20">
        <v>483</v>
      </c>
      <c r="R58" s="20">
        <v>6241</v>
      </c>
      <c r="S58" s="20">
        <v>-20196</v>
      </c>
      <c r="T58" s="848"/>
      <c r="U58" s="848"/>
      <c r="V58" s="20"/>
      <c r="W58" s="20"/>
      <c r="X58" s="20"/>
      <c r="Y58" s="20"/>
      <c r="Z58" s="20"/>
      <c r="AA58" s="848"/>
      <c r="AB58" s="848"/>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row>
    <row r="59" spans="1:69" ht="12.75" customHeight="1" x14ac:dyDescent="0.2">
      <c r="A59" s="44" t="s">
        <v>184</v>
      </c>
      <c r="B59" s="39">
        <f t="shared" si="9"/>
        <v>177456</v>
      </c>
      <c r="C59" s="20">
        <v>8648</v>
      </c>
      <c r="D59" s="20">
        <v>8069</v>
      </c>
      <c r="E59" s="20">
        <v>6389</v>
      </c>
      <c r="F59" s="848"/>
      <c r="G59" s="848"/>
      <c r="H59" s="20">
        <v>19477</v>
      </c>
      <c r="I59" s="20">
        <v>6626</v>
      </c>
      <c r="J59" s="20">
        <v>6885</v>
      </c>
      <c r="K59" s="20">
        <v>10364</v>
      </c>
      <c r="L59" s="20">
        <v>13593</v>
      </c>
      <c r="M59" s="848"/>
      <c r="N59" s="848"/>
      <c r="O59" s="20">
        <v>33793</v>
      </c>
      <c r="P59" s="20">
        <v>11243</v>
      </c>
      <c r="Q59" s="20">
        <v>15594</v>
      </c>
      <c r="R59" s="20">
        <v>17971</v>
      </c>
      <c r="S59" s="20">
        <v>18804</v>
      </c>
      <c r="T59" s="848"/>
      <c r="U59" s="848"/>
      <c r="V59" s="20"/>
      <c r="W59" s="20"/>
      <c r="X59" s="20"/>
      <c r="Y59" s="20"/>
      <c r="Z59" s="20"/>
      <c r="AA59" s="848"/>
      <c r="AB59" s="848"/>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row>
    <row r="60" spans="1:69" ht="12.75" customHeight="1" x14ac:dyDescent="0.2">
      <c r="A60" s="44" t="s">
        <v>185</v>
      </c>
      <c r="B60" s="39">
        <f t="shared" si="9"/>
        <v>54909</v>
      </c>
      <c r="C60" s="20"/>
      <c r="D60" s="20"/>
      <c r="E60" s="20"/>
      <c r="F60" s="848"/>
      <c r="G60" s="848"/>
      <c r="H60" s="20">
        <f>91317-82186</f>
        <v>9131</v>
      </c>
      <c r="I60" s="20">
        <v>45778</v>
      </c>
      <c r="J60" s="20"/>
      <c r="K60" s="20"/>
      <c r="L60" s="20"/>
      <c r="M60" s="848"/>
      <c r="N60" s="848"/>
      <c r="O60" s="20"/>
      <c r="P60" s="20"/>
      <c r="Q60" s="20"/>
      <c r="R60" s="20"/>
      <c r="S60" s="20"/>
      <c r="T60" s="848"/>
      <c r="U60" s="848"/>
      <c r="V60" s="20"/>
      <c r="W60" s="20"/>
      <c r="X60" s="20"/>
      <c r="Y60" s="20"/>
      <c r="Z60" s="20"/>
      <c r="AA60" s="848"/>
      <c r="AB60" s="848"/>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row>
    <row r="61" spans="1:69" ht="12.75" customHeight="1" x14ac:dyDescent="0.2">
      <c r="A61" s="44" t="s">
        <v>186</v>
      </c>
      <c r="B61" s="39">
        <f t="shared" si="9"/>
        <v>0</v>
      </c>
      <c r="C61" s="20"/>
      <c r="D61" s="20"/>
      <c r="E61" s="20"/>
      <c r="F61" s="848"/>
      <c r="G61" s="848"/>
      <c r="H61" s="20"/>
      <c r="I61" s="20"/>
      <c r="J61" s="20"/>
      <c r="K61" s="20"/>
      <c r="L61" s="20"/>
      <c r="M61" s="848"/>
      <c r="N61" s="851"/>
      <c r="O61" s="20"/>
      <c r="P61" s="20"/>
      <c r="Q61" s="20"/>
      <c r="R61" s="20"/>
      <c r="S61" s="20"/>
      <c r="T61" s="848"/>
      <c r="U61" s="848"/>
      <c r="V61" s="20"/>
      <c r="W61" s="20"/>
      <c r="X61" s="20"/>
      <c r="Y61" s="20"/>
      <c r="Z61" s="20"/>
      <c r="AA61" s="848"/>
      <c r="AB61" s="848"/>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row>
    <row r="62" spans="1:69" ht="12.75" customHeight="1" x14ac:dyDescent="0.2">
      <c r="A62" s="44" t="s">
        <v>187</v>
      </c>
      <c r="B62" s="39">
        <f t="shared" si="9"/>
        <v>-555582</v>
      </c>
      <c r="C62" s="20">
        <f>-181728-47313+1</f>
        <v>-229040</v>
      </c>
      <c r="D62" s="20">
        <f>15557+5866-1</f>
        <v>21422</v>
      </c>
      <c r="E62" s="20">
        <f>-5037-32518-1</f>
        <v>-37556</v>
      </c>
      <c r="F62" s="848"/>
      <c r="G62" s="848"/>
      <c r="H62" s="20">
        <f>-22421-2149</f>
        <v>-24570</v>
      </c>
      <c r="I62" s="20">
        <f>-150850-24752-1</f>
        <v>-175603</v>
      </c>
      <c r="J62" s="20">
        <f>132215-63178+1</f>
        <v>69038</v>
      </c>
      <c r="K62" s="20">
        <f>77481-23863</f>
        <v>53618</v>
      </c>
      <c r="L62" s="20">
        <f>-14879-5665+2</f>
        <v>-20542</v>
      </c>
      <c r="M62" s="848"/>
      <c r="N62" s="848"/>
      <c r="O62" s="20">
        <f>39453-11173</f>
        <v>28280</v>
      </c>
      <c r="P62" s="20">
        <f>-13699-11284</f>
        <v>-24983</v>
      </c>
      <c r="Q62" s="20">
        <f>10467-64722</f>
        <v>-54255</v>
      </c>
      <c r="R62" s="20">
        <f>-15148+12530+1</f>
        <v>-2617</v>
      </c>
      <c r="S62" s="20">
        <f>-123455-35318-1</f>
        <v>-158774</v>
      </c>
      <c r="T62" s="848"/>
      <c r="U62" s="848"/>
      <c r="V62" s="20"/>
      <c r="W62" s="20"/>
      <c r="X62" s="20"/>
      <c r="Y62" s="20"/>
      <c r="Z62" s="20"/>
      <c r="AA62" s="848"/>
      <c r="AB62" s="848"/>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row>
    <row r="63" spans="1:69" ht="12.75" customHeight="1" x14ac:dyDescent="0.2">
      <c r="A63" s="44" t="s">
        <v>140</v>
      </c>
      <c r="B63" s="39">
        <f>SUM(C63:AG63)</f>
        <v>0</v>
      </c>
      <c r="C63" s="20"/>
      <c r="D63" s="20"/>
      <c r="E63" s="20"/>
      <c r="F63" s="848"/>
      <c r="G63" s="848"/>
      <c r="H63" s="20"/>
      <c r="I63" s="20"/>
      <c r="J63" s="20"/>
      <c r="K63" s="20"/>
      <c r="L63" s="20"/>
      <c r="M63" s="848"/>
      <c r="N63" s="848"/>
      <c r="O63" s="20"/>
      <c r="P63" s="20"/>
      <c r="Q63" s="20"/>
      <c r="R63" s="20"/>
      <c r="S63" s="20"/>
      <c r="T63" s="848"/>
      <c r="U63" s="848"/>
      <c r="V63" s="20"/>
      <c r="W63" s="20"/>
      <c r="X63" s="20"/>
      <c r="Y63" s="20"/>
      <c r="Z63" s="20"/>
      <c r="AA63" s="848"/>
      <c r="AB63" s="848"/>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row>
    <row r="64" spans="1:69" ht="12.75" customHeight="1" x14ac:dyDescent="0.2">
      <c r="A64" s="44" t="s">
        <v>188</v>
      </c>
      <c r="B64" s="39">
        <f t="shared" ref="B64:B70" si="10">SUM(C64:AG64)</f>
        <v>0</v>
      </c>
      <c r="C64" s="20"/>
      <c r="D64" s="20"/>
      <c r="E64" s="20"/>
      <c r="F64" s="848"/>
      <c r="G64" s="848"/>
      <c r="H64" s="20"/>
      <c r="I64" s="20"/>
      <c r="J64" s="20"/>
      <c r="K64" s="20"/>
      <c r="L64" s="20"/>
      <c r="M64" s="848"/>
      <c r="N64" s="848"/>
      <c r="O64" s="20"/>
      <c r="P64" s="20"/>
      <c r="Q64" s="20"/>
      <c r="R64" s="20"/>
      <c r="S64" s="20"/>
      <c r="T64" s="848"/>
      <c r="U64" s="848"/>
      <c r="V64" s="20"/>
      <c r="W64" s="20"/>
      <c r="X64" s="20"/>
      <c r="Y64" s="20"/>
      <c r="Z64" s="20"/>
      <c r="AA64" s="848"/>
      <c r="AB64" s="848"/>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row>
    <row r="65" spans="1:69" ht="12.75" customHeight="1" x14ac:dyDescent="0.2">
      <c r="A65" s="22" t="s">
        <v>189</v>
      </c>
      <c r="B65" s="39">
        <f t="shared" si="10"/>
        <v>0</v>
      </c>
      <c r="C65" s="20"/>
      <c r="D65" s="20"/>
      <c r="E65" s="20"/>
      <c r="F65" s="848"/>
      <c r="G65" s="848"/>
      <c r="H65" s="20"/>
      <c r="I65" s="20"/>
      <c r="J65" s="20"/>
      <c r="K65" s="20"/>
      <c r="L65" s="20"/>
      <c r="M65" s="848"/>
      <c r="N65" s="848"/>
      <c r="O65" s="20"/>
      <c r="P65" s="20"/>
      <c r="Q65" s="20"/>
      <c r="R65" s="20"/>
      <c r="S65" s="20"/>
      <c r="T65" s="848"/>
      <c r="U65" s="848"/>
      <c r="V65" s="20"/>
      <c r="W65" s="20"/>
      <c r="X65" s="20"/>
      <c r="Y65" s="20"/>
      <c r="Z65" s="20"/>
      <c r="AA65" s="848"/>
      <c r="AB65" s="848"/>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row>
    <row r="66" spans="1:69" ht="12.75" customHeight="1" x14ac:dyDescent="0.2">
      <c r="A66" s="22" t="s">
        <v>190</v>
      </c>
      <c r="B66" s="39">
        <f t="shared" si="10"/>
        <v>0</v>
      </c>
      <c r="C66" s="20"/>
      <c r="D66" s="20"/>
      <c r="E66" s="20"/>
      <c r="F66" s="848"/>
      <c r="G66" s="848"/>
      <c r="H66" s="20"/>
      <c r="I66" s="20"/>
      <c r="J66" s="20"/>
      <c r="K66" s="20"/>
      <c r="L66" s="20"/>
      <c r="M66" s="848"/>
      <c r="N66" s="848"/>
      <c r="O66" s="20"/>
      <c r="P66" s="20"/>
      <c r="Q66" s="20"/>
      <c r="R66" s="20"/>
      <c r="S66" s="20"/>
      <c r="T66" s="848"/>
      <c r="U66" s="848"/>
      <c r="V66" s="20"/>
      <c r="W66" s="20"/>
      <c r="X66" s="20"/>
      <c r="Y66" s="20"/>
      <c r="Z66" s="20"/>
      <c r="AA66" s="848"/>
      <c r="AB66" s="848"/>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row>
    <row r="67" spans="1:69" ht="12.75" customHeight="1" x14ac:dyDescent="0.2">
      <c r="A67" s="22" t="s">
        <v>191</v>
      </c>
      <c r="B67" s="39">
        <f t="shared" si="10"/>
        <v>0</v>
      </c>
      <c r="C67" s="20"/>
      <c r="D67" s="20"/>
      <c r="E67" s="20"/>
      <c r="F67" s="848"/>
      <c r="G67" s="848"/>
      <c r="H67" s="20"/>
      <c r="I67" s="20"/>
      <c r="J67" s="20"/>
      <c r="K67" s="20"/>
      <c r="L67" s="20"/>
      <c r="M67" s="848"/>
      <c r="N67" s="848"/>
      <c r="O67" s="20"/>
      <c r="P67" s="20"/>
      <c r="Q67" s="20"/>
      <c r="R67" s="20"/>
      <c r="S67" s="20"/>
      <c r="T67" s="848"/>
      <c r="U67" s="848"/>
      <c r="V67" s="20"/>
      <c r="W67" s="20"/>
      <c r="X67" s="20"/>
      <c r="Y67" s="20"/>
      <c r="Z67" s="20"/>
      <c r="AA67" s="848"/>
      <c r="AB67" s="848"/>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row>
    <row r="68" spans="1:69" ht="12.75" customHeight="1" x14ac:dyDescent="0.2">
      <c r="A68" s="22" t="s">
        <v>192</v>
      </c>
      <c r="B68" s="39">
        <f t="shared" si="10"/>
        <v>0</v>
      </c>
      <c r="C68" s="20"/>
      <c r="D68" s="20"/>
      <c r="E68" s="20"/>
      <c r="F68" s="848"/>
      <c r="G68" s="848"/>
      <c r="H68" s="20"/>
      <c r="I68" s="20"/>
      <c r="J68" s="20"/>
      <c r="K68" s="20"/>
      <c r="L68" s="20"/>
      <c r="M68" s="848"/>
      <c r="N68" s="848"/>
      <c r="O68" s="20"/>
      <c r="P68" s="20"/>
      <c r="Q68" s="20"/>
      <c r="R68" s="20"/>
      <c r="S68" s="20"/>
      <c r="T68" s="848"/>
      <c r="U68" s="848"/>
      <c r="V68" s="20"/>
      <c r="W68" s="20"/>
      <c r="X68" s="20"/>
      <c r="Y68" s="20"/>
      <c r="Z68" s="20"/>
      <c r="AA68" s="848"/>
      <c r="AB68" s="848"/>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row>
    <row r="69" spans="1:69" ht="12.75" customHeight="1" x14ac:dyDescent="0.2">
      <c r="A69" s="44" t="s">
        <v>193</v>
      </c>
      <c r="B69" s="39">
        <f t="shared" si="10"/>
        <v>0</v>
      </c>
      <c r="C69" s="20"/>
      <c r="D69" s="20"/>
      <c r="E69" s="20"/>
      <c r="F69" s="848"/>
      <c r="G69" s="848"/>
      <c r="H69" s="20"/>
      <c r="I69" s="20"/>
      <c r="J69" s="20"/>
      <c r="K69" s="20"/>
      <c r="L69" s="20"/>
      <c r="M69" s="848"/>
      <c r="N69" s="848"/>
      <c r="O69" s="20"/>
      <c r="P69" s="20"/>
      <c r="Q69" s="20"/>
      <c r="R69" s="20"/>
      <c r="S69" s="20"/>
      <c r="T69" s="848"/>
      <c r="U69" s="848"/>
      <c r="V69" s="20"/>
      <c r="W69" s="20"/>
      <c r="X69" s="20"/>
      <c r="Y69" s="20"/>
      <c r="Z69" s="20"/>
      <c r="AA69" s="848"/>
      <c r="AB69" s="848"/>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row>
    <row r="70" spans="1:69" ht="12.75" customHeight="1" x14ac:dyDescent="0.2">
      <c r="A70" s="22" t="s">
        <v>194</v>
      </c>
      <c r="B70" s="39">
        <f t="shared" si="10"/>
        <v>0</v>
      </c>
      <c r="C70" s="20"/>
      <c r="D70" s="20"/>
      <c r="E70" s="20"/>
      <c r="F70" s="848"/>
      <c r="G70" s="848"/>
      <c r="H70" s="20"/>
      <c r="I70" s="20"/>
      <c r="J70" s="20"/>
      <c r="K70" s="20"/>
      <c r="L70" s="20"/>
      <c r="M70" s="848"/>
      <c r="N70" s="848"/>
      <c r="O70" s="20"/>
      <c r="P70" s="20"/>
      <c r="Q70" s="20"/>
      <c r="R70" s="20"/>
      <c r="S70" s="20"/>
      <c r="T70" s="848"/>
      <c r="U70" s="848"/>
      <c r="V70" s="20"/>
      <c r="W70" s="20"/>
      <c r="X70" s="20"/>
      <c r="Y70" s="20"/>
      <c r="Z70" s="20"/>
      <c r="AA70" s="848"/>
      <c r="AB70" s="848"/>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row>
    <row r="71" spans="1:69" ht="12.75" customHeight="1" x14ac:dyDescent="0.2">
      <c r="A71" s="22" t="s">
        <v>195</v>
      </c>
      <c r="B71" s="39" t="s">
        <v>196</v>
      </c>
      <c r="C71" s="20"/>
      <c r="D71" s="20"/>
      <c r="E71" s="20"/>
      <c r="F71" s="848"/>
      <c r="G71" s="848"/>
      <c r="H71" s="20"/>
      <c r="I71" s="20"/>
      <c r="J71" s="20"/>
      <c r="K71" s="20"/>
      <c r="L71" s="20"/>
      <c r="M71" s="848"/>
      <c r="N71" s="848"/>
      <c r="O71" s="20"/>
      <c r="P71" s="20"/>
      <c r="Q71" s="20"/>
      <c r="R71" s="20"/>
      <c r="S71" s="20"/>
      <c r="T71" s="848"/>
      <c r="U71" s="848"/>
      <c r="V71" s="20"/>
      <c r="W71" s="20"/>
      <c r="X71" s="20"/>
      <c r="Y71" s="20"/>
      <c r="Z71" s="20"/>
      <c r="AA71" s="848"/>
      <c r="AB71" s="848"/>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row>
    <row r="72" spans="1:69" ht="12.75" customHeight="1" x14ac:dyDescent="0.2">
      <c r="A72" s="22"/>
      <c r="B72" s="276" t="s">
        <v>270</v>
      </c>
      <c r="C72" s="42"/>
      <c r="D72" s="42"/>
      <c r="E72" s="42"/>
      <c r="F72" s="849"/>
      <c r="G72" s="849"/>
      <c r="H72" s="42"/>
      <c r="I72" s="42"/>
      <c r="J72" s="42"/>
      <c r="K72" s="42"/>
      <c r="L72" s="42"/>
      <c r="M72" s="849"/>
      <c r="N72" s="849"/>
      <c r="O72" s="42"/>
      <c r="P72" s="42"/>
      <c r="Q72" s="42"/>
      <c r="R72" s="42"/>
      <c r="S72" s="42"/>
      <c r="T72" s="849"/>
      <c r="U72" s="849"/>
      <c r="V72" s="42"/>
      <c r="W72" s="42"/>
      <c r="X72" s="42"/>
      <c r="Y72" s="42"/>
      <c r="Z72" s="42"/>
      <c r="AA72" s="849"/>
      <c r="AB72" s="849"/>
      <c r="AC72" s="42"/>
      <c r="AD72" s="42"/>
      <c r="AE72" s="42"/>
      <c r="AF72" s="42"/>
      <c r="AG72" s="49"/>
      <c r="AH72" s="1"/>
      <c r="AJ72" s="1"/>
      <c r="AK72" s="1"/>
      <c r="AL72" s="41"/>
      <c r="AM72" s="42"/>
    </row>
    <row r="73" spans="1:69" ht="12.75" customHeight="1" x14ac:dyDescent="0.2">
      <c r="A73" s="22" t="s">
        <v>271</v>
      </c>
      <c r="B73" s="277">
        <f>E22</f>
        <v>0</v>
      </c>
      <c r="C73" s="278"/>
      <c r="D73" s="278"/>
      <c r="E73" s="278"/>
      <c r="F73" s="850"/>
      <c r="G73" s="850"/>
      <c r="H73" s="278"/>
      <c r="I73" s="278"/>
      <c r="J73" s="278"/>
      <c r="K73" s="278"/>
      <c r="L73" s="278"/>
      <c r="M73" s="850"/>
      <c r="N73" s="850"/>
      <c r="O73" s="278"/>
      <c r="P73" s="278"/>
      <c r="Q73" s="278"/>
      <c r="R73" s="278"/>
      <c r="S73" s="278"/>
      <c r="T73" s="850"/>
      <c r="U73" s="850"/>
      <c r="V73" s="278"/>
      <c r="W73" s="278"/>
      <c r="X73" s="278"/>
      <c r="Y73" s="278"/>
      <c r="Z73" s="278"/>
      <c r="AA73" s="850"/>
      <c r="AB73" s="850"/>
      <c r="AC73" s="278"/>
      <c r="AD73" s="278"/>
      <c r="AE73" s="278"/>
      <c r="AF73" s="278"/>
      <c r="AG73" s="278"/>
      <c r="AH73" s="1"/>
      <c r="AJ73" s="1"/>
      <c r="AK73" s="1"/>
      <c r="AL73" s="41"/>
      <c r="AM73" s="42"/>
    </row>
    <row r="74" spans="1:69" ht="12.75" customHeight="1" x14ac:dyDescent="0.2">
      <c r="A74" s="22" t="s">
        <v>272</v>
      </c>
      <c r="B74" s="39">
        <f>SUM(C74:AG74)</f>
        <v>0</v>
      </c>
      <c r="C74" s="278"/>
      <c r="D74" s="278"/>
      <c r="E74" s="278"/>
      <c r="F74" s="850"/>
      <c r="G74" s="850"/>
      <c r="H74" s="278"/>
      <c r="I74" s="278"/>
      <c r="J74" s="278"/>
      <c r="K74" s="278"/>
      <c r="L74" s="278"/>
      <c r="M74" s="850"/>
      <c r="N74" s="850"/>
      <c r="O74" s="278"/>
      <c r="P74" s="278"/>
      <c r="Q74" s="278"/>
      <c r="R74" s="278"/>
      <c r="S74" s="278"/>
      <c r="T74" s="850"/>
      <c r="U74" s="850"/>
      <c r="V74" s="278"/>
      <c r="W74" s="278"/>
      <c r="X74" s="278"/>
      <c r="Y74" s="278"/>
      <c r="Z74" s="278"/>
      <c r="AA74" s="850"/>
      <c r="AB74" s="850"/>
      <c r="AC74" s="278"/>
      <c r="AD74" s="278"/>
      <c r="AE74" s="278"/>
      <c r="AF74" s="278"/>
      <c r="AG74" s="279"/>
      <c r="AH74" s="1"/>
      <c r="AJ74" s="1"/>
      <c r="AK74" s="1"/>
      <c r="AL74" s="41"/>
      <c r="AM74" s="42"/>
    </row>
    <row r="75" spans="1:69"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69" ht="12.75" customHeight="1" x14ac:dyDescent="0.2">
      <c r="A76" s="51" t="s">
        <v>197</v>
      </c>
      <c r="B76" s="52">
        <f>SUM(B47:B75)-B61-B67-B68-B69</f>
        <v>5901514</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69"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69" ht="12.75" customHeight="1" x14ac:dyDescent="0.2">
      <c r="A78" s="24"/>
      <c r="B78" s="55"/>
      <c r="AH78" s="24"/>
      <c r="AJ78" s="24"/>
      <c r="AK78" s="20"/>
      <c r="AL78" s="41"/>
      <c r="AM78" s="42"/>
    </row>
    <row r="79" spans="1:69" ht="12.75" customHeight="1" x14ac:dyDescent="0.25">
      <c r="A79" s="56" t="s">
        <v>273</v>
      </c>
      <c r="B79" s="57"/>
      <c r="AH79" s="24"/>
      <c r="AJ79" s="24"/>
      <c r="AK79" s="20"/>
      <c r="AL79" s="41"/>
      <c r="AM79" s="42"/>
    </row>
    <row r="80" spans="1:69" ht="12.75" customHeight="1" x14ac:dyDescent="0.2">
      <c r="A80" s="24"/>
      <c r="B80" s="55"/>
      <c r="AH80" s="24"/>
      <c r="AJ80" s="24"/>
      <c r="AK80" s="20"/>
      <c r="AL80" s="41"/>
      <c r="AM80" s="42"/>
    </row>
    <row r="81" spans="1:45" ht="12.75" customHeight="1" x14ac:dyDescent="0.2">
      <c r="A81" s="30"/>
      <c r="B81" s="31" t="s">
        <v>161</v>
      </c>
      <c r="C81" s="32">
        <f t="shared" ref="C81:R81" si="11">SUM(C85:C101)</f>
        <v>0</v>
      </c>
      <c r="D81" s="32">
        <f t="shared" si="11"/>
        <v>0</v>
      </c>
      <c r="E81" s="32">
        <f t="shared" si="11"/>
        <v>0</v>
      </c>
      <c r="F81" s="32">
        <f t="shared" si="11"/>
        <v>0</v>
      </c>
      <c r="G81" s="32">
        <f t="shared" si="11"/>
        <v>0</v>
      </c>
      <c r="H81" s="32">
        <f t="shared" si="11"/>
        <v>0</v>
      </c>
      <c r="I81" s="32">
        <f t="shared" si="11"/>
        <v>0</v>
      </c>
      <c r="J81" s="32">
        <f t="shared" si="11"/>
        <v>0</v>
      </c>
      <c r="K81" s="32">
        <f t="shared" si="11"/>
        <v>0</v>
      </c>
      <c r="L81" s="32">
        <f t="shared" si="11"/>
        <v>0</v>
      </c>
      <c r="M81" s="32">
        <f t="shared" si="11"/>
        <v>0</v>
      </c>
      <c r="N81" s="32">
        <f t="shared" si="11"/>
        <v>0</v>
      </c>
      <c r="O81" s="32">
        <f t="shared" si="11"/>
        <v>0</v>
      </c>
      <c r="P81" s="32">
        <f t="shared" si="11"/>
        <v>0</v>
      </c>
      <c r="Q81" s="32">
        <f t="shared" si="11"/>
        <v>0</v>
      </c>
      <c r="R81" s="32">
        <f t="shared" si="11"/>
        <v>0</v>
      </c>
      <c r="S81" s="32">
        <f t="shared" ref="S81:AG81" si="12">SUM(S85:S101)</f>
        <v>0</v>
      </c>
      <c r="T81" s="32">
        <f t="shared" si="12"/>
        <v>0</v>
      </c>
      <c r="U81" s="32">
        <f t="shared" si="12"/>
        <v>0</v>
      </c>
      <c r="V81" s="32">
        <f t="shared" si="12"/>
        <v>0</v>
      </c>
      <c r="W81" s="32">
        <f t="shared" si="12"/>
        <v>0</v>
      </c>
      <c r="X81" s="32">
        <f t="shared" si="12"/>
        <v>0</v>
      </c>
      <c r="Y81" s="32">
        <f t="shared" si="12"/>
        <v>0</v>
      </c>
      <c r="Z81" s="32">
        <f t="shared" si="12"/>
        <v>0</v>
      </c>
      <c r="AA81" s="32">
        <f t="shared" si="12"/>
        <v>0</v>
      </c>
      <c r="AB81" s="32">
        <f t="shared" si="12"/>
        <v>0</v>
      </c>
      <c r="AC81" s="32">
        <f t="shared" si="12"/>
        <v>0</v>
      </c>
      <c r="AD81" s="32">
        <f t="shared" si="12"/>
        <v>0</v>
      </c>
      <c r="AE81" s="32">
        <f t="shared" si="12"/>
        <v>0</v>
      </c>
      <c r="AF81" s="32">
        <f t="shared" si="12"/>
        <v>0</v>
      </c>
      <c r="AG81" s="32">
        <f t="shared" si="12"/>
        <v>0</v>
      </c>
      <c r="AH81" s="1"/>
      <c r="AI81" s="117"/>
      <c r="AJ81" s="118"/>
      <c r="AK81" s="1"/>
      <c r="AL81" s="33"/>
      <c r="AN81" s="1"/>
      <c r="AO81" s="1"/>
      <c r="AP81" s="1"/>
      <c r="AQ81" s="1"/>
      <c r="AR81" s="1"/>
      <c r="AS81" s="1"/>
    </row>
    <row r="82" spans="1:45" s="99" customFormat="1" ht="12.75" customHeight="1" x14ac:dyDescent="0.25">
      <c r="A82" s="216" t="s">
        <v>199</v>
      </c>
      <c r="B82" s="116">
        <f t="shared" ref="B82:AG82" si="13">B44</f>
        <v>36831</v>
      </c>
      <c r="C82" s="104">
        <f t="shared" si="13"/>
        <v>36831</v>
      </c>
      <c r="D82" s="104">
        <f t="shared" si="13"/>
        <v>36832</v>
      </c>
      <c r="E82" s="104">
        <f t="shared" si="13"/>
        <v>36833</v>
      </c>
      <c r="F82" s="104">
        <f t="shared" si="13"/>
        <v>36834</v>
      </c>
      <c r="G82" s="104">
        <f t="shared" si="13"/>
        <v>36835</v>
      </c>
      <c r="H82" s="104">
        <f t="shared" si="13"/>
        <v>36836</v>
      </c>
      <c r="I82" s="104">
        <f t="shared" si="13"/>
        <v>36837</v>
      </c>
      <c r="J82" s="104">
        <f t="shared" si="13"/>
        <v>36838</v>
      </c>
      <c r="K82" s="104">
        <f t="shared" si="13"/>
        <v>36839</v>
      </c>
      <c r="L82" s="104">
        <f t="shared" si="13"/>
        <v>36840</v>
      </c>
      <c r="M82" s="104">
        <f t="shared" si="13"/>
        <v>36841</v>
      </c>
      <c r="N82" s="104">
        <f t="shared" si="13"/>
        <v>36842</v>
      </c>
      <c r="O82" s="104">
        <f t="shared" si="13"/>
        <v>36843</v>
      </c>
      <c r="P82" s="104">
        <f t="shared" si="13"/>
        <v>36844</v>
      </c>
      <c r="Q82" s="104">
        <f t="shared" si="13"/>
        <v>36845</v>
      </c>
      <c r="R82" s="104">
        <f t="shared" si="13"/>
        <v>36846</v>
      </c>
      <c r="S82" s="104">
        <f t="shared" si="13"/>
        <v>36847</v>
      </c>
      <c r="T82" s="104">
        <f t="shared" si="13"/>
        <v>36848</v>
      </c>
      <c r="U82" s="104">
        <f t="shared" si="13"/>
        <v>36849</v>
      </c>
      <c r="V82" s="104">
        <f t="shared" si="13"/>
        <v>36850</v>
      </c>
      <c r="W82" s="104">
        <f t="shared" si="13"/>
        <v>36851</v>
      </c>
      <c r="X82" s="104">
        <f t="shared" si="13"/>
        <v>36852</v>
      </c>
      <c r="Y82" s="104">
        <f t="shared" si="13"/>
        <v>36853</v>
      </c>
      <c r="Z82" s="104">
        <f t="shared" si="13"/>
        <v>36854</v>
      </c>
      <c r="AA82" s="104">
        <f t="shared" si="13"/>
        <v>36855</v>
      </c>
      <c r="AB82" s="104">
        <f t="shared" si="13"/>
        <v>36856</v>
      </c>
      <c r="AC82" s="104">
        <f t="shared" si="13"/>
        <v>36857</v>
      </c>
      <c r="AD82" s="104">
        <f t="shared" si="13"/>
        <v>36858</v>
      </c>
      <c r="AE82" s="104">
        <f t="shared" si="13"/>
        <v>36859</v>
      </c>
      <c r="AF82" s="104">
        <f t="shared" si="13"/>
        <v>36860</v>
      </c>
      <c r="AG82" s="104">
        <f t="shared" si="13"/>
        <v>36861</v>
      </c>
      <c r="AI82" s="117"/>
      <c r="AJ82" s="119"/>
      <c r="AL82" s="100"/>
    </row>
    <row r="83" spans="1:45" ht="12.75" customHeight="1" x14ac:dyDescent="0.25">
      <c r="A83" s="34"/>
      <c r="B83" s="34"/>
      <c r="C83" s="105" t="str">
        <f t="shared" ref="C83:AG83" si="14">C45</f>
        <v>W</v>
      </c>
      <c r="D83" s="105" t="str">
        <f t="shared" si="14"/>
        <v>R</v>
      </c>
      <c r="E83" s="105" t="str">
        <f t="shared" si="14"/>
        <v>F</v>
      </c>
      <c r="F83" s="105" t="str">
        <f t="shared" si="14"/>
        <v>S</v>
      </c>
      <c r="G83" s="105" t="str">
        <f t="shared" si="14"/>
        <v>S</v>
      </c>
      <c r="H83" s="105" t="str">
        <f t="shared" si="14"/>
        <v>M</v>
      </c>
      <c r="I83" s="105" t="str">
        <f t="shared" si="14"/>
        <v>T</v>
      </c>
      <c r="J83" s="105" t="str">
        <f t="shared" si="14"/>
        <v>W</v>
      </c>
      <c r="K83" s="105" t="str">
        <f t="shared" si="14"/>
        <v>R</v>
      </c>
      <c r="L83" s="105" t="str">
        <f t="shared" si="14"/>
        <v>F</v>
      </c>
      <c r="M83" s="105" t="str">
        <f t="shared" si="14"/>
        <v>S</v>
      </c>
      <c r="N83" s="105" t="str">
        <f t="shared" si="14"/>
        <v>S</v>
      </c>
      <c r="O83" s="105" t="str">
        <f t="shared" si="14"/>
        <v>M</v>
      </c>
      <c r="P83" s="105" t="str">
        <f t="shared" si="14"/>
        <v>T</v>
      </c>
      <c r="Q83" s="105" t="str">
        <f t="shared" si="14"/>
        <v>W</v>
      </c>
      <c r="R83" s="105" t="str">
        <f t="shared" si="14"/>
        <v>R</v>
      </c>
      <c r="S83" s="105" t="str">
        <f t="shared" si="14"/>
        <v>F</v>
      </c>
      <c r="T83" s="105" t="str">
        <f t="shared" si="14"/>
        <v>S</v>
      </c>
      <c r="U83" s="105" t="str">
        <f t="shared" si="14"/>
        <v>S</v>
      </c>
      <c r="V83" s="105" t="str">
        <f t="shared" si="14"/>
        <v>M</v>
      </c>
      <c r="W83" s="105" t="str">
        <f t="shared" si="14"/>
        <v>T</v>
      </c>
      <c r="X83" s="105" t="str">
        <f t="shared" si="14"/>
        <v>W</v>
      </c>
      <c r="Y83" s="105" t="str">
        <f t="shared" si="14"/>
        <v>R</v>
      </c>
      <c r="Z83" s="105" t="str">
        <f t="shared" si="14"/>
        <v>F</v>
      </c>
      <c r="AA83" s="105" t="str">
        <f t="shared" si="14"/>
        <v>S</v>
      </c>
      <c r="AB83" s="105" t="str">
        <f t="shared" si="14"/>
        <v>S</v>
      </c>
      <c r="AC83" s="105" t="str">
        <f t="shared" si="14"/>
        <v>M</v>
      </c>
      <c r="AD83" s="105" t="str">
        <f t="shared" si="14"/>
        <v>T</v>
      </c>
      <c r="AE83" s="105" t="str">
        <f t="shared" si="14"/>
        <v>W</v>
      </c>
      <c r="AF83" s="105" t="str">
        <f t="shared" si="14"/>
        <v>R</v>
      </c>
      <c r="AG83" s="105" t="str">
        <f t="shared" si="14"/>
        <v>F</v>
      </c>
      <c r="AH83" s="1"/>
      <c r="AI83" s="117"/>
      <c r="AJ83" s="118"/>
      <c r="AK83" s="1"/>
      <c r="AL83" s="24"/>
      <c r="AN83" s="1"/>
      <c r="AO83" s="1"/>
      <c r="AP83" s="1"/>
      <c r="AQ83" s="1"/>
      <c r="AR83" s="1"/>
      <c r="AS83" s="1"/>
    </row>
    <row r="84" spans="1:45" ht="12.75" customHeight="1" thickBot="1" x14ac:dyDescent="0.3">
      <c r="A84" s="217"/>
      <c r="B84" s="35" t="s">
        <v>167</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200</v>
      </c>
      <c r="B85" s="39">
        <f t="shared" ref="B85:B97" si="15">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201</v>
      </c>
      <c r="B86" s="39">
        <f t="shared" si="15"/>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202</v>
      </c>
      <c r="B87" s="39">
        <f t="shared" si="15"/>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203</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204</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205</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206</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207</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208</v>
      </c>
      <c r="B93" s="39">
        <f t="shared" si="15"/>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209</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210</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211</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212</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19" t="s">
        <v>213</v>
      </c>
      <c r="B102" s="51">
        <f>SUM(B87:B101)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161</v>
      </c>
      <c r="C104" s="32">
        <f t="shared" ref="C104:R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ref="S104:AG104" si="17">SUM(S108:S117)</f>
        <v>0</v>
      </c>
      <c r="T104" s="32">
        <f t="shared" si="17"/>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25">
      <c r="A105" s="216" t="s">
        <v>214</v>
      </c>
      <c r="B105" s="116">
        <f t="shared" ref="B105:AG105" si="18">B44</f>
        <v>36831</v>
      </c>
      <c r="C105" s="104">
        <f t="shared" si="18"/>
        <v>36831</v>
      </c>
      <c r="D105" s="104">
        <f t="shared" si="18"/>
        <v>36832</v>
      </c>
      <c r="E105" s="104">
        <f t="shared" si="18"/>
        <v>36833</v>
      </c>
      <c r="F105" s="104">
        <f t="shared" si="18"/>
        <v>36834</v>
      </c>
      <c r="G105" s="104">
        <f t="shared" si="18"/>
        <v>36835</v>
      </c>
      <c r="H105" s="104">
        <f t="shared" si="18"/>
        <v>36836</v>
      </c>
      <c r="I105" s="104">
        <f t="shared" si="18"/>
        <v>36837</v>
      </c>
      <c r="J105" s="104">
        <f t="shared" si="18"/>
        <v>36838</v>
      </c>
      <c r="K105" s="104">
        <f t="shared" si="18"/>
        <v>36839</v>
      </c>
      <c r="L105" s="104">
        <f t="shared" si="18"/>
        <v>36840</v>
      </c>
      <c r="M105" s="104">
        <f t="shared" si="18"/>
        <v>36841</v>
      </c>
      <c r="N105" s="104">
        <f t="shared" si="18"/>
        <v>36842</v>
      </c>
      <c r="O105" s="104">
        <f t="shared" si="18"/>
        <v>36843</v>
      </c>
      <c r="P105" s="104">
        <f t="shared" si="18"/>
        <v>36844</v>
      </c>
      <c r="Q105" s="104">
        <f t="shared" si="18"/>
        <v>36845</v>
      </c>
      <c r="R105" s="104">
        <f t="shared" si="18"/>
        <v>36846</v>
      </c>
      <c r="S105" s="104">
        <f t="shared" si="18"/>
        <v>36847</v>
      </c>
      <c r="T105" s="104">
        <f t="shared" si="18"/>
        <v>36848</v>
      </c>
      <c r="U105" s="104">
        <f t="shared" si="18"/>
        <v>36849</v>
      </c>
      <c r="V105" s="104">
        <f t="shared" si="18"/>
        <v>36850</v>
      </c>
      <c r="W105" s="104">
        <f t="shared" si="18"/>
        <v>36851</v>
      </c>
      <c r="X105" s="104">
        <f t="shared" si="18"/>
        <v>36852</v>
      </c>
      <c r="Y105" s="104">
        <f t="shared" si="18"/>
        <v>36853</v>
      </c>
      <c r="Z105" s="104">
        <f t="shared" si="18"/>
        <v>36854</v>
      </c>
      <c r="AA105" s="104">
        <f t="shared" si="18"/>
        <v>36855</v>
      </c>
      <c r="AB105" s="104">
        <f t="shared" si="18"/>
        <v>36856</v>
      </c>
      <c r="AC105" s="104">
        <f t="shared" si="18"/>
        <v>36857</v>
      </c>
      <c r="AD105" s="104">
        <f t="shared" si="18"/>
        <v>36858</v>
      </c>
      <c r="AE105" s="104">
        <f t="shared" si="18"/>
        <v>36859</v>
      </c>
      <c r="AF105" s="104">
        <f t="shared" si="18"/>
        <v>36860</v>
      </c>
      <c r="AG105" s="104">
        <f t="shared" si="18"/>
        <v>36861</v>
      </c>
      <c r="AI105" s="117"/>
      <c r="AJ105" s="119"/>
      <c r="AL105" s="100"/>
    </row>
    <row r="106" spans="1:45" ht="12.75" customHeight="1" x14ac:dyDescent="0.25">
      <c r="A106" s="34"/>
      <c r="B106" s="34"/>
      <c r="C106" s="105" t="str">
        <f t="shared" ref="C106:AG106" si="19">C45</f>
        <v>W</v>
      </c>
      <c r="D106" s="105" t="str">
        <f t="shared" si="19"/>
        <v>R</v>
      </c>
      <c r="E106" s="105" t="str">
        <f t="shared" si="19"/>
        <v>F</v>
      </c>
      <c r="F106" s="105" t="str">
        <f t="shared" si="19"/>
        <v>S</v>
      </c>
      <c r="G106" s="105" t="str">
        <f t="shared" si="19"/>
        <v>S</v>
      </c>
      <c r="H106" s="105" t="str">
        <f t="shared" si="19"/>
        <v>M</v>
      </c>
      <c r="I106" s="105" t="str">
        <f t="shared" si="19"/>
        <v>T</v>
      </c>
      <c r="J106" s="105" t="str">
        <f t="shared" si="19"/>
        <v>W</v>
      </c>
      <c r="K106" s="105" t="str">
        <f t="shared" si="19"/>
        <v>R</v>
      </c>
      <c r="L106" s="105" t="str">
        <f t="shared" si="19"/>
        <v>F</v>
      </c>
      <c r="M106" s="105" t="str">
        <f t="shared" si="19"/>
        <v>S</v>
      </c>
      <c r="N106" s="105" t="str">
        <f t="shared" si="19"/>
        <v>S</v>
      </c>
      <c r="O106" s="105" t="str">
        <f t="shared" si="19"/>
        <v>M</v>
      </c>
      <c r="P106" s="105" t="str">
        <f t="shared" si="19"/>
        <v>T</v>
      </c>
      <c r="Q106" s="105" t="str">
        <f t="shared" si="19"/>
        <v>W</v>
      </c>
      <c r="R106" s="105" t="str">
        <f t="shared" si="19"/>
        <v>R</v>
      </c>
      <c r="S106" s="105" t="str">
        <f t="shared" si="19"/>
        <v>F</v>
      </c>
      <c r="T106" s="105" t="str">
        <f t="shared" si="19"/>
        <v>S</v>
      </c>
      <c r="U106" s="105" t="str">
        <f t="shared" si="19"/>
        <v>S</v>
      </c>
      <c r="V106" s="105" t="str">
        <f t="shared" si="19"/>
        <v>M</v>
      </c>
      <c r="W106" s="105" t="str">
        <f t="shared" si="19"/>
        <v>T</v>
      </c>
      <c r="X106" s="105" t="str">
        <f t="shared" si="19"/>
        <v>W</v>
      </c>
      <c r="Y106" s="105" t="str">
        <f t="shared" si="19"/>
        <v>R</v>
      </c>
      <c r="Z106" s="105" t="str">
        <f t="shared" si="19"/>
        <v>F</v>
      </c>
      <c r="AA106" s="105" t="str">
        <f t="shared" si="19"/>
        <v>S</v>
      </c>
      <c r="AB106" s="105" t="str">
        <f t="shared" si="19"/>
        <v>S</v>
      </c>
      <c r="AC106" s="105" t="str">
        <f t="shared" si="19"/>
        <v>M</v>
      </c>
      <c r="AD106" s="105" t="str">
        <f t="shared" si="19"/>
        <v>T</v>
      </c>
      <c r="AE106" s="105" t="str">
        <f t="shared" si="19"/>
        <v>W</v>
      </c>
      <c r="AF106" s="105" t="str">
        <f t="shared" si="19"/>
        <v>R</v>
      </c>
      <c r="AG106" s="105" t="str">
        <f t="shared" si="19"/>
        <v>F</v>
      </c>
      <c r="AH106" s="1"/>
      <c r="AI106" s="117"/>
      <c r="AJ106" s="118"/>
      <c r="AK106" s="1"/>
      <c r="AL106" s="24"/>
      <c r="AN106" s="1"/>
      <c r="AO106" s="1"/>
      <c r="AP106" s="1"/>
      <c r="AQ106" s="1"/>
      <c r="AR106" s="1"/>
      <c r="AS106" s="1"/>
    </row>
    <row r="107" spans="1:45" ht="12.75" customHeight="1" thickBot="1" x14ac:dyDescent="0.3">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205</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207</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208</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209</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210</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212</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216</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217</v>
      </c>
      <c r="B124" s="76"/>
      <c r="C124" s="77"/>
      <c r="D124" s="77"/>
      <c r="E124" s="78"/>
      <c r="G124" s="75" t="s">
        <v>218</v>
      </c>
      <c r="H124" s="75"/>
      <c r="I124" s="76"/>
      <c r="J124" s="77"/>
      <c r="K124" s="77"/>
      <c r="L124" s="78"/>
      <c r="M124" s="9"/>
      <c r="N124" s="9"/>
      <c r="O124" s="1"/>
      <c r="P124" s="1"/>
    </row>
    <row r="125" spans="1:39" ht="12.75" customHeight="1" thickTop="1" x14ac:dyDescent="0.2">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
      <c r="A126" s="152" t="s">
        <v>274</v>
      </c>
      <c r="B126" s="24" t="s">
        <v>275</v>
      </c>
      <c r="C126" s="24"/>
      <c r="D126" s="38"/>
      <c r="E126" s="141">
        <v>0</v>
      </c>
      <c r="G126" s="79" t="s">
        <v>447</v>
      </c>
      <c r="H126" s="80"/>
      <c r="I126" s="24"/>
      <c r="J126" s="501"/>
      <c r="K126" s="149"/>
      <c r="L126" s="141">
        <v>-536320</v>
      </c>
      <c r="M126" s="1"/>
      <c r="N126" s="1"/>
      <c r="O126" s="1"/>
      <c r="P126" s="1"/>
    </row>
    <row r="127" spans="1:39" ht="12.75" customHeight="1" x14ac:dyDescent="0.2">
      <c r="A127" s="152" t="s">
        <v>276</v>
      </c>
      <c r="B127" s="24" t="s">
        <v>277</v>
      </c>
      <c r="C127" s="24"/>
      <c r="D127" s="38"/>
      <c r="E127" s="141">
        <f>-12361-18906</f>
        <v>-31267</v>
      </c>
      <c r="G127" s="466"/>
      <c r="H127" s="24"/>
      <c r="I127" s="1"/>
      <c r="J127" s="1"/>
      <c r="K127" s="38"/>
      <c r="L127" s="141"/>
      <c r="M127" s="1"/>
      <c r="N127" s="1"/>
      <c r="O127" s="1"/>
      <c r="P127" s="1"/>
    </row>
    <row r="128" spans="1:39" ht="12.75" customHeight="1" x14ac:dyDescent="0.2">
      <c r="A128" s="153">
        <v>36161</v>
      </c>
      <c r="B128" s="24" t="s">
        <v>226</v>
      </c>
      <c r="C128" s="24"/>
      <c r="D128" s="38"/>
      <c r="E128" s="141">
        <f>2404-14155</f>
        <v>-11751</v>
      </c>
      <c r="G128" s="81" t="s">
        <v>481</v>
      </c>
      <c r="H128" s="1"/>
      <c r="I128" s="1"/>
      <c r="J128" s="437"/>
      <c r="K128" s="149"/>
      <c r="L128" s="142">
        <v>951958</v>
      </c>
      <c r="M128" s="1"/>
      <c r="N128" s="1"/>
      <c r="O128" s="1"/>
      <c r="P128" s="1"/>
    </row>
    <row r="129" spans="1:16" ht="12.75" customHeight="1" x14ac:dyDescent="0.2">
      <c r="A129" s="153">
        <v>36192</v>
      </c>
      <c r="B129" s="24" t="s">
        <v>227</v>
      </c>
      <c r="C129" s="24"/>
      <c r="D129" s="38"/>
      <c r="E129" s="142">
        <f>10335-10997</f>
        <v>-662</v>
      </c>
      <c r="G129" s="81">
        <v>36664</v>
      </c>
      <c r="H129" s="24"/>
      <c r="I129" s="1"/>
      <c r="J129" s="437"/>
      <c r="K129" s="38"/>
      <c r="L129" s="142">
        <v>-80627</v>
      </c>
      <c r="M129" s="1"/>
      <c r="N129" s="1"/>
      <c r="O129" s="1"/>
      <c r="P129" s="1"/>
    </row>
    <row r="130" spans="1:16" ht="12.75" customHeight="1" x14ac:dyDescent="0.2">
      <c r="A130" s="153">
        <v>36220</v>
      </c>
      <c r="B130" s="24" t="s">
        <v>228</v>
      </c>
      <c r="C130" s="24"/>
      <c r="D130" s="38"/>
      <c r="E130" s="141">
        <f>-3781-1667</f>
        <v>-5448</v>
      </c>
      <c r="G130" s="81">
        <v>36665</v>
      </c>
      <c r="H130" s="24"/>
      <c r="I130" s="1"/>
      <c r="J130" s="502"/>
      <c r="K130" s="38"/>
      <c r="L130" s="141">
        <v>-190177</v>
      </c>
      <c r="M130" s="1"/>
      <c r="N130" s="1"/>
      <c r="O130" s="1"/>
      <c r="P130" s="1"/>
    </row>
    <row r="131" spans="1:16" ht="12.75" customHeight="1" x14ac:dyDescent="0.2">
      <c r="A131" s="153">
        <v>36251</v>
      </c>
      <c r="B131" s="24" t="s">
        <v>229</v>
      </c>
      <c r="C131" s="24"/>
      <c r="D131" s="38"/>
      <c r="E131" s="141">
        <f>1645-9720</f>
        <v>-8075</v>
      </c>
      <c r="G131" s="81">
        <v>36668</v>
      </c>
      <c r="H131" s="24"/>
      <c r="I131" s="1"/>
      <c r="J131" s="503"/>
      <c r="K131" s="38"/>
      <c r="L131" s="141">
        <v>-128533</v>
      </c>
      <c r="M131" s="1"/>
      <c r="N131" s="1"/>
      <c r="O131" s="1"/>
      <c r="P131" s="1"/>
    </row>
    <row r="132" spans="1:16" ht="12.75" customHeight="1" x14ac:dyDescent="0.2">
      <c r="A132" s="153">
        <v>36281</v>
      </c>
      <c r="B132" s="24" t="s">
        <v>230</v>
      </c>
      <c r="C132" s="82"/>
      <c r="D132" s="140"/>
      <c r="E132" s="142">
        <f>4266-19150</f>
        <v>-14884</v>
      </c>
      <c r="G132" s="814">
        <v>36669</v>
      </c>
      <c r="H132" s="24"/>
      <c r="I132" s="1"/>
      <c r="J132" s="1"/>
      <c r="K132" s="38"/>
      <c r="L132" s="142">
        <v>59162</v>
      </c>
      <c r="M132" s="1"/>
      <c r="N132" s="1"/>
      <c r="O132" s="1"/>
      <c r="P132" s="1"/>
    </row>
    <row r="133" spans="1:16" ht="12.75" customHeight="1" x14ac:dyDescent="0.2">
      <c r="A133" s="153">
        <v>36312</v>
      </c>
      <c r="B133" s="24" t="s">
        <v>231</v>
      </c>
      <c r="C133" s="82"/>
      <c r="D133" s="140"/>
      <c r="E133" s="142">
        <f>-51-28595</f>
        <v>-28646</v>
      </c>
      <c r="G133" s="814">
        <v>36670</v>
      </c>
      <c r="H133" s="24"/>
      <c r="I133" s="1"/>
      <c r="J133" s="345"/>
      <c r="K133" s="38"/>
      <c r="L133" s="142">
        <v>270176</v>
      </c>
      <c r="M133" s="1"/>
      <c r="N133" s="1"/>
      <c r="O133" s="1"/>
      <c r="P133" s="1"/>
    </row>
    <row r="134" spans="1:16" ht="12.75" customHeight="1" x14ac:dyDescent="0.2">
      <c r="A134" s="153">
        <v>36342</v>
      </c>
      <c r="B134" s="24" t="s">
        <v>232</v>
      </c>
      <c r="C134" s="82"/>
      <c r="D134" s="140"/>
      <c r="E134" s="141">
        <f>2848-29753</f>
        <v>-26905</v>
      </c>
      <c r="G134" s="81">
        <v>36671</v>
      </c>
      <c r="H134" s="24"/>
      <c r="I134" s="1"/>
      <c r="J134" s="1"/>
      <c r="K134" s="38"/>
      <c r="L134" s="141">
        <v>374959</v>
      </c>
      <c r="M134" s="43"/>
      <c r="N134" s="42"/>
      <c r="O134" s="1"/>
      <c r="P134" s="1"/>
    </row>
    <row r="135" spans="1:16" ht="12.75" customHeight="1" x14ac:dyDescent="0.2">
      <c r="A135" s="153">
        <v>36373</v>
      </c>
      <c r="B135" s="24" t="s">
        <v>233</v>
      </c>
      <c r="C135" s="24"/>
      <c r="D135" s="38"/>
      <c r="E135" s="141">
        <f>-9037-55827</f>
        <v>-64864</v>
      </c>
      <c r="G135" s="814">
        <v>36672</v>
      </c>
      <c r="H135" s="24"/>
      <c r="I135" s="1"/>
      <c r="J135" s="1"/>
      <c r="K135" s="38"/>
      <c r="L135" s="141">
        <v>374959</v>
      </c>
      <c r="M135" s="43"/>
      <c r="N135" s="1"/>
      <c r="O135" s="1"/>
      <c r="P135" s="1"/>
    </row>
    <row r="136" spans="1:16" ht="12.75" customHeight="1" x14ac:dyDescent="0.2">
      <c r="A136" s="153">
        <v>36404</v>
      </c>
      <c r="B136" s="24" t="s">
        <v>234</v>
      </c>
      <c r="C136" s="24"/>
      <c r="D136" s="38"/>
      <c r="E136" s="141">
        <f>-15937-79104</f>
        <v>-95041</v>
      </c>
      <c r="G136" s="814">
        <v>36676</v>
      </c>
      <c r="H136" s="24"/>
      <c r="I136" s="1"/>
      <c r="J136" s="1"/>
      <c r="K136" s="38"/>
      <c r="L136" s="141">
        <v>-17820</v>
      </c>
      <c r="M136" s="1"/>
      <c r="N136" s="43"/>
      <c r="O136" s="1"/>
      <c r="P136" s="1"/>
    </row>
    <row r="137" spans="1:16" ht="12.75" customHeight="1" x14ac:dyDescent="0.2">
      <c r="A137" s="153">
        <v>36434</v>
      </c>
      <c r="B137" s="24" t="s">
        <v>235</v>
      </c>
      <c r="C137" s="24"/>
      <c r="D137" s="38"/>
      <c r="E137" s="141">
        <f>5127-67394</f>
        <v>-62267</v>
      </c>
      <c r="G137" s="814">
        <v>36677</v>
      </c>
      <c r="H137" s="24"/>
      <c r="I137" s="9" t="s">
        <v>486</v>
      </c>
      <c r="J137" s="9"/>
      <c r="K137" s="38"/>
      <c r="L137" s="141">
        <f>-154630+1443037.54</f>
        <v>1288407.54</v>
      </c>
      <c r="M137" s="1"/>
      <c r="N137" s="43"/>
      <c r="O137" s="1"/>
      <c r="P137" s="1"/>
    </row>
    <row r="138" spans="1:16" ht="12.75" customHeight="1" x14ac:dyDescent="0.2">
      <c r="A138" s="153">
        <v>36465</v>
      </c>
      <c r="B138" s="24" t="s">
        <v>236</v>
      </c>
      <c r="C138" s="83"/>
      <c r="D138" s="38"/>
      <c r="E138" s="141">
        <v>-63928</v>
      </c>
      <c r="G138" s="81">
        <v>36678</v>
      </c>
      <c r="H138" s="24"/>
      <c r="I138" s="502"/>
      <c r="J138" s="9"/>
      <c r="K138" s="38"/>
      <c r="L138" s="141">
        <v>-176412</v>
      </c>
      <c r="M138" s="1"/>
      <c r="N138" s="1"/>
      <c r="O138" s="1"/>
      <c r="P138" s="1"/>
    </row>
    <row r="139" spans="1:16" ht="12.75" customHeight="1" x14ac:dyDescent="0.2">
      <c r="A139" s="153">
        <v>36495</v>
      </c>
      <c r="B139" s="24" t="s">
        <v>237</v>
      </c>
      <c r="C139" s="1"/>
      <c r="D139" s="49"/>
      <c r="E139" s="141">
        <v>-65289</v>
      </c>
      <c r="G139" s="814">
        <v>36679</v>
      </c>
      <c r="H139" s="24"/>
      <c r="I139" s="1"/>
      <c r="J139" s="1"/>
      <c r="K139" s="38"/>
      <c r="L139" s="141">
        <v>-205355</v>
      </c>
      <c r="M139" s="1"/>
      <c r="N139" s="1"/>
      <c r="O139" s="1"/>
      <c r="P139" s="1"/>
    </row>
    <row r="140" spans="1:16" ht="12.75" customHeight="1" x14ac:dyDescent="0.2">
      <c r="A140" s="153">
        <v>36526</v>
      </c>
      <c r="B140" s="24" t="s">
        <v>238</v>
      </c>
      <c r="C140" s="1"/>
      <c r="D140" s="38"/>
      <c r="E140" s="141">
        <f>9664-62817</f>
        <v>-53153</v>
      </c>
      <c r="G140" s="81">
        <v>36682</v>
      </c>
      <c r="H140" s="24"/>
      <c r="I140" s="1"/>
      <c r="J140" s="1"/>
      <c r="K140" s="38"/>
      <c r="L140" s="141">
        <v>332912</v>
      </c>
      <c r="M140" s="1"/>
      <c r="N140" s="1"/>
      <c r="O140" s="1"/>
      <c r="P140" s="1"/>
    </row>
    <row r="141" spans="1:16" ht="12.75" customHeight="1" x14ac:dyDescent="0.2">
      <c r="A141" s="153">
        <v>36557</v>
      </c>
      <c r="B141" s="24" t="s">
        <v>239</v>
      </c>
      <c r="C141" s="1"/>
      <c r="D141" s="38"/>
      <c r="E141" s="141">
        <v>-33215</v>
      </c>
      <c r="G141" s="81">
        <v>36683</v>
      </c>
      <c r="H141" s="24"/>
      <c r="I141" s="1"/>
      <c r="J141" s="1"/>
      <c r="K141" s="38"/>
      <c r="L141" s="141">
        <v>20441</v>
      </c>
      <c r="M141" s="1"/>
      <c r="N141" s="1"/>
      <c r="O141" s="1"/>
      <c r="P141" s="1"/>
    </row>
    <row r="142" spans="1:16" ht="12.75" customHeight="1" x14ac:dyDescent="0.2">
      <c r="A142" s="153">
        <v>36586</v>
      </c>
      <c r="B142" s="24" t="s">
        <v>240</v>
      </c>
      <c r="C142" s="24"/>
      <c r="D142" s="38"/>
      <c r="E142" s="141">
        <v>-28131</v>
      </c>
      <c r="G142" s="81">
        <v>36684</v>
      </c>
      <c r="H142" s="24"/>
      <c r="I142" s="1"/>
      <c r="J142" s="1"/>
      <c r="K142" s="38"/>
      <c r="L142" s="141">
        <v>-191572</v>
      </c>
      <c r="M142" s="1"/>
      <c r="N142" s="1"/>
      <c r="O142" s="1"/>
      <c r="P142" s="1"/>
    </row>
    <row r="143" spans="1:16" ht="12.75" customHeight="1" x14ac:dyDescent="0.2">
      <c r="A143" s="153">
        <v>36617</v>
      </c>
      <c r="B143" s="24" t="s">
        <v>479</v>
      </c>
      <c r="C143" s="24"/>
      <c r="D143" s="38"/>
      <c r="E143" s="141">
        <v>-31089</v>
      </c>
      <c r="G143" s="81">
        <v>36685</v>
      </c>
      <c r="H143" s="24"/>
      <c r="I143" s="1"/>
      <c r="J143" s="1"/>
      <c r="K143" s="38"/>
      <c r="L143" s="141">
        <v>24474</v>
      </c>
      <c r="M143" s="1"/>
      <c r="N143" s="1"/>
      <c r="O143" s="1"/>
      <c r="P143" s="1"/>
    </row>
    <row r="144" spans="1:16" ht="12.75" customHeight="1" x14ac:dyDescent="0.2">
      <c r="A144" s="153">
        <v>36647</v>
      </c>
      <c r="B144" s="24" t="s">
        <v>487</v>
      </c>
      <c r="C144" s="24"/>
      <c r="D144" s="38"/>
      <c r="E144" s="141">
        <v>-92738</v>
      </c>
      <c r="G144" s="81">
        <v>36686</v>
      </c>
      <c r="H144" s="24"/>
      <c r="I144" s="9"/>
      <c r="J144" s="502"/>
      <c r="K144" s="38"/>
      <c r="L144" s="141">
        <v>36071</v>
      </c>
      <c r="M144" s="1"/>
      <c r="N144" s="1"/>
      <c r="O144" s="1"/>
      <c r="P144" s="1"/>
    </row>
    <row r="145" spans="1:16" ht="12.75" customHeight="1" x14ac:dyDescent="0.2">
      <c r="A145" s="153">
        <v>36678</v>
      </c>
      <c r="B145" s="24" t="s">
        <v>493</v>
      </c>
      <c r="C145" s="24"/>
      <c r="D145" s="38"/>
      <c r="E145" s="141">
        <v>-239525</v>
      </c>
      <c r="G145" s="81">
        <v>36689</v>
      </c>
      <c r="H145" s="24"/>
      <c r="I145" s="9"/>
      <c r="J145" s="502"/>
      <c r="K145" s="38"/>
      <c r="L145" s="141">
        <v>-463</v>
      </c>
      <c r="M145" s="1"/>
      <c r="N145" s="1"/>
      <c r="O145" s="1"/>
      <c r="P145" s="1"/>
    </row>
    <row r="146" spans="1:16" ht="12.75" customHeight="1" x14ac:dyDescent="0.2">
      <c r="A146" s="153">
        <v>36708</v>
      </c>
      <c r="B146" s="24" t="s">
        <v>494</v>
      </c>
      <c r="C146" s="24"/>
      <c r="D146" s="38"/>
      <c r="E146" s="141">
        <v>-244025</v>
      </c>
      <c r="G146" s="81">
        <v>36690</v>
      </c>
      <c r="H146" s="24"/>
      <c r="I146" s="1"/>
      <c r="J146" s="345"/>
      <c r="K146" s="38"/>
      <c r="L146" s="141">
        <v>10546</v>
      </c>
      <c r="M146" s="1"/>
      <c r="N146" s="1"/>
      <c r="O146" s="1"/>
      <c r="P146" s="1"/>
    </row>
    <row r="147" spans="1:16" ht="12.75" customHeight="1" x14ac:dyDescent="0.2">
      <c r="A147" s="153">
        <v>36739</v>
      </c>
      <c r="B147" s="24" t="s">
        <v>499</v>
      </c>
      <c r="C147" s="24"/>
      <c r="D147" s="38"/>
      <c r="E147" s="141">
        <v>-449671</v>
      </c>
      <c r="G147" s="81">
        <v>36691</v>
      </c>
      <c r="H147" s="24"/>
      <c r="I147" s="1"/>
      <c r="J147" s="1"/>
      <c r="K147" s="38"/>
      <c r="L147" s="141">
        <v>-3621</v>
      </c>
      <c r="M147" s="1"/>
      <c r="N147" s="1"/>
      <c r="O147" s="1"/>
      <c r="P147" s="1"/>
    </row>
    <row r="148" spans="1:16" ht="12.75" customHeight="1" x14ac:dyDescent="0.2">
      <c r="A148" s="153">
        <v>36770</v>
      </c>
      <c r="B148" s="24" t="s">
        <v>510</v>
      </c>
      <c r="C148" s="24"/>
      <c r="D148" s="38"/>
      <c r="E148" s="141">
        <v>-454556</v>
      </c>
      <c r="G148" s="81">
        <v>36692</v>
      </c>
      <c r="H148" s="24"/>
      <c r="I148" s="1"/>
      <c r="J148" s="1"/>
      <c r="K148" s="38"/>
      <c r="L148" s="141">
        <v>47436</v>
      </c>
      <c r="M148" s="1"/>
      <c r="N148" s="1"/>
      <c r="O148" s="1"/>
      <c r="P148" s="1"/>
    </row>
    <row r="149" spans="1:16" ht="12.75" customHeight="1" x14ac:dyDescent="0.2">
      <c r="A149" s="153">
        <v>36800</v>
      </c>
      <c r="B149" s="24" t="s">
        <v>519</v>
      </c>
      <c r="C149" s="24"/>
      <c r="D149" s="38"/>
      <c r="E149" s="141">
        <v>-476642</v>
      </c>
      <c r="G149" s="81">
        <v>36693</v>
      </c>
      <c r="H149" s="24"/>
      <c r="I149" s="1"/>
      <c r="J149" s="1"/>
      <c r="K149" s="38"/>
      <c r="L149" s="141">
        <v>335361</v>
      </c>
      <c r="M149" s="1"/>
      <c r="N149" s="1"/>
      <c r="O149" s="1"/>
      <c r="P149" s="1"/>
    </row>
    <row r="150" spans="1:16" ht="12.75" customHeight="1" x14ac:dyDescent="0.2">
      <c r="A150" s="153"/>
      <c r="B150" s="24"/>
      <c r="C150" s="24"/>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1"/>
      <c r="M158" s="1"/>
      <c r="N158" s="1"/>
      <c r="O158" s="1"/>
      <c r="P158" s="1"/>
    </row>
    <row r="159" spans="1:16" ht="12.75" customHeight="1" thickBot="1" x14ac:dyDescent="0.25">
      <c r="A159" s="63"/>
      <c r="B159" s="24"/>
      <c r="C159" s="24"/>
      <c r="D159" s="145" t="s">
        <v>241</v>
      </c>
      <c r="E159" s="144">
        <f>SUM(E126:E158)</f>
        <v>-2581772</v>
      </c>
      <c r="G159" s="81"/>
      <c r="H159" s="24"/>
      <c r="I159" s="1"/>
      <c r="J159" s="1"/>
      <c r="K159" s="38"/>
      <c r="L159" s="143"/>
      <c r="M159" s="1"/>
      <c r="N159" s="1"/>
      <c r="O159" s="1"/>
      <c r="P159" s="1"/>
    </row>
    <row r="160" spans="1:16" ht="12.75" customHeight="1" thickTop="1" thickBot="1" x14ac:dyDescent="0.25">
      <c r="A160" s="71"/>
      <c r="B160" s="72"/>
      <c r="C160" s="72"/>
      <c r="D160" s="72"/>
      <c r="E160" s="73"/>
      <c r="G160" s="63"/>
      <c r="H160" s="24"/>
      <c r="I160" s="1"/>
      <c r="J160" s="1"/>
      <c r="K160" s="145" t="s">
        <v>242</v>
      </c>
      <c r="L160" s="144"/>
      <c r="M160" s="1"/>
      <c r="N160" s="1"/>
      <c r="O160" s="1"/>
      <c r="P160" s="1"/>
    </row>
    <row r="161" spans="1:39" ht="12.75" customHeight="1" thickTop="1" thickBot="1" x14ac:dyDescent="0.25">
      <c r="G161" s="71"/>
      <c r="H161" s="72"/>
      <c r="I161" s="72"/>
      <c r="J161" s="72"/>
      <c r="K161" s="72"/>
      <c r="L161" s="73"/>
      <c r="AJ161" s="1"/>
      <c r="AK161" s="1"/>
      <c r="AL161" s="1"/>
      <c r="AM161" s="1"/>
    </row>
    <row r="162" spans="1:39" ht="12.75" customHeight="1" thickTop="1" thickBot="1" x14ac:dyDescent="0.25">
      <c r="AJ162" s="1"/>
      <c r="AK162" s="1"/>
      <c r="AL162" s="1"/>
      <c r="AM162" s="1"/>
    </row>
    <row r="163" spans="1:39" ht="12.75" customHeight="1" thickTop="1" thickBot="1" x14ac:dyDescent="0.25">
      <c r="A163" s="75" t="s">
        <v>243</v>
      </c>
      <c r="B163" s="77"/>
      <c r="C163" s="77"/>
      <c r="D163" s="77"/>
      <c r="E163" s="78"/>
      <c r="AJ163" s="1"/>
      <c r="AK163" s="1"/>
      <c r="AL163" s="1"/>
      <c r="AM163" s="1"/>
    </row>
    <row r="164" spans="1:39" ht="12.75" customHeight="1" thickTop="1" x14ac:dyDescent="0.2">
      <c r="A164" s="136" t="s">
        <v>219</v>
      </c>
      <c r="B164" s="137" t="s">
        <v>220</v>
      </c>
      <c r="C164" s="138"/>
      <c r="D164" s="139"/>
      <c r="E164" s="210" t="s">
        <v>221</v>
      </c>
      <c r="AJ164" s="1"/>
      <c r="AK164" s="1"/>
      <c r="AL164" s="1"/>
      <c r="AM164" s="1"/>
    </row>
    <row r="165" spans="1:39" ht="12.75" customHeight="1" x14ac:dyDescent="0.2">
      <c r="A165" s="221"/>
      <c r="B165" s="24"/>
      <c r="C165" s="24"/>
      <c r="D165" s="38"/>
      <c r="E165" s="141"/>
      <c r="AJ165" s="1"/>
      <c r="AK165" s="1"/>
      <c r="AL165" s="1"/>
      <c r="AM165" s="1"/>
    </row>
    <row r="166" spans="1:39" ht="12.75" customHeight="1" x14ac:dyDescent="0.2">
      <c r="A166" s="221"/>
      <c r="B166" s="24"/>
      <c r="C166" s="24"/>
      <c r="D166" s="38"/>
      <c r="E166" s="141"/>
      <c r="AJ166" s="1"/>
      <c r="AK166" s="1"/>
      <c r="AL166" s="1"/>
      <c r="AM166" s="1"/>
    </row>
    <row r="167" spans="1:39" ht="12.75" customHeight="1" x14ac:dyDescent="0.2">
      <c r="A167" s="221"/>
      <c r="B167" s="24"/>
      <c r="C167" s="24"/>
      <c r="D167" s="38"/>
      <c r="E167" s="141"/>
      <c r="AJ167" s="1"/>
      <c r="AK167" s="1"/>
      <c r="AL167" s="1"/>
      <c r="AM167" s="1"/>
    </row>
    <row r="168" spans="1:39" ht="12.75" customHeight="1" x14ac:dyDescent="0.2">
      <c r="A168" s="221"/>
      <c r="B168" s="24"/>
      <c r="C168" s="24"/>
      <c r="D168" s="38"/>
      <c r="E168" s="142"/>
      <c r="AJ168" s="1"/>
      <c r="AK168" s="1"/>
      <c r="AL168" s="1"/>
      <c r="AM168" s="1"/>
    </row>
    <row r="169" spans="1:39" ht="12.75" customHeight="1" x14ac:dyDescent="0.2">
      <c r="A169" s="221"/>
      <c r="B169" s="24"/>
      <c r="C169" s="24"/>
      <c r="D169" s="38"/>
      <c r="E169" s="141"/>
      <c r="AJ169" s="1"/>
      <c r="AK169" s="1"/>
      <c r="AL169" s="1"/>
      <c r="AM169" s="1"/>
    </row>
    <row r="170" spans="1:39" ht="12.75" customHeight="1" x14ac:dyDescent="0.2">
      <c r="A170" s="221"/>
      <c r="B170" s="24"/>
      <c r="C170" s="24"/>
      <c r="D170" s="38"/>
      <c r="E170" s="141"/>
      <c r="AJ170" s="1"/>
      <c r="AK170" s="1"/>
      <c r="AL170" s="1"/>
      <c r="AM170" s="1"/>
    </row>
    <row r="171" spans="1:39" ht="12.75" customHeight="1" x14ac:dyDescent="0.2">
      <c r="A171" s="221"/>
      <c r="B171" s="24"/>
      <c r="C171" s="82"/>
      <c r="D171" s="140"/>
      <c r="E171" s="142"/>
      <c r="AJ171" s="1"/>
      <c r="AK171" s="1"/>
      <c r="AL171" s="1"/>
      <c r="AM171" s="1"/>
    </row>
    <row r="172" spans="1:39" ht="12.75" customHeight="1" x14ac:dyDescent="0.2">
      <c r="A172" s="221"/>
      <c r="B172" s="80"/>
      <c r="C172" s="82"/>
      <c r="D172" s="140"/>
      <c r="E172" s="142"/>
      <c r="AJ172" s="1"/>
      <c r="AK172" s="1"/>
      <c r="AL172" s="1"/>
      <c r="AM172" s="1"/>
    </row>
    <row r="173" spans="1:39" ht="12.75" customHeight="1" x14ac:dyDescent="0.2">
      <c r="A173" s="221"/>
      <c r="B173" s="80"/>
      <c r="C173" s="24"/>
      <c r="D173" s="38"/>
      <c r="E173" s="141"/>
      <c r="AJ173" s="1"/>
      <c r="AK173" s="1"/>
      <c r="AL173" s="1"/>
      <c r="AM173" s="1"/>
    </row>
    <row r="174" spans="1:39" ht="12.75" customHeight="1" x14ac:dyDescent="0.2">
      <c r="A174" s="221"/>
      <c r="B174" s="24"/>
      <c r="C174" s="24"/>
      <c r="D174" s="38"/>
      <c r="E174" s="141"/>
      <c r="AJ174" s="1"/>
      <c r="AK174" s="1"/>
      <c r="AL174" s="1"/>
      <c r="AM174" s="1"/>
    </row>
    <row r="175" spans="1:39" ht="12.75" customHeight="1" x14ac:dyDescent="0.2">
      <c r="A175" s="221"/>
      <c r="B175" s="24"/>
      <c r="C175" s="24"/>
      <c r="D175" s="38"/>
      <c r="E175" s="142"/>
      <c r="AJ175" s="1"/>
      <c r="AK175" s="1"/>
      <c r="AL175" s="1"/>
      <c r="AM175" s="1"/>
    </row>
    <row r="176" spans="1:39" ht="12.75" customHeight="1" x14ac:dyDescent="0.2">
      <c r="A176" s="221"/>
      <c r="B176" s="24"/>
      <c r="C176" s="24"/>
      <c r="D176" s="38"/>
      <c r="E176" s="141"/>
      <c r="AJ176" s="1"/>
      <c r="AK176" s="1"/>
      <c r="AL176" s="1"/>
      <c r="AM176" s="1"/>
    </row>
    <row r="177" spans="1:39" ht="12.75" customHeight="1" x14ac:dyDescent="0.2">
      <c r="A177" s="221"/>
      <c r="B177" s="24"/>
      <c r="C177" s="24"/>
      <c r="D177" s="38"/>
      <c r="E177" s="141"/>
      <c r="AJ177" s="1"/>
      <c r="AK177" s="1"/>
      <c r="AL177" s="1"/>
      <c r="AM177" s="1"/>
    </row>
    <row r="178" spans="1:39" ht="12.75" customHeight="1" x14ac:dyDescent="0.2">
      <c r="A178" s="221"/>
      <c r="B178" s="9"/>
      <c r="C178" s="82"/>
      <c r="D178" s="140"/>
      <c r="E178" s="142"/>
      <c r="AJ178" s="1"/>
      <c r="AK178" s="1"/>
      <c r="AL178" s="1"/>
      <c r="AM178" s="1"/>
    </row>
    <row r="179" spans="1:39" ht="12.75" customHeight="1" x14ac:dyDescent="0.2">
      <c r="A179" s="221"/>
      <c r="B179" s="9"/>
      <c r="C179" s="82"/>
      <c r="D179" s="140"/>
      <c r="E179" s="142"/>
      <c r="AJ179" s="1"/>
      <c r="AK179" s="1"/>
      <c r="AL179" s="1"/>
      <c r="AM179" s="1"/>
    </row>
    <row r="180" spans="1:39" ht="12.75" customHeight="1" x14ac:dyDescent="0.2">
      <c r="A180" s="221"/>
      <c r="B180" s="9"/>
      <c r="C180" s="82"/>
      <c r="D180" s="140"/>
      <c r="E180" s="141"/>
      <c r="AJ180" s="1"/>
      <c r="AK180" s="1"/>
      <c r="AL180" s="1"/>
      <c r="AM180" s="1"/>
    </row>
    <row r="181" spans="1:39" ht="12.75" customHeight="1" x14ac:dyDescent="0.2">
      <c r="A181" s="221"/>
      <c r="B181" s="24"/>
      <c r="C181" s="24"/>
      <c r="D181" s="38"/>
      <c r="E181" s="141"/>
      <c r="AJ181" s="1"/>
      <c r="AK181" s="1"/>
      <c r="AL181" s="1"/>
      <c r="AM181" s="1"/>
    </row>
    <row r="182" spans="1:39" ht="12.75" customHeight="1" x14ac:dyDescent="0.2">
      <c r="A182" s="221"/>
      <c r="B182" s="24"/>
      <c r="C182" s="24"/>
      <c r="D182" s="38"/>
      <c r="E182" s="141"/>
      <c r="AJ182" s="1"/>
      <c r="AK182" s="1"/>
      <c r="AL182" s="1"/>
      <c r="AM182" s="1"/>
    </row>
    <row r="183" spans="1:39" ht="12.75" customHeight="1" x14ac:dyDescent="0.2">
      <c r="A183" s="221"/>
      <c r="B183" s="24"/>
      <c r="C183" s="24"/>
      <c r="D183" s="38"/>
      <c r="E183" s="141"/>
      <c r="AJ183" s="1"/>
      <c r="AK183" s="1"/>
      <c r="AL183" s="1"/>
      <c r="AM183" s="1"/>
    </row>
    <row r="184" spans="1:39" ht="12.75" customHeight="1" x14ac:dyDescent="0.2">
      <c r="A184" s="221"/>
      <c r="B184" s="24"/>
      <c r="C184" s="24"/>
      <c r="D184" s="38"/>
      <c r="E184" s="143"/>
      <c r="AJ184" s="1"/>
      <c r="AK184" s="1"/>
      <c r="AL184" s="1"/>
      <c r="AM184" s="1"/>
    </row>
    <row r="185" spans="1:39" ht="12.75" customHeight="1" thickBot="1" x14ac:dyDescent="0.25">
      <c r="A185" s="222"/>
      <c r="B185" s="24"/>
      <c r="C185" s="24"/>
      <c r="D185" s="145" t="s">
        <v>244</v>
      </c>
      <c r="E185" s="144">
        <f>SUM(E165:E184)</f>
        <v>0</v>
      </c>
      <c r="AJ185" s="1"/>
      <c r="AK185" s="1"/>
      <c r="AL185" s="1"/>
      <c r="AM185" s="1"/>
    </row>
    <row r="186" spans="1:39" ht="12.75" customHeight="1" thickTop="1" thickBot="1" x14ac:dyDescent="0.25">
      <c r="A186" s="220"/>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thickBot="1" x14ac:dyDescent="0.25">
      <c r="A189" s="84" t="s">
        <v>245</v>
      </c>
      <c r="B189" s="59"/>
      <c r="C189" s="59"/>
      <c r="D189" s="59"/>
      <c r="E189" s="59"/>
      <c r="F189" s="59"/>
      <c r="M189" s="60"/>
      <c r="O189" s="1"/>
      <c r="P189" s="1"/>
      <c r="Q189" s="1"/>
      <c r="R189" s="1"/>
    </row>
    <row r="190" spans="1:39" ht="12.75" customHeight="1" thickTop="1" x14ac:dyDescent="0.2">
      <c r="A190" s="85" t="s">
        <v>246</v>
      </c>
      <c r="B190" s="86" t="s">
        <v>219</v>
      </c>
      <c r="C190" s="87" t="s">
        <v>247</v>
      </c>
      <c r="D190" s="88" t="s">
        <v>248</v>
      </c>
      <c r="E190" s="135" t="s">
        <v>220</v>
      </c>
      <c r="F190" s="89"/>
      <c r="G190" s="59"/>
      <c r="H190" s="59"/>
      <c r="I190" s="59"/>
      <c r="J190" s="59"/>
      <c r="K190" s="59"/>
      <c r="L190" s="59"/>
      <c r="M190" s="211" t="s">
        <v>221</v>
      </c>
      <c r="O190" s="1"/>
      <c r="P190" s="1"/>
      <c r="Q190" s="1"/>
      <c r="R190" s="1"/>
    </row>
    <row r="191" spans="1:39" ht="12.75" customHeight="1" x14ac:dyDescent="0.2">
      <c r="A191" s="227"/>
      <c r="B191" s="134"/>
      <c r="C191" s="224"/>
      <c r="D191" s="38"/>
      <c r="E191" s="24"/>
      <c r="F191" s="24"/>
      <c r="G191" s="89"/>
      <c r="H191" s="89"/>
      <c r="I191" s="89"/>
      <c r="J191" s="89"/>
      <c r="K191" s="89"/>
      <c r="L191" s="89"/>
      <c r="M191" s="91"/>
      <c r="O191" s="1"/>
      <c r="P191" s="1"/>
      <c r="Q191" s="1"/>
      <c r="R191" s="1"/>
    </row>
    <row r="192" spans="1:39" ht="12.75" customHeight="1" x14ac:dyDescent="0.2">
      <c r="A192" s="227"/>
      <c r="B192" s="134"/>
      <c r="C192" s="224"/>
      <c r="D192" s="38"/>
      <c r="E192" s="24"/>
      <c r="F192" s="24"/>
      <c r="G192" s="24"/>
      <c r="H192" s="24"/>
      <c r="I192" s="24"/>
      <c r="J192" s="24"/>
      <c r="K192" s="24"/>
      <c r="L192" s="24"/>
      <c r="M192" s="91"/>
      <c r="O192" s="1"/>
      <c r="P192" s="1"/>
      <c r="Q192" s="1"/>
      <c r="R192" s="1"/>
    </row>
    <row r="193" spans="1:18" ht="12.75" customHeight="1" x14ac:dyDescent="0.2">
      <c r="A193" s="227"/>
      <c r="B193" s="134"/>
      <c r="C193" s="224"/>
      <c r="D193" s="38"/>
      <c r="E193" s="24"/>
      <c r="F193" s="24"/>
      <c r="G193" s="24"/>
      <c r="H193" s="24"/>
      <c r="I193" s="24"/>
      <c r="J193" s="24"/>
      <c r="K193" s="24"/>
      <c r="L193" s="24"/>
      <c r="M193" s="91"/>
      <c r="O193" s="1"/>
      <c r="P193" s="1"/>
      <c r="Q193" s="1"/>
      <c r="R193" s="1"/>
    </row>
    <row r="194" spans="1:18" ht="12.75" customHeight="1" x14ac:dyDescent="0.2">
      <c r="A194" s="227"/>
      <c r="B194" s="134"/>
      <c r="C194" s="224"/>
      <c r="D194" s="38"/>
      <c r="E194" s="24"/>
      <c r="F194" s="24"/>
      <c r="G194" s="24"/>
      <c r="H194" s="24"/>
      <c r="I194" s="24"/>
      <c r="J194" s="24"/>
      <c r="K194" s="24"/>
      <c r="L194" s="24"/>
      <c r="M194" s="91"/>
      <c r="O194" s="1"/>
      <c r="P194" s="1"/>
      <c r="Q194" s="1"/>
      <c r="R194" s="1"/>
    </row>
    <row r="195" spans="1:18" ht="12.75" customHeight="1" x14ac:dyDescent="0.2">
      <c r="A195" s="227"/>
      <c r="B195" s="134"/>
      <c r="C195" s="224"/>
      <c r="D195" s="38"/>
      <c r="E195" s="24"/>
      <c r="F195" s="24"/>
      <c r="G195" s="24"/>
      <c r="H195" s="24"/>
      <c r="I195" s="24"/>
      <c r="J195" s="24"/>
      <c r="K195" s="24"/>
      <c r="L195" s="24"/>
      <c r="M195" s="91"/>
      <c r="O195" s="1"/>
      <c r="P195" s="1"/>
      <c r="Q195" s="1"/>
      <c r="R195" s="1"/>
    </row>
    <row r="196" spans="1:18" ht="12.75" customHeight="1" x14ac:dyDescent="0.2">
      <c r="A196" s="227"/>
      <c r="B196" s="134"/>
      <c r="C196" s="224"/>
      <c r="D196" s="38"/>
      <c r="E196" s="24"/>
      <c r="F196" s="24"/>
      <c r="G196" s="24"/>
      <c r="H196" s="24"/>
      <c r="I196" s="24"/>
      <c r="J196" s="24"/>
      <c r="K196" s="24"/>
      <c r="L196" s="24"/>
      <c r="M196" s="91"/>
    </row>
    <row r="197" spans="1:18" ht="12.75" customHeight="1" x14ac:dyDescent="0.2">
      <c r="A197" s="227"/>
      <c r="B197" s="134"/>
      <c r="C197" s="224"/>
      <c r="D197" s="38"/>
      <c r="E197" s="24"/>
      <c r="F197" s="24"/>
      <c r="G197" s="24"/>
      <c r="H197" s="24"/>
      <c r="I197" s="24"/>
      <c r="J197" s="24"/>
      <c r="K197" s="24"/>
      <c r="L197" s="24"/>
      <c r="M197" s="91"/>
    </row>
    <row r="198" spans="1:18" ht="12.75" customHeight="1" x14ac:dyDescent="0.2">
      <c r="A198" s="227"/>
      <c r="B198" s="134"/>
      <c r="C198" s="224"/>
      <c r="D198" s="38"/>
      <c r="E198" s="24"/>
      <c r="F198" s="24"/>
      <c r="G198" s="24"/>
      <c r="H198" s="24"/>
      <c r="I198" s="24"/>
      <c r="J198" s="24"/>
      <c r="K198" s="24"/>
      <c r="L198" s="24"/>
      <c r="M198" s="91"/>
    </row>
    <row r="199" spans="1:18" ht="12.75" customHeight="1" x14ac:dyDescent="0.2">
      <c r="A199" s="227"/>
      <c r="B199" s="134"/>
      <c r="C199" s="224"/>
      <c r="D199" s="38"/>
      <c r="E199" s="24"/>
      <c r="F199" s="24"/>
      <c r="G199" s="24"/>
      <c r="H199" s="24"/>
      <c r="I199" s="24"/>
      <c r="J199" s="24"/>
      <c r="K199" s="24"/>
      <c r="L199" s="24"/>
      <c r="M199" s="91"/>
    </row>
    <row r="200" spans="1:18" ht="12.75" customHeight="1" x14ac:dyDescent="0.2">
      <c r="A200" s="227"/>
      <c r="B200" s="134"/>
      <c r="C200" s="224"/>
      <c r="D200" s="38"/>
      <c r="E200" s="24"/>
      <c r="F200" s="24"/>
      <c r="G200" s="24"/>
      <c r="H200" s="24"/>
      <c r="I200" s="24"/>
      <c r="J200" s="24"/>
      <c r="K200" s="24"/>
      <c r="L200" s="24"/>
      <c r="M200" s="91"/>
    </row>
    <row r="201" spans="1:18" ht="12.75" customHeight="1" x14ac:dyDescent="0.2">
      <c r="A201" s="90"/>
      <c r="B201" s="134"/>
      <c r="C201" s="224"/>
      <c r="D201" s="38"/>
      <c r="E201" s="24"/>
      <c r="F201" s="24"/>
      <c r="G201" s="24"/>
      <c r="H201" s="24"/>
      <c r="I201" s="24"/>
      <c r="J201" s="24"/>
      <c r="K201" s="24"/>
      <c r="L201" s="24"/>
      <c r="M201" s="91"/>
    </row>
    <row r="202" spans="1:18" ht="12.75" customHeight="1" x14ac:dyDescent="0.2">
      <c r="A202" s="90"/>
      <c r="B202" s="134"/>
      <c r="C202" s="224"/>
      <c r="D202" s="38"/>
      <c r="E202" s="24"/>
      <c r="F202" s="24"/>
      <c r="G202" s="24"/>
      <c r="H202" s="24"/>
      <c r="I202" s="24"/>
      <c r="J202" s="24"/>
      <c r="K202" s="24"/>
      <c r="L202" s="24"/>
      <c r="M202" s="91"/>
    </row>
    <row r="203" spans="1:18" ht="12.75" customHeight="1" x14ac:dyDescent="0.2">
      <c r="A203" s="90"/>
      <c r="B203" s="134"/>
      <c r="C203" s="224"/>
      <c r="D203" s="38"/>
      <c r="E203" s="24"/>
      <c r="F203" s="24"/>
      <c r="G203" s="24"/>
      <c r="H203" s="24"/>
      <c r="I203" s="24"/>
      <c r="J203" s="24"/>
      <c r="K203" s="24"/>
      <c r="L203" s="24"/>
      <c r="M203" s="91"/>
    </row>
    <row r="204" spans="1:18" ht="12.75" customHeight="1" x14ac:dyDescent="0.2">
      <c r="A204" s="90"/>
      <c r="B204" s="134"/>
      <c r="C204" s="224"/>
      <c r="D204" s="38"/>
      <c r="E204" s="24"/>
      <c r="F204" s="24"/>
      <c r="G204" s="24"/>
      <c r="H204" s="24"/>
      <c r="I204" s="24"/>
      <c r="J204" s="24"/>
      <c r="K204" s="24"/>
      <c r="L204" s="24"/>
      <c r="M204" s="91"/>
    </row>
    <row r="205" spans="1:18" ht="12.75" customHeight="1" x14ac:dyDescent="0.2">
      <c r="A205" s="90"/>
      <c r="B205" s="134"/>
      <c r="C205" s="226"/>
      <c r="D205" s="38"/>
      <c r="E205" s="24"/>
      <c r="F205" s="24"/>
      <c r="G205" s="24"/>
      <c r="H205" s="24"/>
      <c r="I205" s="24"/>
      <c r="J205" s="24"/>
      <c r="K205" s="24"/>
      <c r="L205" s="24"/>
      <c r="M205" s="91"/>
    </row>
    <row r="206" spans="1:18" ht="12.75" customHeight="1" x14ac:dyDescent="0.2">
      <c r="A206" s="90"/>
      <c r="B206" s="134"/>
      <c r="C206" s="226"/>
      <c r="D206" s="38"/>
      <c r="E206" s="24"/>
      <c r="F206" s="24"/>
      <c r="G206" s="24"/>
      <c r="H206" s="24"/>
      <c r="I206" s="24"/>
      <c r="J206" s="24"/>
      <c r="K206" s="24"/>
      <c r="L206" s="24"/>
      <c r="M206" s="91"/>
    </row>
    <row r="207" spans="1:18" ht="12.75" customHeight="1" x14ac:dyDescent="0.2">
      <c r="A207" s="90"/>
      <c r="B207" s="134"/>
      <c r="C207" s="226"/>
      <c r="D207" s="38"/>
      <c r="E207" s="24"/>
      <c r="F207" s="24"/>
      <c r="G207" s="24"/>
      <c r="H207" s="24"/>
      <c r="I207" s="24"/>
      <c r="J207" s="24"/>
      <c r="K207" s="24"/>
      <c r="L207" s="24"/>
      <c r="M207" s="91"/>
    </row>
    <row r="208" spans="1:18" ht="12.75" customHeight="1" x14ac:dyDescent="0.2">
      <c r="A208" s="90"/>
      <c r="B208" s="134"/>
      <c r="C208" s="225"/>
      <c r="D208" s="38"/>
      <c r="E208" s="24"/>
      <c r="F208" s="24"/>
      <c r="G208" s="24"/>
      <c r="H208" s="24"/>
      <c r="I208" s="24"/>
      <c r="J208" s="24"/>
      <c r="K208" s="24"/>
      <c r="L208" s="24"/>
      <c r="M208" s="91"/>
    </row>
    <row r="209" spans="1:14" ht="12.75" customHeight="1" x14ac:dyDescent="0.2">
      <c r="A209" s="90"/>
      <c r="B209" s="134"/>
      <c r="C209" s="225"/>
      <c r="D209" s="38"/>
      <c r="E209" s="24"/>
      <c r="F209" s="24"/>
      <c r="G209" s="24"/>
      <c r="H209" s="24"/>
      <c r="I209" s="24"/>
      <c r="J209" s="24"/>
      <c r="K209" s="24"/>
      <c r="L209" s="24"/>
      <c r="M209" s="91"/>
    </row>
    <row r="210" spans="1:14" ht="12.75" customHeight="1" x14ac:dyDescent="0.2">
      <c r="A210" s="90"/>
      <c r="B210" s="134"/>
      <c r="C210" s="225"/>
      <c r="D210" s="38"/>
      <c r="E210" s="24"/>
      <c r="F210" s="24"/>
      <c r="G210" s="24"/>
      <c r="H210" s="24"/>
      <c r="I210" s="24"/>
      <c r="J210" s="24"/>
      <c r="K210" s="24"/>
      <c r="L210" s="24"/>
      <c r="M210" s="91"/>
    </row>
    <row r="211" spans="1:14" ht="12.75" customHeight="1" x14ac:dyDescent="0.2">
      <c r="A211" s="90"/>
      <c r="B211" s="134"/>
      <c r="C211" s="225"/>
      <c r="D211" s="38"/>
      <c r="E211" s="24"/>
      <c r="F211" s="24"/>
      <c r="G211" s="24"/>
      <c r="H211" s="24"/>
      <c r="I211" s="24"/>
      <c r="J211" s="24"/>
      <c r="K211" s="24"/>
      <c r="L211" s="24"/>
      <c r="M211" s="91"/>
    </row>
    <row r="212" spans="1:14" ht="12.75" customHeight="1" x14ac:dyDescent="0.2">
      <c r="A212" s="90"/>
      <c r="B212" s="134"/>
      <c r="C212" s="225"/>
      <c r="D212" s="38"/>
      <c r="E212" s="24"/>
      <c r="F212" s="24"/>
      <c r="G212" s="24"/>
      <c r="H212" s="24"/>
      <c r="I212" s="24"/>
      <c r="J212" s="24"/>
      <c r="K212" s="24"/>
      <c r="L212" s="24"/>
      <c r="M212" s="91"/>
    </row>
    <row r="213" spans="1:14" ht="12.75" customHeight="1" x14ac:dyDescent="0.2">
      <c r="A213" s="90"/>
      <c r="B213" s="134"/>
      <c r="C213" s="225"/>
      <c r="D213" s="38"/>
      <c r="E213" s="24"/>
      <c r="F213" s="24"/>
      <c r="G213" s="24"/>
      <c r="H213" s="24"/>
      <c r="I213" s="24"/>
      <c r="J213" s="24"/>
      <c r="K213" s="24"/>
      <c r="L213" s="24"/>
      <c r="M213" s="91"/>
    </row>
    <row r="214" spans="1:14" ht="12.75" customHeight="1" thickBot="1" x14ac:dyDescent="0.25">
      <c r="A214" s="90"/>
      <c r="B214" s="134"/>
      <c r="C214" s="223"/>
      <c r="D214" s="38"/>
      <c r="E214" s="24"/>
      <c r="F214" s="24"/>
      <c r="G214" s="24"/>
      <c r="H214" s="24"/>
      <c r="I214" s="24"/>
      <c r="J214" s="24"/>
      <c r="K214" s="24"/>
      <c r="L214" s="24"/>
      <c r="M214" s="92">
        <f>SUM(M191:M213)</f>
        <v>0</v>
      </c>
    </row>
    <row r="215" spans="1:14" ht="12.75" customHeight="1" thickTop="1" thickBot="1" x14ac:dyDescent="0.25">
      <c r="A215" s="93"/>
      <c r="B215" s="151"/>
      <c r="C215" s="72"/>
      <c r="D215" s="72"/>
      <c r="E215" s="72"/>
      <c r="F215" s="72"/>
      <c r="G215" s="24"/>
      <c r="H215" s="24"/>
      <c r="I215" s="24"/>
      <c r="J215" s="24"/>
      <c r="K215" s="24"/>
      <c r="L215" s="145" t="s">
        <v>249</v>
      </c>
      <c r="M215" s="73"/>
    </row>
    <row r="216" spans="1:14" ht="12.75" customHeight="1" thickTop="1" thickBot="1" x14ac:dyDescent="0.25">
      <c r="G216" s="72"/>
      <c r="H216" s="72"/>
      <c r="I216" s="72"/>
      <c r="J216" s="72"/>
      <c r="K216" s="72"/>
      <c r="L216" s="72"/>
    </row>
    <row r="217" spans="1:14" ht="12.75" customHeight="1" thickTop="1" thickBot="1" x14ac:dyDescent="0.25"/>
    <row r="218" spans="1:14" ht="12.75" customHeight="1" thickTop="1" thickBot="1" x14ac:dyDescent="0.25">
      <c r="A218" s="155" t="s">
        <v>250</v>
      </c>
      <c r="B218" s="154"/>
      <c r="C218" s="154"/>
      <c r="D218" s="154"/>
      <c r="E218" s="154"/>
      <c r="F218" s="157"/>
      <c r="M218" s="94"/>
      <c r="N218" s="94"/>
    </row>
    <row r="219" spans="1:14" ht="12.75" customHeight="1" thickBot="1" x14ac:dyDescent="0.25">
      <c r="A219" s="156" t="s">
        <v>246</v>
      </c>
      <c r="B219" s="95" t="s">
        <v>219</v>
      </c>
      <c r="C219" s="96" t="s">
        <v>247</v>
      </c>
      <c r="D219" s="165" t="s">
        <v>248</v>
      </c>
      <c r="E219" s="166"/>
      <c r="F219" s="158" t="s">
        <v>221</v>
      </c>
      <c r="G219" s="94"/>
      <c r="H219" s="94"/>
      <c r="I219" s="94"/>
      <c r="J219" s="94"/>
      <c r="K219" s="94"/>
      <c r="L219" s="94"/>
      <c r="M219" s="94"/>
      <c r="N219" s="94"/>
    </row>
    <row r="220" spans="1:14" ht="12.75" customHeight="1" x14ac:dyDescent="0.2">
      <c r="A220" s="231"/>
      <c r="B220" s="134">
        <v>36836</v>
      </c>
      <c r="C220" s="97" t="s">
        <v>526</v>
      </c>
      <c r="D220" s="24" t="s">
        <v>527</v>
      </c>
      <c r="E220" s="167"/>
      <c r="F220" s="232">
        <v>-220994</v>
      </c>
      <c r="G220" s="94"/>
      <c r="H220" s="94"/>
      <c r="I220" s="94"/>
      <c r="J220" s="94"/>
      <c r="K220" s="94"/>
      <c r="L220" s="94"/>
      <c r="M220" s="98"/>
      <c r="N220" s="98"/>
    </row>
    <row r="221" spans="1:14" ht="12.75" customHeight="1" x14ac:dyDescent="0.2">
      <c r="A221" s="231"/>
      <c r="B221" s="134"/>
      <c r="C221" s="94"/>
      <c r="D221" s="233"/>
      <c r="E221" s="167"/>
      <c r="F221" s="159"/>
      <c r="G221" s="98"/>
      <c r="H221" s="98"/>
      <c r="I221" s="98"/>
      <c r="J221" s="98"/>
      <c r="K221" s="98"/>
      <c r="L221" s="98"/>
      <c r="M221" s="98"/>
      <c r="N221" s="98"/>
    </row>
    <row r="222" spans="1:14" ht="12.75" customHeight="1" x14ac:dyDescent="0.2">
      <c r="A222" s="231"/>
      <c r="B222" s="134"/>
      <c r="C222" s="94"/>
      <c r="D222" s="233"/>
      <c r="E222" s="167"/>
      <c r="F222" s="160"/>
      <c r="G222" s="98"/>
      <c r="H222" s="98"/>
      <c r="I222" s="98"/>
      <c r="J222" s="98"/>
      <c r="K222" s="98"/>
      <c r="L222" s="98"/>
      <c r="M222" s="94"/>
      <c r="N222" s="94"/>
    </row>
    <row r="223" spans="1:14" ht="12.75" customHeight="1" x14ac:dyDescent="0.2">
      <c r="A223" s="231"/>
      <c r="B223" s="134"/>
      <c r="C223" s="94"/>
      <c r="D223" s="233"/>
      <c r="E223" s="167"/>
      <c r="F223" s="160"/>
      <c r="G223" s="94"/>
      <c r="H223" s="94"/>
      <c r="I223" s="94"/>
      <c r="J223" s="94"/>
      <c r="K223" s="94"/>
      <c r="L223" s="94"/>
      <c r="M223" s="94"/>
      <c r="N223" s="94"/>
    </row>
    <row r="224" spans="1:14" ht="12.75" customHeight="1" x14ac:dyDescent="0.2">
      <c r="A224" s="231"/>
      <c r="B224" s="134"/>
      <c r="C224" s="94"/>
      <c r="D224" s="233"/>
      <c r="E224" s="167"/>
      <c r="F224" s="160"/>
      <c r="G224" s="94"/>
      <c r="H224" s="94"/>
      <c r="I224" s="94"/>
      <c r="J224" s="94"/>
      <c r="K224" s="94"/>
      <c r="L224" s="94"/>
      <c r="M224" s="94"/>
      <c r="N224" s="94"/>
    </row>
    <row r="225" spans="1:14" ht="12.75" customHeight="1" x14ac:dyDescent="0.2">
      <c r="A225" s="231"/>
      <c r="B225" s="134"/>
      <c r="C225" s="94"/>
      <c r="D225" s="233"/>
      <c r="E225" s="167"/>
      <c r="F225" s="160"/>
      <c r="G225" s="94"/>
      <c r="H225" s="94"/>
      <c r="I225" s="94"/>
      <c r="J225" s="94"/>
      <c r="K225" s="94"/>
      <c r="L225" s="94"/>
      <c r="M225" s="94"/>
      <c r="N225" s="94"/>
    </row>
    <row r="226" spans="1:14" ht="12.75" customHeight="1" x14ac:dyDescent="0.2">
      <c r="A226" s="231"/>
      <c r="B226" s="134"/>
      <c r="C226" s="94"/>
      <c r="D226" s="233"/>
      <c r="E226" s="167"/>
      <c r="F226" s="160"/>
      <c r="G226" s="94"/>
      <c r="H226" s="94"/>
      <c r="I226" s="94"/>
      <c r="J226" s="94"/>
      <c r="K226" s="94"/>
      <c r="L226" s="94"/>
      <c r="M226" s="94"/>
      <c r="N226" s="94"/>
    </row>
    <row r="227" spans="1:14" ht="12.75" customHeight="1" x14ac:dyDescent="0.2">
      <c r="A227" s="231"/>
      <c r="B227" s="134"/>
      <c r="C227" s="94"/>
      <c r="D227" s="233"/>
      <c r="E227" s="167"/>
      <c r="F227" s="160"/>
      <c r="G227" s="94"/>
      <c r="H227" s="94"/>
      <c r="I227" s="94"/>
      <c r="J227" s="94"/>
      <c r="K227" s="94"/>
      <c r="L227" s="94"/>
      <c r="M227" s="94"/>
      <c r="N227" s="94"/>
    </row>
    <row r="228" spans="1:14" ht="12.75" customHeight="1" x14ac:dyDescent="0.2">
      <c r="A228" s="231"/>
      <c r="B228" s="134"/>
      <c r="C228" s="94"/>
      <c r="D228" s="233"/>
      <c r="E228" s="167"/>
      <c r="F228" s="160"/>
      <c r="G228" s="94"/>
      <c r="H228" s="94"/>
      <c r="I228" s="94"/>
      <c r="J228" s="94"/>
      <c r="K228" s="94"/>
      <c r="L228" s="94"/>
      <c r="M228" s="94"/>
      <c r="N228" s="94"/>
    </row>
    <row r="229" spans="1:14" ht="12.75" customHeight="1" x14ac:dyDescent="0.2">
      <c r="A229" s="231"/>
      <c r="B229" s="134"/>
      <c r="C229" s="94"/>
      <c r="D229" s="233"/>
      <c r="E229" s="167"/>
      <c r="F229" s="160"/>
      <c r="G229" s="94"/>
      <c r="H229" s="94"/>
      <c r="I229" s="94"/>
      <c r="J229" s="94"/>
      <c r="K229" s="94"/>
      <c r="L229" s="94"/>
      <c r="M229" s="94"/>
      <c r="N229" s="94"/>
    </row>
    <row r="230" spans="1:14" ht="12.75" customHeight="1" x14ac:dyDescent="0.2">
      <c r="A230" s="231"/>
      <c r="B230" s="134"/>
      <c r="C230" s="94"/>
      <c r="D230" s="233"/>
      <c r="E230" s="167"/>
      <c r="F230" s="160"/>
      <c r="G230" s="94"/>
      <c r="H230" s="94"/>
      <c r="I230" s="94"/>
      <c r="J230" s="94"/>
      <c r="K230" s="94"/>
      <c r="L230" s="94"/>
      <c r="M230" s="94"/>
      <c r="N230" s="94"/>
    </row>
    <row r="231" spans="1:14" ht="12.75" customHeight="1" x14ac:dyDescent="0.2">
      <c r="A231" s="231"/>
      <c r="B231" s="134"/>
      <c r="C231" s="94"/>
      <c r="D231" s="233"/>
      <c r="E231" s="167"/>
      <c r="F231" s="160"/>
      <c r="G231" s="94"/>
      <c r="H231" s="94"/>
      <c r="I231" s="94"/>
      <c r="J231" s="94"/>
      <c r="K231" s="94"/>
      <c r="L231" s="94"/>
      <c r="M231" s="94"/>
      <c r="N231" s="94"/>
    </row>
    <row r="232" spans="1:14" ht="12.75" customHeight="1" x14ac:dyDescent="0.2">
      <c r="A232" s="231"/>
      <c r="B232" s="134"/>
      <c r="C232" s="94"/>
      <c r="D232" s="233"/>
      <c r="E232" s="167"/>
      <c r="F232" s="160"/>
      <c r="G232" s="94"/>
      <c r="H232" s="94"/>
      <c r="I232" s="94"/>
      <c r="J232" s="94"/>
      <c r="K232" s="94"/>
      <c r="L232" s="94"/>
      <c r="M232" s="94"/>
      <c r="N232" s="94"/>
    </row>
    <row r="233" spans="1:14" ht="12.75" customHeight="1" x14ac:dyDescent="0.2">
      <c r="A233" s="231"/>
      <c r="B233" s="134"/>
      <c r="C233" s="94"/>
      <c r="D233" s="233"/>
      <c r="E233" s="167"/>
      <c r="F233" s="160"/>
      <c r="G233" s="94"/>
      <c r="H233" s="94"/>
      <c r="I233" s="94"/>
      <c r="J233" s="94"/>
      <c r="K233" s="94"/>
      <c r="L233" s="94"/>
      <c r="M233" s="94"/>
      <c r="N233" s="94"/>
    </row>
    <row r="234" spans="1:14" ht="12.75" customHeight="1" x14ac:dyDescent="0.2">
      <c r="A234" s="231"/>
      <c r="B234" s="134"/>
      <c r="C234" s="94"/>
      <c r="D234" s="233"/>
      <c r="E234" s="167"/>
      <c r="F234" s="160"/>
      <c r="G234" s="94"/>
      <c r="H234" s="94"/>
      <c r="I234" s="94"/>
      <c r="J234" s="94"/>
      <c r="K234" s="94"/>
      <c r="L234" s="94"/>
      <c r="M234" s="94"/>
      <c r="N234" s="94"/>
    </row>
    <row r="235" spans="1:14" ht="12.75" customHeight="1" x14ac:dyDescent="0.2">
      <c r="A235" s="231"/>
      <c r="B235" s="134"/>
      <c r="C235" s="94"/>
      <c r="D235" s="233"/>
      <c r="E235" s="167"/>
      <c r="F235" s="160"/>
      <c r="G235" s="94"/>
      <c r="H235" s="94"/>
      <c r="I235" s="94"/>
      <c r="J235" s="94"/>
      <c r="K235" s="94"/>
      <c r="L235" s="94"/>
      <c r="M235" s="94"/>
      <c r="N235" s="94"/>
    </row>
    <row r="236" spans="1:14" ht="12.75" customHeight="1" x14ac:dyDescent="0.2">
      <c r="A236" s="231"/>
      <c r="B236" s="134"/>
      <c r="C236" s="94"/>
      <c r="D236" s="233"/>
      <c r="E236" s="167"/>
      <c r="F236" s="160"/>
      <c r="G236" s="94"/>
      <c r="H236" s="94"/>
      <c r="I236" s="94"/>
      <c r="J236" s="94"/>
      <c r="K236" s="94"/>
      <c r="L236" s="94"/>
      <c r="M236" s="94"/>
      <c r="N236" s="94"/>
    </row>
    <row r="237" spans="1:14" ht="12.75" customHeight="1" x14ac:dyDescent="0.2">
      <c r="A237" s="231"/>
      <c r="B237" s="134"/>
      <c r="C237" s="94"/>
      <c r="D237" s="233"/>
      <c r="E237" s="167"/>
      <c r="F237" s="160"/>
      <c r="G237" s="94"/>
      <c r="H237" s="94"/>
      <c r="I237" s="94"/>
      <c r="J237" s="94"/>
      <c r="K237" s="94"/>
      <c r="L237" s="94"/>
      <c r="M237" s="94"/>
      <c r="N237" s="94"/>
    </row>
    <row r="238" spans="1:14" ht="12.75" customHeight="1" thickBot="1" x14ac:dyDescent="0.25">
      <c r="A238" s="231"/>
      <c r="B238" s="134"/>
      <c r="C238" s="94"/>
      <c r="D238" s="94"/>
      <c r="E238" s="145" t="s">
        <v>251</v>
      </c>
      <c r="F238" s="168">
        <f>SUM(F219:F237)</f>
        <v>-220994</v>
      </c>
      <c r="G238" s="94"/>
      <c r="H238" s="94"/>
      <c r="I238" s="94"/>
      <c r="J238" s="94"/>
      <c r="K238" s="94"/>
      <c r="L238" s="94"/>
      <c r="M238" s="94"/>
      <c r="N238" s="94"/>
    </row>
    <row r="239" spans="1:14" ht="12.75" customHeight="1" thickTop="1" thickBot="1" x14ac:dyDescent="0.25">
      <c r="A239" s="161"/>
      <c r="B239" s="162"/>
      <c r="C239" s="163"/>
      <c r="D239" s="163"/>
      <c r="E239" s="212"/>
      <c r="F239" s="164"/>
      <c r="G239" s="94"/>
      <c r="H239" s="94"/>
      <c r="I239" s="94"/>
      <c r="J239" s="94"/>
      <c r="K239" s="94"/>
      <c r="L239" s="94"/>
      <c r="M239" s="94"/>
      <c r="N239" s="94"/>
    </row>
    <row r="240" spans="1:14" ht="12.75" customHeight="1" thickTop="1" x14ac:dyDescent="0.2">
      <c r="G240" s="94"/>
      <c r="H240" s="94"/>
      <c r="I240" s="94"/>
      <c r="J240" s="94"/>
      <c r="K240" s="94"/>
      <c r="L240" s="94"/>
    </row>
  </sheetData>
  <customSheetViews>
    <customSheetView guid="{535643CF-B9EE-11D2-A857-00805F2505DF}"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6-B9EE-11D2-A857-00805F2505DF}"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BD-B9EE-11D2-A857-00805F2505DF}"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paperSize="5" scale="60"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AX240"/>
  <sheetViews>
    <sheetView zoomScale="75" workbookViewId="0">
      <pane xSplit="2" ySplit="6" topLeftCell="N41" activePane="bottomRight" state="frozen"/>
      <selection activeCell="D9" sqref="D9:D13"/>
      <selection pane="topRight" activeCell="D9" sqref="D9:D13"/>
      <selection pane="bottomLeft" activeCell="D9" sqref="D9:D13"/>
      <selection pane="bottomRight" activeCell="S72" sqref="S72"/>
    </sheetView>
  </sheetViews>
  <sheetFormatPr defaultRowHeight="12.75" x14ac:dyDescent="0.2"/>
  <cols>
    <col min="1" max="1" width="23.85546875" style="13" customWidth="1"/>
    <col min="2" max="2" width="17.140625" style="13" customWidth="1"/>
    <col min="3"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B1" s="815">
        <f>M38</f>
        <v>0</v>
      </c>
      <c r="D1" s="1"/>
      <c r="E1" s="1"/>
      <c r="F1" s="1"/>
      <c r="G1" s="1"/>
      <c r="H1" s="1"/>
      <c r="I1" s="1"/>
      <c r="J1" s="1"/>
      <c r="K1" s="1"/>
      <c r="L1" s="1"/>
      <c r="M1" s="1"/>
      <c r="N1" s="1"/>
      <c r="O1" s="1"/>
    </row>
    <row r="2" spans="1:37" ht="12.75" customHeight="1" x14ac:dyDescent="0.25">
      <c r="A2" s="101" t="s">
        <v>75</v>
      </c>
      <c r="D2" s="1"/>
      <c r="E2" s="1"/>
      <c r="F2" s="1"/>
      <c r="G2" s="1"/>
      <c r="H2" s="1"/>
      <c r="I2" s="1"/>
      <c r="J2" s="1"/>
      <c r="K2" s="1"/>
      <c r="L2" s="1"/>
      <c r="M2" s="1"/>
      <c r="N2" s="1"/>
      <c r="O2" s="1"/>
    </row>
    <row r="3" spans="1:37" ht="12.75" customHeight="1" x14ac:dyDescent="0.25">
      <c r="A3" s="257" t="s">
        <v>76</v>
      </c>
      <c r="B3" s="255" t="s">
        <v>364</v>
      </c>
      <c r="C3" s="255" t="s">
        <v>78</v>
      </c>
      <c r="D3" s="1"/>
      <c r="E3" s="1"/>
      <c r="F3" s="1"/>
      <c r="G3" s="1"/>
      <c r="H3" s="1"/>
      <c r="I3" s="1"/>
      <c r="J3" s="1"/>
      <c r="K3" s="1"/>
      <c r="L3" s="1"/>
      <c r="M3" s="1"/>
      <c r="N3" s="1"/>
      <c r="O3" s="1"/>
    </row>
    <row r="4" spans="1:37" ht="12.75" customHeight="1" x14ac:dyDescent="0.25">
      <c r="A4" s="257" t="s">
        <v>79</v>
      </c>
      <c r="B4" s="323">
        <f>Front!B4</f>
        <v>36831</v>
      </c>
      <c r="D4" s="1"/>
      <c r="E4" s="1"/>
      <c r="F4" s="1"/>
      <c r="G4" s="1"/>
      <c r="H4" s="1"/>
      <c r="I4" s="1"/>
      <c r="J4" s="1"/>
      <c r="K4" s="1"/>
      <c r="L4" s="1"/>
      <c r="M4" s="1"/>
      <c r="N4" s="1"/>
      <c r="O4" s="1"/>
    </row>
    <row r="5" spans="1:37" ht="12.75" customHeight="1" thickBot="1" x14ac:dyDescent="0.3">
      <c r="A5" s="257" t="s">
        <v>80</v>
      </c>
      <c r="B5" s="570">
        <f>Front!B5</f>
        <v>36847</v>
      </c>
      <c r="C5" s="15"/>
      <c r="V5" s="24"/>
      <c r="W5" s="24"/>
      <c r="X5" s="24"/>
      <c r="Y5" s="24"/>
      <c r="Z5" s="24"/>
      <c r="AA5" s="24"/>
    </row>
    <row r="6" spans="1:37" ht="12.75" customHeight="1" x14ac:dyDescent="0.25">
      <c r="A6" s="257" t="s">
        <v>81</v>
      </c>
      <c r="B6" s="776">
        <f>Front!$H$12</f>
        <v>949856</v>
      </c>
      <c r="C6" s="15"/>
      <c r="K6" s="123" t="s">
        <v>82</v>
      </c>
      <c r="L6" s="62"/>
      <c r="M6" s="62"/>
      <c r="N6" s="62"/>
      <c r="O6" s="62"/>
      <c r="P6" s="62"/>
      <c r="Q6" s="62"/>
      <c r="R6" s="7"/>
      <c r="S6" s="102" t="s">
        <v>83</v>
      </c>
      <c r="T6" s="102"/>
      <c r="V6" s="123" t="s">
        <v>84</v>
      </c>
      <c r="W6" s="62"/>
      <c r="X6" s="62"/>
      <c r="Y6" s="62"/>
      <c r="Z6" s="62"/>
      <c r="AA6" s="7"/>
    </row>
    <row r="7" spans="1:37" ht="12.75" customHeight="1" x14ac:dyDescent="0.2">
      <c r="D7" s="103" t="s">
        <v>93</v>
      </c>
      <c r="E7" s="103" t="s">
        <v>94</v>
      </c>
      <c r="K7" s="64"/>
      <c r="L7" s="65" t="s">
        <v>88</v>
      </c>
      <c r="M7" s="65" t="s">
        <v>88</v>
      </c>
      <c r="N7" s="65" t="s">
        <v>88</v>
      </c>
      <c r="O7" s="65" t="s">
        <v>88</v>
      </c>
      <c r="P7" s="65" t="s">
        <v>88</v>
      </c>
      <c r="Q7" s="65" t="s">
        <v>88</v>
      </c>
      <c r="R7" s="66" t="s">
        <v>4</v>
      </c>
      <c r="S7" s="103" t="s">
        <v>89</v>
      </c>
      <c r="T7" s="103" t="s">
        <v>90</v>
      </c>
      <c r="V7" s="67" t="s">
        <v>91</v>
      </c>
      <c r="W7" s="24"/>
      <c r="X7" s="24"/>
      <c r="Y7" s="24"/>
      <c r="Z7" s="24"/>
      <c r="AA7" s="68"/>
    </row>
    <row r="8" spans="1:37" ht="12.75" customHeight="1" x14ac:dyDescent="0.2">
      <c r="A8" s="16" t="s">
        <v>92</v>
      </c>
      <c r="G8" s="17" t="s">
        <v>95</v>
      </c>
      <c r="H8" s="17"/>
      <c r="K8" s="124" t="s">
        <v>96</v>
      </c>
      <c r="L8" s="24"/>
      <c r="M8" s="24"/>
      <c r="N8" s="24"/>
      <c r="O8" s="24"/>
      <c r="P8" s="24"/>
      <c r="Q8" s="9"/>
      <c r="R8" s="68"/>
      <c r="V8" s="67" t="s">
        <v>97</v>
      </c>
      <c r="W8" s="24"/>
      <c r="X8" s="24"/>
      <c r="Y8" s="24"/>
      <c r="Z8" s="24"/>
      <c r="AA8" s="68"/>
    </row>
    <row r="9" spans="1:37" ht="12.75" customHeight="1" x14ac:dyDescent="0.2">
      <c r="A9" s="13" t="s">
        <v>98</v>
      </c>
      <c r="D9" s="18">
        <v>-3420079</v>
      </c>
      <c r="E9" s="18">
        <v>-3374456</v>
      </c>
      <c r="F9" s="1" t="s">
        <v>99</v>
      </c>
      <c r="G9" s="19" t="s">
        <v>100</v>
      </c>
      <c r="H9" s="19"/>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
      <c r="A10" s="13" t="s">
        <v>102</v>
      </c>
      <c r="D10" s="13">
        <v>0</v>
      </c>
      <c r="E10" s="21">
        <v>0</v>
      </c>
      <c r="F10" s="1" t="s">
        <v>99</v>
      </c>
      <c r="G10" s="19" t="s">
        <v>100</v>
      </c>
      <c r="H10" s="19"/>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
      <c r="A11" s="13" t="s">
        <v>105</v>
      </c>
      <c r="D11" s="13">
        <v>0</v>
      </c>
      <c r="E11" s="21">
        <v>0</v>
      </c>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
      <c r="A12" s="13" t="s">
        <v>109</v>
      </c>
      <c r="D12" s="13">
        <v>0</v>
      </c>
      <c r="E12" s="21">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
      <c r="A13" s="13" t="s">
        <v>112</v>
      </c>
      <c r="D13" s="13">
        <v>0</v>
      </c>
      <c r="E13" s="21">
        <v>0</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25">
      <c r="A14" s="13" t="s">
        <v>115</v>
      </c>
      <c r="E14" s="22">
        <f>+E159</f>
        <v>70309</v>
      </c>
      <c r="F14" s="13" t="s">
        <v>116</v>
      </c>
      <c r="K14" s="67" t="s">
        <v>117</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118</v>
      </c>
      <c r="Z14" s="24"/>
      <c r="AA14" s="68"/>
    </row>
    <row r="15" spans="1:37" ht="12.75" customHeight="1" thickTop="1" x14ac:dyDescent="0.2">
      <c r="A15" s="13" t="s">
        <v>119</v>
      </c>
      <c r="E15" s="22">
        <f>+L159</f>
        <v>0</v>
      </c>
      <c r="F15" s="13" t="s">
        <v>116</v>
      </c>
      <c r="K15" s="67" t="s">
        <v>120</v>
      </c>
      <c r="L15" s="249">
        <v>0</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2">
      <c r="A16" s="13" t="s">
        <v>124</v>
      </c>
      <c r="E16" s="22">
        <f>+E185</f>
        <v>0</v>
      </c>
      <c r="F16" s="13" t="s">
        <v>116</v>
      </c>
      <c r="I16" s="23"/>
      <c r="J16" s="23"/>
      <c r="K16" s="67" t="s">
        <v>125</v>
      </c>
      <c r="L16" s="248">
        <v>0</v>
      </c>
      <c r="M16" s="248">
        <v>0</v>
      </c>
      <c r="N16" s="248">
        <v>0</v>
      </c>
      <c r="O16" s="248">
        <v>0</v>
      </c>
      <c r="P16" s="248">
        <v>0</v>
      </c>
      <c r="Q16" s="248">
        <v>0</v>
      </c>
      <c r="R16" s="251">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2"/>
      <c r="L17" s="122">
        <f t="shared" ref="L17:Q17" si="1">SUM(L15*L16)</f>
        <v>0</v>
      </c>
      <c r="M17" s="122">
        <f t="shared" si="1"/>
        <v>0</v>
      </c>
      <c r="N17" s="122">
        <f t="shared" si="1"/>
        <v>0</v>
      </c>
      <c r="O17" s="122">
        <f t="shared" si="1"/>
        <v>0</v>
      </c>
      <c r="P17" s="122">
        <f t="shared" si="1"/>
        <v>0</v>
      </c>
      <c r="Q17" s="122">
        <f t="shared" si="1"/>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8">
        <f>SUM(E9:E16)</f>
        <v>-3304147</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f>
        <v>-3296541</v>
      </c>
      <c r="AA20" s="68"/>
      <c r="AB20" s="24"/>
      <c r="AC20" s="24"/>
      <c r="AD20" s="24"/>
      <c r="AE20" s="24"/>
      <c r="AF20" s="24"/>
      <c r="AG20" s="24"/>
      <c r="AH20" s="24"/>
      <c r="AI20" s="26"/>
      <c r="AJ20" s="24"/>
      <c r="AK20" s="24"/>
    </row>
    <row r="21" spans="1:37" ht="12.75" customHeight="1" thickBot="1" x14ac:dyDescent="0.25">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75" customHeight="1" x14ac:dyDescent="0.2">
      <c r="A22" s="13" t="s">
        <v>132</v>
      </c>
      <c r="E22" s="18">
        <v>0</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133</v>
      </c>
      <c r="E23" s="28">
        <v>0</v>
      </c>
      <c r="F23" s="1" t="s">
        <v>99</v>
      </c>
      <c r="G23" s="24"/>
      <c r="I23" s="24"/>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134</v>
      </c>
      <c r="E24" s="229">
        <f>E22+E23</f>
        <v>0</v>
      </c>
      <c r="F24" s="13" t="s">
        <v>116</v>
      </c>
      <c r="I24" s="24"/>
      <c r="J24" s="24"/>
      <c r="K24" s="67" t="s">
        <v>117</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135</v>
      </c>
      <c r="E25" s="22">
        <f>-M214</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136</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141</v>
      </c>
      <c r="E29" s="18">
        <v>868008</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143</v>
      </c>
      <c r="E30" s="29">
        <f>B61</f>
        <v>0</v>
      </c>
      <c r="F30" s="13" t="s">
        <v>144</v>
      </c>
      <c r="I30" s="24"/>
      <c r="J30" s="24"/>
      <c r="K30" s="67" t="s">
        <v>145</v>
      </c>
      <c r="L30" s="24"/>
      <c r="M30" s="26">
        <v>-3331545</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146</v>
      </c>
      <c r="E31" s="22">
        <f>B102</f>
        <v>0</v>
      </c>
      <c r="F31" s="13" t="s">
        <v>144</v>
      </c>
      <c r="I31" s="24"/>
      <c r="J31" s="24"/>
      <c r="K31" s="67" t="s">
        <v>147</v>
      </c>
      <c r="L31" s="24"/>
      <c r="M31" s="26">
        <v>0</v>
      </c>
      <c r="N31" s="27">
        <f>M31</f>
        <v>0</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148</v>
      </c>
      <c r="E32" s="29">
        <f>B118</f>
        <v>0</v>
      </c>
      <c r="F32" s="13" t="s">
        <v>144</v>
      </c>
      <c r="G32" s="19"/>
      <c r="K32" s="67" t="s">
        <v>149</v>
      </c>
      <c r="L32" s="24"/>
      <c r="M32" s="26">
        <v>868008</v>
      </c>
      <c r="N32" s="27"/>
      <c r="O32" s="24" t="s">
        <v>142</v>
      </c>
      <c r="P32" s="24"/>
      <c r="Q32" s="24"/>
      <c r="R32" s="68"/>
      <c r="AI32" s="1"/>
    </row>
    <row r="33" spans="1:47" ht="12.75" customHeight="1" x14ac:dyDescent="0.2">
      <c r="A33" s="13" t="s">
        <v>268</v>
      </c>
      <c r="E33" s="22">
        <f>B68</f>
        <v>0</v>
      </c>
      <c r="F33" s="13" t="s">
        <v>144</v>
      </c>
      <c r="K33" s="67"/>
      <c r="L33" s="9"/>
      <c r="M33" s="27"/>
      <c r="N33" s="27"/>
      <c r="O33" s="24"/>
      <c r="P33" s="24"/>
      <c r="Q33" s="24"/>
      <c r="R33" s="68"/>
    </row>
    <row r="34" spans="1:47" ht="12.75" customHeight="1" x14ac:dyDescent="0.2">
      <c r="A34" s="13" t="s">
        <v>151</v>
      </c>
      <c r="E34" s="22">
        <f>B69</f>
        <v>0</v>
      </c>
      <c r="F34" s="13" t="s">
        <v>144</v>
      </c>
      <c r="K34" s="67" t="s">
        <v>152</v>
      </c>
      <c r="L34" s="24"/>
      <c r="M34" s="27">
        <f>B76</f>
        <v>27398</v>
      </c>
      <c r="N34" s="27">
        <f>B63</f>
        <v>0</v>
      </c>
      <c r="O34" s="24" t="s">
        <v>153</v>
      </c>
      <c r="P34" s="24"/>
      <c r="Q34" s="24"/>
      <c r="R34" s="68"/>
    </row>
    <row r="35" spans="1:47" ht="12.75" customHeight="1" x14ac:dyDescent="0.2">
      <c r="A35" s="13" t="s">
        <v>154</v>
      </c>
      <c r="E35" s="22">
        <f>F238</f>
        <v>0</v>
      </c>
      <c r="F35" s="13" t="s">
        <v>144</v>
      </c>
      <c r="K35" s="67"/>
      <c r="L35" s="24"/>
      <c r="M35" s="27"/>
      <c r="N35" s="27"/>
      <c r="O35" s="24"/>
      <c r="P35" s="24"/>
      <c r="Q35" s="24"/>
      <c r="R35" s="68"/>
    </row>
    <row r="36" spans="1:47" ht="12.75" customHeight="1" thickBot="1" x14ac:dyDescent="0.25">
      <c r="A36" s="17" t="s">
        <v>155</v>
      </c>
      <c r="E36" s="228">
        <f>SUM(E29:E35)</f>
        <v>868008</v>
      </c>
      <c r="K36" s="67" t="s">
        <v>156</v>
      </c>
      <c r="L36" s="9"/>
      <c r="M36" s="27">
        <f>SUM(M30:M34)</f>
        <v>-2436139</v>
      </c>
      <c r="N36" s="27">
        <f>SUM(N30:N34)</f>
        <v>0</v>
      </c>
      <c r="O36" s="24"/>
      <c r="P36" s="24"/>
      <c r="Q36" s="24"/>
      <c r="R36" s="68"/>
    </row>
    <row r="37" spans="1:47" ht="12.75" customHeight="1" thickTop="1" x14ac:dyDescent="0.2">
      <c r="K37" s="206"/>
      <c r="L37" s="9"/>
      <c r="M37" s="9"/>
      <c r="N37" s="9"/>
      <c r="O37" s="24"/>
      <c r="P37" s="24"/>
      <c r="Q37" s="24"/>
      <c r="R37" s="68"/>
    </row>
    <row r="38" spans="1:47" ht="12.75" customHeight="1" thickBot="1" x14ac:dyDescent="0.3">
      <c r="A38" s="16" t="s">
        <v>157</v>
      </c>
      <c r="C38" s="20"/>
      <c r="E38" s="228">
        <f>+E36+E26+E19</f>
        <v>-2436139</v>
      </c>
      <c r="K38" s="67"/>
      <c r="L38" s="207" t="s">
        <v>158</v>
      </c>
      <c r="M38" s="208">
        <f>M36-E38</f>
        <v>0</v>
      </c>
      <c r="N38" s="209">
        <f>+N36-E26</f>
        <v>0</v>
      </c>
      <c r="O38" s="24"/>
      <c r="P38" s="24"/>
      <c r="Q38" s="24"/>
      <c r="R38" s="68"/>
      <c r="AN38" s="1"/>
      <c r="AO38" s="1"/>
      <c r="AP38" s="1"/>
      <c r="AQ38" s="1"/>
      <c r="AR38" s="1"/>
      <c r="AS38" s="1"/>
    </row>
    <row r="39" spans="1:47" ht="12.75" customHeight="1" thickTop="1" thickBot="1" x14ac:dyDescent="0.25">
      <c r="K39" s="74"/>
      <c r="L39" s="131"/>
      <c r="M39" s="131"/>
      <c r="N39" s="133"/>
      <c r="O39" s="131"/>
      <c r="P39" s="131"/>
      <c r="Q39" s="131"/>
      <c r="R39" s="132"/>
      <c r="AJ39" s="1"/>
      <c r="AK39" s="1"/>
      <c r="AN39" s="1"/>
      <c r="AO39" s="1"/>
      <c r="AP39" s="1"/>
      <c r="AQ39" s="1"/>
      <c r="AR39" s="1"/>
      <c r="AS39" s="1"/>
    </row>
    <row r="40" spans="1:47" ht="12.75" customHeight="1" x14ac:dyDescent="0.2">
      <c r="K40" s="24"/>
      <c r="L40" s="24"/>
      <c r="M40" s="24"/>
      <c r="N40" s="24"/>
      <c r="O40" s="24"/>
      <c r="P40" s="24"/>
      <c r="AJ40" s="1"/>
      <c r="AK40" s="1"/>
      <c r="AN40" s="1"/>
      <c r="AO40" s="1"/>
      <c r="AP40" s="1"/>
      <c r="AQ40" s="1"/>
      <c r="AR40" s="1"/>
      <c r="AS40" s="1"/>
    </row>
    <row r="41" spans="1:47" ht="12.75" customHeight="1" x14ac:dyDescent="0.25">
      <c r="A41" s="56" t="s">
        <v>159</v>
      </c>
      <c r="B41" s="57"/>
      <c r="K41" s="1"/>
      <c r="L41" s="1"/>
      <c r="M41" s="43"/>
      <c r="N41" s="1"/>
      <c r="O41" s="1"/>
      <c r="P41" s="1"/>
      <c r="AJ41" s="1"/>
      <c r="AK41" s="1"/>
      <c r="AN41" s="1"/>
      <c r="AO41" s="1"/>
      <c r="AP41" s="1"/>
      <c r="AQ41" s="1"/>
      <c r="AR41" s="1"/>
      <c r="AS41" s="1"/>
    </row>
    <row r="42" spans="1:47" ht="12.75" customHeight="1" x14ac:dyDescent="0.2">
      <c r="B42" s="1"/>
      <c r="C42" s="19"/>
      <c r="AI42" s="106" t="s">
        <v>160</v>
      </c>
      <c r="AJ42" s="107"/>
      <c r="AK42" s="1"/>
      <c r="AN42" s="1"/>
      <c r="AO42" s="1"/>
      <c r="AP42" s="1"/>
      <c r="AQ42" s="1"/>
      <c r="AR42" s="1"/>
      <c r="AS42" s="1"/>
    </row>
    <row r="43" spans="1:47" ht="12.75" customHeight="1" x14ac:dyDescent="0.2">
      <c r="A43" s="30"/>
      <c r="B43" s="31" t="s">
        <v>161</v>
      </c>
      <c r="C43" s="32">
        <f t="shared" ref="C43:P43" si="3">SUM(C47:C76)-C61-C68-C69</f>
        <v>-4417</v>
      </c>
      <c r="D43" s="32">
        <f t="shared" si="3"/>
        <v>-449</v>
      </c>
      <c r="E43" s="32">
        <f t="shared" si="3"/>
        <v>18</v>
      </c>
      <c r="F43" s="32">
        <f t="shared" si="3"/>
        <v>0</v>
      </c>
      <c r="G43" s="32">
        <f t="shared" si="3"/>
        <v>0</v>
      </c>
      <c r="H43" s="32">
        <f t="shared" si="3"/>
        <v>-674</v>
      </c>
      <c r="I43" s="32">
        <f t="shared" si="3"/>
        <v>-1595</v>
      </c>
      <c r="J43" s="32">
        <f t="shared" si="3"/>
        <v>-2672</v>
      </c>
      <c r="K43" s="32">
        <f t="shared" si="3"/>
        <v>-3143</v>
      </c>
      <c r="L43" s="32">
        <f t="shared" si="3"/>
        <v>1863</v>
      </c>
      <c r="M43" s="32">
        <f t="shared" si="3"/>
        <v>0</v>
      </c>
      <c r="N43" s="32">
        <f t="shared" si="3"/>
        <v>0</v>
      </c>
      <c r="O43" s="32">
        <f t="shared" si="3"/>
        <v>-1996</v>
      </c>
      <c r="P43" s="32">
        <f t="shared" si="3"/>
        <v>-999</v>
      </c>
      <c r="Q43" s="32">
        <f>SUM(Q47:Q76)-P61-Q68-Q69</f>
        <v>-3337</v>
      </c>
      <c r="R43" s="32">
        <f>SUM(R47:R76)-Q61-R68-R69</f>
        <v>-824</v>
      </c>
      <c r="S43" s="32">
        <f>SUM(S47:S76)-R61-S68-S69</f>
        <v>45623</v>
      </c>
      <c r="T43" s="32">
        <f t="shared" ref="T43:AG43" si="4">SUM(T47:T76)-T61-T68-T69</f>
        <v>0</v>
      </c>
      <c r="U43" s="32">
        <f t="shared" si="4"/>
        <v>0</v>
      </c>
      <c r="V43" s="32">
        <f t="shared" si="4"/>
        <v>0</v>
      </c>
      <c r="W43" s="32">
        <f t="shared" si="4"/>
        <v>0</v>
      </c>
      <c r="X43" s="32">
        <f t="shared" si="4"/>
        <v>0</v>
      </c>
      <c r="Y43" s="32">
        <f t="shared" si="4"/>
        <v>0</v>
      </c>
      <c r="Z43" s="32">
        <f t="shared" si="4"/>
        <v>0</v>
      </c>
      <c r="AA43" s="32">
        <f t="shared" si="4"/>
        <v>0</v>
      </c>
      <c r="AB43" s="32">
        <f t="shared" si="4"/>
        <v>0</v>
      </c>
      <c r="AC43" s="32">
        <f t="shared" si="4"/>
        <v>0</v>
      </c>
      <c r="AD43" s="32">
        <f t="shared" si="4"/>
        <v>0</v>
      </c>
      <c r="AE43" s="32">
        <f t="shared" si="4"/>
        <v>0</v>
      </c>
      <c r="AF43" s="32">
        <f t="shared" si="4"/>
        <v>0</v>
      </c>
      <c r="AG43" s="32">
        <f t="shared" si="4"/>
        <v>0</v>
      </c>
      <c r="AH43" s="1"/>
      <c r="AI43" s="108" t="s">
        <v>162</v>
      </c>
      <c r="AJ43" s="109" t="s">
        <v>163</v>
      </c>
      <c r="AK43" s="1"/>
      <c r="AL43" s="33"/>
      <c r="AN43" s="1"/>
      <c r="AO43" s="1"/>
      <c r="AP43" s="1"/>
      <c r="AQ43" s="1"/>
      <c r="AR43" s="1"/>
      <c r="AS43" s="1"/>
    </row>
    <row r="44" spans="1:47" s="99" customFormat="1" ht="12.75" customHeight="1" x14ac:dyDescent="0.25">
      <c r="A44" s="216" t="s">
        <v>164</v>
      </c>
      <c r="B44" s="116">
        <f>B4</f>
        <v>36831</v>
      </c>
      <c r="C44" s="104">
        <f>B44</f>
        <v>36831</v>
      </c>
      <c r="D44" s="104">
        <f t="shared" ref="D44:S44" si="5">C44+1</f>
        <v>36832</v>
      </c>
      <c r="E44" s="104">
        <f t="shared" si="5"/>
        <v>36833</v>
      </c>
      <c r="F44" s="104">
        <f t="shared" si="5"/>
        <v>36834</v>
      </c>
      <c r="G44" s="104">
        <f t="shared" si="5"/>
        <v>36835</v>
      </c>
      <c r="H44" s="104">
        <f t="shared" si="5"/>
        <v>36836</v>
      </c>
      <c r="I44" s="104">
        <f t="shared" si="5"/>
        <v>36837</v>
      </c>
      <c r="J44" s="104">
        <f t="shared" si="5"/>
        <v>36838</v>
      </c>
      <c r="K44" s="104">
        <f t="shared" si="5"/>
        <v>36839</v>
      </c>
      <c r="L44" s="104">
        <f t="shared" si="5"/>
        <v>36840</v>
      </c>
      <c r="M44" s="104">
        <f t="shared" si="5"/>
        <v>36841</v>
      </c>
      <c r="N44" s="104">
        <f t="shared" si="5"/>
        <v>36842</v>
      </c>
      <c r="O44" s="104">
        <f t="shared" si="5"/>
        <v>36843</v>
      </c>
      <c r="P44" s="104">
        <f t="shared" si="5"/>
        <v>36844</v>
      </c>
      <c r="Q44" s="104">
        <f t="shared" si="5"/>
        <v>36845</v>
      </c>
      <c r="R44" s="104">
        <f t="shared" si="5"/>
        <v>36846</v>
      </c>
      <c r="S44" s="104">
        <f t="shared" si="5"/>
        <v>36847</v>
      </c>
      <c r="T44" s="104">
        <f t="shared" ref="T44:AG44" si="6">S44+1</f>
        <v>36848</v>
      </c>
      <c r="U44" s="104">
        <f t="shared" si="6"/>
        <v>36849</v>
      </c>
      <c r="V44" s="104">
        <f t="shared" si="6"/>
        <v>36850</v>
      </c>
      <c r="W44" s="104">
        <f t="shared" si="6"/>
        <v>36851</v>
      </c>
      <c r="X44" s="104">
        <f t="shared" si="6"/>
        <v>36852</v>
      </c>
      <c r="Y44" s="104">
        <f t="shared" si="6"/>
        <v>36853</v>
      </c>
      <c r="Z44" s="104">
        <f t="shared" si="6"/>
        <v>36854</v>
      </c>
      <c r="AA44" s="104">
        <f t="shared" si="6"/>
        <v>36855</v>
      </c>
      <c r="AB44" s="104">
        <f t="shared" si="6"/>
        <v>36856</v>
      </c>
      <c r="AC44" s="104">
        <f t="shared" si="6"/>
        <v>36857</v>
      </c>
      <c r="AD44" s="104">
        <f t="shared" si="6"/>
        <v>36858</v>
      </c>
      <c r="AE44" s="104">
        <f t="shared" si="6"/>
        <v>36859</v>
      </c>
      <c r="AF44" s="104">
        <f t="shared" si="6"/>
        <v>36860</v>
      </c>
      <c r="AG44" s="104">
        <f t="shared" si="6"/>
        <v>36861</v>
      </c>
      <c r="AI44" s="110">
        <v>1</v>
      </c>
      <c r="AJ44" s="111" t="s">
        <v>165</v>
      </c>
      <c r="AL44" s="100"/>
    </row>
    <row r="45" spans="1:47" ht="12.75" customHeight="1" x14ac:dyDescent="0.25">
      <c r="A45" s="34"/>
      <c r="B45" s="34"/>
      <c r="C45" s="105" t="str">
        <f t="shared" ref="C45:R45" si="7">LOOKUP((WEEKDAY(C44,1)),$AI$44:$AI$50,$AJ$44:$AJ$50)</f>
        <v>W</v>
      </c>
      <c r="D45" s="105" t="str">
        <f t="shared" si="7"/>
        <v>R</v>
      </c>
      <c r="E45" s="105" t="str">
        <f t="shared" si="7"/>
        <v>F</v>
      </c>
      <c r="F45" s="105" t="str">
        <f t="shared" si="7"/>
        <v>S</v>
      </c>
      <c r="G45" s="105" t="str">
        <f t="shared" si="7"/>
        <v>S</v>
      </c>
      <c r="H45" s="105" t="str">
        <f t="shared" si="7"/>
        <v>M</v>
      </c>
      <c r="I45" s="105" t="str">
        <f t="shared" si="7"/>
        <v>T</v>
      </c>
      <c r="J45" s="105" t="str">
        <f t="shared" si="7"/>
        <v>W</v>
      </c>
      <c r="K45" s="105" t="str">
        <f t="shared" si="7"/>
        <v>R</v>
      </c>
      <c r="L45" s="105" t="str">
        <f t="shared" si="7"/>
        <v>F</v>
      </c>
      <c r="M45" s="105" t="str">
        <f t="shared" si="7"/>
        <v>S</v>
      </c>
      <c r="N45" s="105" t="str">
        <f t="shared" si="7"/>
        <v>S</v>
      </c>
      <c r="O45" s="105" t="str">
        <f t="shared" si="7"/>
        <v>M</v>
      </c>
      <c r="P45" s="105" t="str">
        <f t="shared" si="7"/>
        <v>T</v>
      </c>
      <c r="Q45" s="105" t="str">
        <f t="shared" si="7"/>
        <v>W</v>
      </c>
      <c r="R45" s="105" t="str">
        <f t="shared" si="7"/>
        <v>R</v>
      </c>
      <c r="S45" s="105" t="str">
        <f t="shared" ref="S45:AG45" si="8">LOOKUP((WEEKDAY(S44,1)),$AI$44:$AI$50,$AJ$44:$AJ$50)</f>
        <v>F</v>
      </c>
      <c r="T45" s="105" t="str">
        <f t="shared" si="8"/>
        <v>S</v>
      </c>
      <c r="U45" s="105" t="str">
        <f t="shared" si="8"/>
        <v>S</v>
      </c>
      <c r="V45" s="105" t="str">
        <f t="shared" si="8"/>
        <v>M</v>
      </c>
      <c r="W45" s="105" t="str">
        <f t="shared" si="8"/>
        <v>T</v>
      </c>
      <c r="X45" s="105" t="str">
        <f t="shared" si="8"/>
        <v>W</v>
      </c>
      <c r="Y45" s="105" t="str">
        <f t="shared" si="8"/>
        <v>R</v>
      </c>
      <c r="Z45" s="105" t="str">
        <f t="shared" si="8"/>
        <v>F</v>
      </c>
      <c r="AA45" s="105" t="str">
        <f t="shared" si="8"/>
        <v>S</v>
      </c>
      <c r="AB45" s="105" t="str">
        <f t="shared" si="8"/>
        <v>S</v>
      </c>
      <c r="AC45" s="105" t="str">
        <f t="shared" si="8"/>
        <v>M</v>
      </c>
      <c r="AD45" s="105" t="str">
        <f t="shared" si="8"/>
        <v>T</v>
      </c>
      <c r="AE45" s="105" t="str">
        <f t="shared" si="8"/>
        <v>W</v>
      </c>
      <c r="AF45" s="105" t="str">
        <f t="shared" si="8"/>
        <v>R</v>
      </c>
      <c r="AG45" s="105" t="str">
        <f t="shared" si="8"/>
        <v>F</v>
      </c>
      <c r="AH45" s="1"/>
      <c r="AI45" s="112">
        <v>2</v>
      </c>
      <c r="AJ45" s="113" t="s">
        <v>166</v>
      </c>
      <c r="AK45" s="1"/>
      <c r="AL45" s="24"/>
      <c r="AN45" s="1"/>
      <c r="AO45" s="1"/>
      <c r="AP45" s="1"/>
      <c r="AQ45" s="1"/>
      <c r="AR45" s="1"/>
      <c r="AS45" s="1"/>
    </row>
    <row r="46" spans="1:47" ht="12.75" customHeight="1" thickBot="1" x14ac:dyDescent="0.3">
      <c r="A46" s="217"/>
      <c r="B46" s="35" t="s">
        <v>167</v>
      </c>
      <c r="C46" s="36"/>
      <c r="D46" s="36"/>
      <c r="E46" s="36"/>
      <c r="F46" s="36"/>
      <c r="G46" s="36"/>
      <c r="H46" s="36"/>
      <c r="I46" s="36"/>
      <c r="J46" s="36"/>
      <c r="K46" s="36"/>
      <c r="L46" s="36"/>
      <c r="M46" s="36"/>
      <c r="N46" s="36"/>
      <c r="O46" s="20"/>
      <c r="P46" s="36"/>
      <c r="Q46" s="36"/>
      <c r="R46" s="36"/>
      <c r="S46" s="36"/>
      <c r="T46" s="36"/>
      <c r="U46" s="36"/>
      <c r="V46" s="36"/>
      <c r="W46" s="36"/>
      <c r="X46" s="36"/>
      <c r="Y46" s="36"/>
      <c r="Z46" s="36"/>
      <c r="AA46" s="36"/>
      <c r="AB46" s="36"/>
      <c r="AC46" s="36"/>
      <c r="AD46" s="36"/>
      <c r="AE46" s="36"/>
      <c r="AF46" s="36"/>
      <c r="AG46" s="37"/>
      <c r="AH46" s="1"/>
      <c r="AI46" s="112">
        <v>3</v>
      </c>
      <c r="AJ46" s="113" t="s">
        <v>168</v>
      </c>
      <c r="AK46" s="1"/>
      <c r="AL46" s="24"/>
      <c r="AN46" s="1"/>
      <c r="AO46" s="1"/>
      <c r="AP46" s="1"/>
      <c r="AQ46" s="1"/>
      <c r="AR46" s="1"/>
      <c r="AS46" s="1"/>
    </row>
    <row r="47" spans="1:47" ht="12.75" hidden="1" customHeight="1" thickTop="1" x14ac:dyDescent="0.2">
      <c r="A47" s="22" t="s">
        <v>169</v>
      </c>
      <c r="B47" s="39">
        <f t="shared" ref="B47:B62" si="9">SUM(C47:AG47)</f>
        <v>0</v>
      </c>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40"/>
      <c r="AH47" s="1"/>
      <c r="AI47" s="112">
        <v>4</v>
      </c>
      <c r="AJ47" s="113" t="s">
        <v>170</v>
      </c>
      <c r="AK47" s="1"/>
      <c r="AL47" s="41"/>
      <c r="AM47" s="42"/>
      <c r="AN47" s="43"/>
      <c r="AO47" s="1"/>
      <c r="AP47" s="1"/>
      <c r="AQ47" s="1"/>
      <c r="AR47" s="1"/>
      <c r="AS47" s="1"/>
    </row>
    <row r="48" spans="1:47" ht="12.75" hidden="1" customHeight="1" x14ac:dyDescent="0.2">
      <c r="A48" s="44" t="s">
        <v>171</v>
      </c>
      <c r="B48" s="39">
        <f t="shared" si="9"/>
        <v>0</v>
      </c>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40"/>
      <c r="AH48" s="1"/>
      <c r="AI48" s="112">
        <v>5</v>
      </c>
      <c r="AJ48" s="113" t="s">
        <v>172</v>
      </c>
      <c r="AK48" s="1"/>
      <c r="AL48" s="41"/>
      <c r="AM48" s="45"/>
      <c r="AN48" s="47"/>
      <c r="AO48" s="41"/>
      <c r="AP48" s="41"/>
      <c r="AQ48" s="41"/>
      <c r="AR48" s="41"/>
      <c r="AS48" s="41"/>
      <c r="AT48" s="46"/>
      <c r="AU48" s="46"/>
    </row>
    <row r="49" spans="1:50" ht="12.75" customHeight="1" thickTop="1" x14ac:dyDescent="0.2">
      <c r="A49" s="44" t="s">
        <v>173</v>
      </c>
      <c r="B49" s="39">
        <f t="shared" si="9"/>
        <v>-802</v>
      </c>
      <c r="C49" s="20"/>
      <c r="D49" s="20">
        <v>-802</v>
      </c>
      <c r="E49" s="20">
        <v>0</v>
      </c>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40"/>
      <c r="AH49" s="1"/>
      <c r="AI49" s="112">
        <v>6</v>
      </c>
      <c r="AJ49" s="113" t="s">
        <v>174</v>
      </c>
      <c r="AK49" s="1"/>
      <c r="AL49" s="41"/>
      <c r="AM49" s="45"/>
      <c r="AN49" s="47"/>
      <c r="AO49" s="41"/>
      <c r="AP49" s="41"/>
      <c r="AQ49" s="41"/>
      <c r="AR49" s="41"/>
      <c r="AS49" s="41"/>
      <c r="AT49" s="46"/>
      <c r="AU49" s="46"/>
    </row>
    <row r="50" spans="1:50" ht="12.75" hidden="1" customHeight="1" x14ac:dyDescent="0.2">
      <c r="A50" s="44" t="s">
        <v>175</v>
      </c>
      <c r="B50" s="39">
        <f t="shared" si="9"/>
        <v>0</v>
      </c>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40"/>
      <c r="AH50" s="1"/>
      <c r="AI50" s="114">
        <v>7</v>
      </c>
      <c r="AJ50" s="115" t="s">
        <v>165</v>
      </c>
      <c r="AK50" s="1"/>
      <c r="AL50" s="48"/>
      <c r="AM50" s="48"/>
      <c r="AN50" s="47"/>
      <c r="AO50" s="41"/>
      <c r="AP50" s="41"/>
      <c r="AQ50" s="41"/>
      <c r="AR50" s="41"/>
      <c r="AS50" s="41"/>
      <c r="AT50" s="46"/>
      <c r="AU50" s="46"/>
    </row>
    <row r="51" spans="1:50" ht="12.75" customHeight="1" x14ac:dyDescent="0.2">
      <c r="A51" s="44" t="s">
        <v>176</v>
      </c>
      <c r="B51" s="39">
        <f t="shared" si="9"/>
        <v>-12493</v>
      </c>
      <c r="C51" s="20">
        <v>-3763</v>
      </c>
      <c r="D51" s="20">
        <v>708</v>
      </c>
      <c r="E51" s="20">
        <v>-351</v>
      </c>
      <c r="F51" s="20"/>
      <c r="G51" s="20"/>
      <c r="H51" s="20">
        <v>641</v>
      </c>
      <c r="I51" s="20">
        <v>-1076</v>
      </c>
      <c r="J51" s="20">
        <v>-2306</v>
      </c>
      <c r="K51" s="20">
        <v>-2709</v>
      </c>
      <c r="L51" s="20">
        <v>2270</v>
      </c>
      <c r="M51" s="20"/>
      <c r="N51" s="20"/>
      <c r="O51" s="20">
        <v>-632</v>
      </c>
      <c r="P51" s="20">
        <v>-517</v>
      </c>
      <c r="Q51" s="20">
        <v>-2867</v>
      </c>
      <c r="R51" s="20">
        <v>-356</v>
      </c>
      <c r="S51" s="20">
        <v>-1535</v>
      </c>
      <c r="T51" s="20"/>
      <c r="U51" s="20"/>
      <c r="V51" s="20"/>
      <c r="W51" s="20"/>
      <c r="X51" s="20"/>
      <c r="Y51" s="20"/>
      <c r="Z51" s="20"/>
      <c r="AA51" s="20"/>
      <c r="AB51" s="20"/>
      <c r="AC51" s="20"/>
      <c r="AD51" s="20"/>
      <c r="AE51" s="20"/>
      <c r="AF51" s="20"/>
      <c r="AG51" s="40"/>
      <c r="AH51" s="1"/>
      <c r="AI51" s="46"/>
      <c r="AJ51" s="1"/>
      <c r="AK51" s="1"/>
      <c r="AL51" s="48"/>
      <c r="AM51" s="42"/>
      <c r="AN51" s="43"/>
      <c r="AO51" s="1"/>
      <c r="AP51" s="1"/>
      <c r="AQ51" s="1"/>
      <c r="AR51" s="1"/>
      <c r="AS51" s="1"/>
    </row>
    <row r="52" spans="1:50" ht="12.75" customHeight="1" x14ac:dyDescent="0.2">
      <c r="A52" s="44" t="s">
        <v>177</v>
      </c>
      <c r="B52" s="39">
        <f t="shared" si="9"/>
        <v>0</v>
      </c>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40"/>
      <c r="AH52" s="1"/>
      <c r="AI52" s="46"/>
      <c r="AJ52" s="1"/>
      <c r="AK52" s="1"/>
      <c r="AL52" s="48"/>
      <c r="AM52" s="42"/>
      <c r="AN52" s="43"/>
      <c r="AO52" s="1"/>
      <c r="AP52" s="1"/>
      <c r="AQ52" s="1"/>
      <c r="AR52" s="1"/>
      <c r="AS52" s="1"/>
    </row>
    <row r="53" spans="1:50" ht="12.75" customHeight="1" x14ac:dyDescent="0.2">
      <c r="A53" s="22" t="s">
        <v>178</v>
      </c>
      <c r="B53" s="39">
        <f t="shared" si="9"/>
        <v>48302</v>
      </c>
      <c r="C53" s="20"/>
      <c r="D53" s="20"/>
      <c r="E53" s="20">
        <v>768</v>
      </c>
      <c r="F53" s="20"/>
      <c r="G53" s="20"/>
      <c r="H53" s="20"/>
      <c r="I53" s="20"/>
      <c r="J53" s="20"/>
      <c r="K53" s="20"/>
      <c r="L53" s="20"/>
      <c r="M53" s="20"/>
      <c r="N53" s="20"/>
      <c r="O53" s="20"/>
      <c r="P53" s="20"/>
      <c r="Q53" s="20"/>
      <c r="R53" s="20"/>
      <c r="S53" s="20">
        <v>47534</v>
      </c>
      <c r="T53" s="20"/>
      <c r="U53" s="20"/>
      <c r="V53" s="20"/>
      <c r="W53" s="20"/>
      <c r="X53" s="20"/>
      <c r="Y53" s="20"/>
      <c r="Z53" s="20"/>
      <c r="AA53" s="20"/>
      <c r="AB53" s="20"/>
      <c r="AC53" s="20"/>
      <c r="AD53" s="20"/>
      <c r="AE53" s="20"/>
      <c r="AF53" s="20"/>
      <c r="AG53" s="40"/>
      <c r="AH53" s="1"/>
      <c r="AJ53" s="1"/>
      <c r="AK53" s="1"/>
      <c r="AL53" s="41"/>
      <c r="AM53" s="42"/>
      <c r="AN53" s="43"/>
      <c r="AO53" s="1"/>
      <c r="AP53" s="1"/>
      <c r="AQ53" s="1"/>
      <c r="AR53" s="1"/>
      <c r="AS53" s="1"/>
    </row>
    <row r="54" spans="1:50" ht="12.75" customHeight="1" x14ac:dyDescent="0.2">
      <c r="A54" s="22" t="s">
        <v>269</v>
      </c>
      <c r="B54" s="39">
        <f t="shared" si="9"/>
        <v>0</v>
      </c>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40"/>
      <c r="AH54" s="1"/>
      <c r="AJ54" s="1"/>
      <c r="AK54" s="1"/>
      <c r="AL54" s="41"/>
      <c r="AM54" s="42"/>
      <c r="AN54" s="43"/>
      <c r="AO54" s="1"/>
      <c r="AP54" s="1"/>
      <c r="AQ54" s="1"/>
      <c r="AR54" s="1"/>
      <c r="AS54" s="1"/>
    </row>
    <row r="55" spans="1:50" ht="12.75" customHeight="1" x14ac:dyDescent="0.2">
      <c r="A55" s="22" t="s">
        <v>180</v>
      </c>
      <c r="B55" s="39">
        <f t="shared" si="9"/>
        <v>0</v>
      </c>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40"/>
      <c r="AH55" s="1"/>
      <c r="AJ55" s="1"/>
      <c r="AK55" s="1"/>
      <c r="AL55" s="41"/>
      <c r="AM55" s="42"/>
      <c r="AN55" s="43"/>
      <c r="AO55" s="1"/>
      <c r="AP55" s="1"/>
      <c r="AQ55" s="1"/>
      <c r="AR55" s="1"/>
      <c r="AS55" s="1"/>
    </row>
    <row r="56" spans="1:50" ht="12.75" customHeight="1" x14ac:dyDescent="0.2">
      <c r="A56" s="22" t="s">
        <v>181</v>
      </c>
      <c r="B56" s="39">
        <f t="shared" si="9"/>
        <v>0</v>
      </c>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40"/>
      <c r="AH56" s="1"/>
      <c r="AI56" s="46"/>
      <c r="AJ56" s="1"/>
      <c r="AK56" s="1"/>
      <c r="AL56" s="41"/>
      <c r="AM56" s="42"/>
      <c r="AN56" s="43"/>
      <c r="AO56" s="1"/>
      <c r="AP56" s="1"/>
      <c r="AQ56" s="1"/>
      <c r="AR56" s="1"/>
      <c r="AS56" s="1"/>
    </row>
    <row r="57" spans="1:50" ht="12.75" customHeight="1" x14ac:dyDescent="0.2">
      <c r="A57" s="44" t="s">
        <v>182</v>
      </c>
      <c r="B57" s="39">
        <f t="shared" si="9"/>
        <v>0</v>
      </c>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40"/>
      <c r="AH57" s="1"/>
      <c r="AI57" s="46"/>
      <c r="AJ57" s="1"/>
      <c r="AK57" s="1"/>
      <c r="AL57" s="41"/>
      <c r="AM57" s="42"/>
      <c r="AN57" s="43"/>
      <c r="AO57" s="1"/>
      <c r="AP57" s="1"/>
      <c r="AQ57" s="1"/>
      <c r="AR57" s="1"/>
      <c r="AS57" s="1"/>
    </row>
    <row r="58" spans="1:50" ht="18" customHeight="1" x14ac:dyDescent="0.2">
      <c r="A58" s="44" t="s">
        <v>183</v>
      </c>
      <c r="B58" s="39">
        <f t="shared" si="9"/>
        <v>154</v>
      </c>
      <c r="C58" s="20">
        <v>-112</v>
      </c>
      <c r="D58" s="20">
        <v>96</v>
      </c>
      <c r="E58" s="20">
        <v>51</v>
      </c>
      <c r="F58" s="20"/>
      <c r="G58" s="20"/>
      <c r="H58" s="20">
        <v>36</v>
      </c>
      <c r="I58" s="20">
        <v>-69</v>
      </c>
      <c r="J58" s="20">
        <v>85</v>
      </c>
      <c r="K58" s="20">
        <v>17</v>
      </c>
      <c r="L58" s="20">
        <v>45</v>
      </c>
      <c r="M58" s="20"/>
      <c r="N58" s="20"/>
      <c r="O58" s="20">
        <v>-9</v>
      </c>
      <c r="P58" s="20">
        <v>-31</v>
      </c>
      <c r="Q58" s="20">
        <v>-18</v>
      </c>
      <c r="R58" s="20">
        <v>-15</v>
      </c>
      <c r="S58" s="13">
        <v>78</v>
      </c>
      <c r="T58" s="20"/>
      <c r="U58" s="20"/>
      <c r="V58" s="20"/>
      <c r="W58" s="255"/>
      <c r="X58" s="20"/>
      <c r="Y58" s="20"/>
      <c r="Z58" s="20"/>
      <c r="AA58" s="20"/>
      <c r="AB58" s="20"/>
      <c r="AC58" s="20"/>
      <c r="AD58" s="20"/>
      <c r="AE58" s="20"/>
      <c r="AF58" s="20"/>
      <c r="AG58" s="40"/>
      <c r="AH58" s="1"/>
      <c r="AI58" s="46"/>
      <c r="AJ58" s="1"/>
      <c r="AK58" s="1"/>
      <c r="AL58" s="41"/>
      <c r="AM58" s="48"/>
      <c r="AN58" s="47"/>
      <c r="AO58" s="41"/>
      <c r="AP58" s="41"/>
      <c r="AQ58" s="41"/>
      <c r="AR58" s="41"/>
      <c r="AS58" s="41"/>
      <c r="AT58" s="46"/>
      <c r="AU58" s="46"/>
      <c r="AV58" s="46"/>
      <c r="AW58" s="46"/>
      <c r="AX58" s="46"/>
    </row>
    <row r="59" spans="1:50" ht="12.75" customHeight="1" x14ac:dyDescent="0.2">
      <c r="A59" s="44" t="s">
        <v>184</v>
      </c>
      <c r="B59" s="39">
        <f t="shared" si="9"/>
        <v>-7760</v>
      </c>
      <c r="C59" s="20">
        <v>-544</v>
      </c>
      <c r="D59" s="20">
        <v>-449</v>
      </c>
      <c r="E59" s="20">
        <v>-450</v>
      </c>
      <c r="F59" s="20"/>
      <c r="G59" s="20"/>
      <c r="H59" s="20">
        <v>-1351</v>
      </c>
      <c r="I59" s="20">
        <v>-451</v>
      </c>
      <c r="J59" s="20">
        <v>-450</v>
      </c>
      <c r="K59" s="20">
        <v>-451</v>
      </c>
      <c r="L59" s="20">
        <v>-451</v>
      </c>
      <c r="M59" s="20"/>
      <c r="N59" s="20"/>
      <c r="O59" s="20">
        <v>-1355</v>
      </c>
      <c r="P59" s="20">
        <v>-452</v>
      </c>
      <c r="Q59" s="20">
        <v>-452</v>
      </c>
      <c r="R59" s="20">
        <v>-452</v>
      </c>
      <c r="S59" s="13">
        <v>-452</v>
      </c>
      <c r="T59" s="20"/>
      <c r="U59" s="20"/>
      <c r="V59" s="20"/>
      <c r="W59" s="255"/>
      <c r="X59" s="20"/>
      <c r="Y59" s="20"/>
      <c r="Z59" s="20"/>
      <c r="AA59" s="20"/>
      <c r="AB59" s="20"/>
      <c r="AC59" s="20"/>
      <c r="AD59" s="20"/>
      <c r="AE59" s="20"/>
      <c r="AF59" s="20"/>
      <c r="AG59" s="40"/>
      <c r="AH59" s="1"/>
      <c r="AI59" s="46"/>
      <c r="AJ59" s="1"/>
      <c r="AK59" s="1"/>
      <c r="AL59" s="41"/>
      <c r="AM59" s="48"/>
      <c r="AN59" s="47"/>
      <c r="AO59" s="41"/>
      <c r="AP59" s="41"/>
      <c r="AQ59" s="41"/>
      <c r="AR59" s="41"/>
      <c r="AS59" s="41"/>
      <c r="AT59" s="46"/>
      <c r="AU59" s="46"/>
      <c r="AV59" s="46"/>
      <c r="AW59" s="46"/>
      <c r="AX59" s="46"/>
    </row>
    <row r="60" spans="1:50" ht="12.75" customHeight="1" x14ac:dyDescent="0.2">
      <c r="A60" s="44" t="s">
        <v>185</v>
      </c>
      <c r="B60" s="39">
        <f t="shared" si="9"/>
        <v>0</v>
      </c>
      <c r="C60" s="20"/>
      <c r="D60" s="20"/>
      <c r="E60" s="20"/>
      <c r="F60" s="20"/>
      <c r="G60" s="20"/>
      <c r="H60" s="20"/>
      <c r="I60" s="20"/>
      <c r="J60" s="20"/>
      <c r="K60" s="20"/>
      <c r="L60" s="20"/>
      <c r="M60" s="20"/>
      <c r="O60" s="20"/>
      <c r="P60" s="20"/>
      <c r="Q60" s="20"/>
      <c r="R60" s="20"/>
      <c r="T60" s="20"/>
      <c r="U60" s="20"/>
      <c r="V60" s="20"/>
      <c r="W60" s="20"/>
      <c r="X60" s="20"/>
      <c r="Y60" s="20"/>
      <c r="Z60" s="20"/>
      <c r="AA60" s="20"/>
      <c r="AB60" s="20"/>
      <c r="AC60" s="20"/>
      <c r="AD60" s="20"/>
      <c r="AE60" s="20"/>
      <c r="AF60" s="20"/>
      <c r="AG60" s="40"/>
      <c r="AH60" s="1"/>
      <c r="AI60" s="46"/>
      <c r="AJ60" s="1"/>
      <c r="AK60" s="1"/>
      <c r="AL60" s="41"/>
      <c r="AM60" s="48"/>
      <c r="AN60" s="47"/>
      <c r="AO60" s="41"/>
      <c r="AP60" s="41"/>
      <c r="AQ60" s="41"/>
      <c r="AR60" s="41"/>
      <c r="AS60" s="41"/>
      <c r="AT60" s="46"/>
      <c r="AU60" s="46"/>
      <c r="AV60" s="46"/>
      <c r="AW60" s="46"/>
      <c r="AX60" s="46"/>
    </row>
    <row r="61" spans="1:50" ht="12.75" customHeight="1" x14ac:dyDescent="0.2">
      <c r="A61" s="44" t="s">
        <v>186</v>
      </c>
      <c r="B61" s="39">
        <f t="shared" si="9"/>
        <v>0</v>
      </c>
      <c r="C61" s="20"/>
      <c r="D61" s="20"/>
      <c r="E61" s="20"/>
      <c r="F61" s="20"/>
      <c r="G61" s="20"/>
      <c r="H61" s="20"/>
      <c r="I61" s="20"/>
      <c r="J61" s="20"/>
      <c r="K61" s="20"/>
      <c r="L61" s="20"/>
      <c r="M61" s="20"/>
      <c r="N61" s="20"/>
      <c r="O61" s="20"/>
      <c r="P61" s="20"/>
      <c r="Q61" s="20"/>
      <c r="R61" s="20"/>
      <c r="T61" s="20"/>
      <c r="U61" s="20"/>
      <c r="V61" s="20"/>
      <c r="W61" s="20"/>
      <c r="X61" s="20"/>
      <c r="Y61" s="20"/>
      <c r="Z61" s="20"/>
      <c r="AA61" s="20"/>
      <c r="AB61" s="20"/>
      <c r="AC61" s="20"/>
      <c r="AD61" s="20"/>
      <c r="AE61" s="20"/>
      <c r="AF61" s="20"/>
      <c r="AG61" s="40"/>
      <c r="AH61" s="1"/>
      <c r="AJ61" s="1"/>
      <c r="AK61" s="1"/>
      <c r="AL61" s="41"/>
      <c r="AM61" s="42"/>
      <c r="AN61" s="43"/>
      <c r="AO61" s="1"/>
      <c r="AP61" s="1"/>
      <c r="AQ61" s="1"/>
      <c r="AR61" s="1"/>
      <c r="AS61" s="1"/>
    </row>
    <row r="62" spans="1:50" ht="12.75" customHeight="1" x14ac:dyDescent="0.2">
      <c r="A62" s="44" t="s">
        <v>187</v>
      </c>
      <c r="B62" s="39">
        <f t="shared" si="9"/>
        <v>-3</v>
      </c>
      <c r="C62" s="20">
        <f>1+1</f>
        <v>2</v>
      </c>
      <c r="D62" s="20">
        <f>-1-1</f>
        <v>-2</v>
      </c>
      <c r="E62" s="20"/>
      <c r="F62" s="20"/>
      <c r="G62" s="20"/>
      <c r="H62" s="20"/>
      <c r="I62" s="20">
        <f>1</f>
        <v>1</v>
      </c>
      <c r="J62" s="42">
        <v>-1</v>
      </c>
      <c r="K62" s="20"/>
      <c r="L62" s="20">
        <v>-1</v>
      </c>
      <c r="M62" s="20"/>
      <c r="N62" s="20"/>
      <c r="O62" s="20"/>
      <c r="P62" s="20">
        <v>1</v>
      </c>
      <c r="Q62" s="20"/>
      <c r="R62" s="20">
        <f>-1</f>
        <v>-1</v>
      </c>
      <c r="S62" s="13">
        <v>-2</v>
      </c>
      <c r="T62" s="20"/>
      <c r="U62" s="20"/>
      <c r="V62" s="20"/>
      <c r="W62" s="20"/>
      <c r="X62" s="20"/>
      <c r="Y62" s="20"/>
      <c r="Z62" s="20"/>
      <c r="AA62" s="20"/>
      <c r="AB62" s="20"/>
      <c r="AC62" s="20"/>
      <c r="AD62" s="20"/>
      <c r="AE62" s="20"/>
      <c r="AF62" s="20"/>
      <c r="AG62" s="40"/>
      <c r="AH62" s="1"/>
      <c r="AJ62" s="1"/>
      <c r="AK62" s="1"/>
      <c r="AL62" s="41"/>
      <c r="AM62" s="42"/>
      <c r="AN62" s="43"/>
      <c r="AO62" s="43"/>
      <c r="AP62" s="1"/>
      <c r="AQ62" s="1"/>
      <c r="AR62" s="1"/>
      <c r="AS62" s="1"/>
    </row>
    <row r="63" spans="1:50" ht="12.75" hidden="1" customHeight="1" x14ac:dyDescent="0.2">
      <c r="A63" s="44" t="s">
        <v>140</v>
      </c>
      <c r="B63" s="39">
        <f>SUM(C63:AG63)</f>
        <v>0</v>
      </c>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1"/>
      <c r="AI63" s="46"/>
      <c r="AJ63" s="1"/>
      <c r="AK63" s="1"/>
      <c r="AL63" s="41"/>
      <c r="AM63" s="42"/>
      <c r="AN63" s="43"/>
      <c r="AO63" s="1"/>
      <c r="AP63" s="1"/>
      <c r="AQ63" s="1"/>
      <c r="AR63" s="1"/>
      <c r="AS63" s="1"/>
    </row>
    <row r="64" spans="1:50" ht="12.75" hidden="1" customHeight="1" x14ac:dyDescent="0.2">
      <c r="A64" s="44" t="s">
        <v>188</v>
      </c>
      <c r="B64" s="39">
        <f t="shared" ref="B64:B70" si="10">SUM(C64:AG64)</f>
        <v>0</v>
      </c>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40"/>
      <c r="AH64" s="1"/>
      <c r="AI64" s="46"/>
      <c r="AJ64" s="1"/>
      <c r="AK64" s="1"/>
      <c r="AL64" s="48"/>
      <c r="AM64" s="42"/>
      <c r="AN64" s="1"/>
      <c r="AO64" s="1"/>
      <c r="AP64" s="1"/>
      <c r="AQ64" s="1"/>
      <c r="AR64" s="1"/>
      <c r="AS64" s="1"/>
    </row>
    <row r="65" spans="1:45" ht="12.75" hidden="1" customHeight="1" x14ac:dyDescent="0.2">
      <c r="A65" s="22" t="s">
        <v>189</v>
      </c>
      <c r="B65" s="39">
        <f t="shared" si="10"/>
        <v>0</v>
      </c>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40"/>
      <c r="AH65" s="1"/>
      <c r="AJ65" s="1"/>
      <c r="AK65" s="1"/>
      <c r="AL65" s="41"/>
      <c r="AM65" s="42"/>
      <c r="AN65" s="1"/>
      <c r="AO65" s="1"/>
      <c r="AP65" s="1"/>
      <c r="AQ65" s="1"/>
      <c r="AR65" s="1"/>
      <c r="AS65" s="1"/>
    </row>
    <row r="66" spans="1:45" ht="12.75" hidden="1" customHeight="1" x14ac:dyDescent="0.2">
      <c r="A66" s="22" t="s">
        <v>190</v>
      </c>
      <c r="B66" s="39">
        <f t="shared" si="10"/>
        <v>0</v>
      </c>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40"/>
      <c r="AH66" s="1"/>
      <c r="AI66" s="46"/>
      <c r="AJ66" s="1"/>
      <c r="AK66" s="1"/>
      <c r="AL66" s="41"/>
      <c r="AM66" s="42"/>
      <c r="AN66" s="1"/>
      <c r="AO66" s="1"/>
      <c r="AP66" s="1"/>
      <c r="AQ66" s="1"/>
      <c r="AR66" s="1"/>
      <c r="AS66" s="1"/>
    </row>
    <row r="67" spans="1:45" ht="12.75" hidden="1" customHeight="1" x14ac:dyDescent="0.2">
      <c r="A67" s="22" t="s">
        <v>191</v>
      </c>
      <c r="B67" s="39">
        <f t="shared" si="10"/>
        <v>0</v>
      </c>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40"/>
      <c r="AH67" s="1"/>
      <c r="AI67" s="46"/>
      <c r="AJ67" s="1"/>
      <c r="AK67" s="1"/>
      <c r="AL67" s="41"/>
      <c r="AM67" s="42"/>
      <c r="AN67" s="1"/>
      <c r="AO67" s="1"/>
      <c r="AP67" s="1"/>
      <c r="AQ67" s="1"/>
      <c r="AR67" s="1"/>
      <c r="AS67" s="1"/>
    </row>
    <row r="68" spans="1:45" ht="12.75" hidden="1" customHeight="1" x14ac:dyDescent="0.2">
      <c r="A68" s="22" t="s">
        <v>192</v>
      </c>
      <c r="B68" s="39">
        <f t="shared" si="10"/>
        <v>0</v>
      </c>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40"/>
      <c r="AH68" s="1"/>
      <c r="AJ68" s="1"/>
      <c r="AK68" s="1"/>
      <c r="AL68" s="41"/>
      <c r="AM68" s="42"/>
      <c r="AN68" s="1"/>
      <c r="AO68" s="1"/>
      <c r="AP68" s="1"/>
      <c r="AQ68" s="1"/>
      <c r="AR68" s="1"/>
      <c r="AS68" s="1"/>
    </row>
    <row r="69" spans="1:45" ht="12.75" hidden="1" customHeight="1" x14ac:dyDescent="0.2">
      <c r="A69" s="44" t="s">
        <v>193</v>
      </c>
      <c r="B69" s="39">
        <f t="shared" si="10"/>
        <v>0</v>
      </c>
      <c r="C69" s="20"/>
      <c r="D69" s="20"/>
      <c r="E69" s="20"/>
      <c r="F69" s="20"/>
      <c r="G69" s="20"/>
      <c r="H69" s="20"/>
      <c r="I69" s="20"/>
      <c r="J69" s="20"/>
      <c r="K69" s="20"/>
      <c r="L69" s="20"/>
      <c r="M69" s="20"/>
      <c r="N69" s="20"/>
      <c r="O69" s="42"/>
      <c r="P69" s="20"/>
      <c r="Q69" s="20"/>
      <c r="R69" s="20"/>
      <c r="S69" s="20"/>
      <c r="T69" s="20"/>
      <c r="U69" s="20"/>
      <c r="V69" s="20"/>
      <c r="W69" s="20"/>
      <c r="X69" s="20"/>
      <c r="Y69" s="20"/>
      <c r="Z69" s="20"/>
      <c r="AA69" s="20"/>
      <c r="AB69" s="20"/>
      <c r="AC69" s="20"/>
      <c r="AD69" s="20"/>
      <c r="AE69" s="20"/>
      <c r="AF69" s="20"/>
      <c r="AG69" s="40"/>
      <c r="AH69" s="1"/>
      <c r="AI69" s="46"/>
      <c r="AJ69" s="1"/>
      <c r="AK69" s="1"/>
      <c r="AL69" s="41"/>
      <c r="AM69" s="42"/>
      <c r="AN69" s="1"/>
      <c r="AO69" s="1"/>
      <c r="AP69" s="1"/>
      <c r="AQ69" s="1"/>
      <c r="AR69" s="1"/>
      <c r="AS69" s="1"/>
    </row>
    <row r="70" spans="1:45" ht="12.75" hidden="1" customHeight="1" x14ac:dyDescent="0.2">
      <c r="A70" s="22" t="s">
        <v>194</v>
      </c>
      <c r="B70" s="39">
        <f t="shared" si="10"/>
        <v>0</v>
      </c>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40"/>
      <c r="AH70" s="1"/>
      <c r="AJ70" s="1"/>
      <c r="AK70" s="1"/>
      <c r="AL70" s="41"/>
      <c r="AM70" s="42"/>
      <c r="AN70" s="1"/>
      <c r="AO70" s="1"/>
      <c r="AP70" s="1"/>
      <c r="AQ70" s="1"/>
      <c r="AR70" s="1"/>
      <c r="AS70" s="1"/>
    </row>
    <row r="71" spans="1:45" ht="12.75" hidden="1" customHeight="1" x14ac:dyDescent="0.2">
      <c r="A71" s="22" t="s">
        <v>195</v>
      </c>
      <c r="B71" s="39" t="s">
        <v>196</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20"/>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
      <c r="A73" s="22"/>
      <c r="B73" s="39"/>
      <c r="C73" s="42"/>
      <c r="D73" s="42"/>
      <c r="E73" s="42"/>
      <c r="F73" s="42"/>
      <c r="G73" s="42"/>
      <c r="H73" s="42"/>
      <c r="I73" s="42"/>
      <c r="J73" s="42"/>
      <c r="K73" s="42"/>
      <c r="L73" s="42"/>
      <c r="M73" s="42"/>
      <c r="N73" s="42"/>
      <c r="O73" s="20"/>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20"/>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197</v>
      </c>
      <c r="B76" s="52">
        <f>SUM(B47:B75)-B61-B67-B68-B69</f>
        <v>27398</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AH78" s="24"/>
      <c r="AJ78" s="24"/>
      <c r="AK78" s="20"/>
      <c r="AL78" s="41"/>
      <c r="AM78" s="42"/>
    </row>
    <row r="79" spans="1:45" ht="12.75" customHeight="1" x14ac:dyDescent="0.25">
      <c r="A79" s="56" t="s">
        <v>273</v>
      </c>
      <c r="B79" s="57"/>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t="s">
        <v>161</v>
      </c>
      <c r="C81" s="32">
        <f t="shared" ref="C81:R81" si="11">SUM(C85:C101)</f>
        <v>0</v>
      </c>
      <c r="D81" s="32">
        <f t="shared" si="11"/>
        <v>0</v>
      </c>
      <c r="E81" s="32">
        <f t="shared" si="11"/>
        <v>0</v>
      </c>
      <c r="F81" s="32">
        <f t="shared" si="11"/>
        <v>0</v>
      </c>
      <c r="G81" s="32">
        <f t="shared" si="11"/>
        <v>0</v>
      </c>
      <c r="H81" s="32">
        <f t="shared" si="11"/>
        <v>0</v>
      </c>
      <c r="I81" s="32">
        <f t="shared" si="11"/>
        <v>0</v>
      </c>
      <c r="J81" s="32">
        <f t="shared" si="11"/>
        <v>0</v>
      </c>
      <c r="K81" s="32">
        <f t="shared" si="11"/>
        <v>0</v>
      </c>
      <c r="L81" s="32">
        <f t="shared" si="11"/>
        <v>0</v>
      </c>
      <c r="M81" s="32">
        <f t="shared" si="11"/>
        <v>0</v>
      </c>
      <c r="N81" s="32">
        <f t="shared" si="11"/>
        <v>0</v>
      </c>
      <c r="O81" s="32">
        <f t="shared" si="11"/>
        <v>0</v>
      </c>
      <c r="P81" s="32">
        <f t="shared" si="11"/>
        <v>0</v>
      </c>
      <c r="Q81" s="32">
        <f t="shared" si="11"/>
        <v>0</v>
      </c>
      <c r="R81" s="32">
        <f t="shared" si="11"/>
        <v>0</v>
      </c>
      <c r="S81" s="32">
        <f t="shared" ref="S81:AG81" si="12">SUM(S85:S101)</f>
        <v>0</v>
      </c>
      <c r="T81" s="32">
        <f t="shared" si="12"/>
        <v>0</v>
      </c>
      <c r="U81" s="32">
        <f t="shared" si="12"/>
        <v>0</v>
      </c>
      <c r="V81" s="32">
        <f t="shared" si="12"/>
        <v>0</v>
      </c>
      <c r="W81" s="32">
        <f t="shared" si="12"/>
        <v>0</v>
      </c>
      <c r="X81" s="32">
        <f t="shared" si="12"/>
        <v>0</v>
      </c>
      <c r="Y81" s="32">
        <f t="shared" si="12"/>
        <v>0</v>
      </c>
      <c r="Z81" s="32">
        <f t="shared" si="12"/>
        <v>0</v>
      </c>
      <c r="AA81" s="32">
        <f t="shared" si="12"/>
        <v>0</v>
      </c>
      <c r="AB81" s="32">
        <f t="shared" si="12"/>
        <v>0</v>
      </c>
      <c r="AC81" s="32">
        <f t="shared" si="12"/>
        <v>0</v>
      </c>
      <c r="AD81" s="32">
        <f t="shared" si="12"/>
        <v>0</v>
      </c>
      <c r="AE81" s="32">
        <f t="shared" si="12"/>
        <v>0</v>
      </c>
      <c r="AF81" s="32">
        <f t="shared" si="12"/>
        <v>0</v>
      </c>
      <c r="AG81" s="32">
        <f t="shared" si="12"/>
        <v>0</v>
      </c>
      <c r="AH81" s="1"/>
      <c r="AI81" s="117"/>
      <c r="AJ81" s="118"/>
      <c r="AK81" s="1"/>
      <c r="AL81" s="33"/>
      <c r="AN81" s="1"/>
      <c r="AO81" s="1"/>
      <c r="AP81" s="1"/>
      <c r="AQ81" s="1"/>
      <c r="AR81" s="1"/>
      <c r="AS81" s="1"/>
    </row>
    <row r="82" spans="1:45" s="99" customFormat="1" ht="12.75" customHeight="1" x14ac:dyDescent="0.25">
      <c r="A82" s="216" t="s">
        <v>199</v>
      </c>
      <c r="B82" s="116">
        <f t="shared" ref="B82:AG82" si="13">B44</f>
        <v>36831</v>
      </c>
      <c r="C82" s="104">
        <f t="shared" si="13"/>
        <v>36831</v>
      </c>
      <c r="D82" s="104">
        <f t="shared" si="13"/>
        <v>36832</v>
      </c>
      <c r="E82" s="104">
        <f t="shared" si="13"/>
        <v>36833</v>
      </c>
      <c r="F82" s="104">
        <f t="shared" si="13"/>
        <v>36834</v>
      </c>
      <c r="G82" s="104">
        <f t="shared" si="13"/>
        <v>36835</v>
      </c>
      <c r="H82" s="104">
        <f t="shared" si="13"/>
        <v>36836</v>
      </c>
      <c r="I82" s="104">
        <f t="shared" si="13"/>
        <v>36837</v>
      </c>
      <c r="J82" s="104">
        <f t="shared" si="13"/>
        <v>36838</v>
      </c>
      <c r="K82" s="104">
        <f t="shared" si="13"/>
        <v>36839</v>
      </c>
      <c r="L82" s="104">
        <f t="shared" si="13"/>
        <v>36840</v>
      </c>
      <c r="M82" s="104">
        <f t="shared" si="13"/>
        <v>36841</v>
      </c>
      <c r="N82" s="104">
        <f t="shared" si="13"/>
        <v>36842</v>
      </c>
      <c r="O82" s="104">
        <f t="shared" si="13"/>
        <v>36843</v>
      </c>
      <c r="P82" s="104">
        <f t="shared" si="13"/>
        <v>36844</v>
      </c>
      <c r="Q82" s="104">
        <f t="shared" si="13"/>
        <v>36845</v>
      </c>
      <c r="R82" s="104">
        <f t="shared" si="13"/>
        <v>36846</v>
      </c>
      <c r="S82" s="104">
        <f t="shared" si="13"/>
        <v>36847</v>
      </c>
      <c r="T82" s="104">
        <f t="shared" si="13"/>
        <v>36848</v>
      </c>
      <c r="U82" s="104">
        <f t="shared" si="13"/>
        <v>36849</v>
      </c>
      <c r="V82" s="104">
        <f t="shared" si="13"/>
        <v>36850</v>
      </c>
      <c r="W82" s="104">
        <f t="shared" si="13"/>
        <v>36851</v>
      </c>
      <c r="X82" s="104">
        <f t="shared" si="13"/>
        <v>36852</v>
      </c>
      <c r="Y82" s="104">
        <f t="shared" si="13"/>
        <v>36853</v>
      </c>
      <c r="Z82" s="104">
        <f t="shared" si="13"/>
        <v>36854</v>
      </c>
      <c r="AA82" s="104">
        <f t="shared" si="13"/>
        <v>36855</v>
      </c>
      <c r="AB82" s="104">
        <f t="shared" si="13"/>
        <v>36856</v>
      </c>
      <c r="AC82" s="104">
        <f t="shared" si="13"/>
        <v>36857</v>
      </c>
      <c r="AD82" s="104">
        <f t="shared" si="13"/>
        <v>36858</v>
      </c>
      <c r="AE82" s="104">
        <f t="shared" si="13"/>
        <v>36859</v>
      </c>
      <c r="AF82" s="104">
        <f t="shared" si="13"/>
        <v>36860</v>
      </c>
      <c r="AG82" s="104">
        <f t="shared" si="13"/>
        <v>36861</v>
      </c>
      <c r="AI82" s="117"/>
      <c r="AJ82" s="119"/>
      <c r="AL82" s="100"/>
    </row>
    <row r="83" spans="1:45" ht="12.75" customHeight="1" x14ac:dyDescent="0.25">
      <c r="A83" s="34"/>
      <c r="B83" s="34"/>
      <c r="C83" s="105" t="str">
        <f t="shared" ref="C83:AG83" si="14">C45</f>
        <v>W</v>
      </c>
      <c r="D83" s="105" t="str">
        <f t="shared" si="14"/>
        <v>R</v>
      </c>
      <c r="E83" s="105" t="str">
        <f t="shared" si="14"/>
        <v>F</v>
      </c>
      <c r="F83" s="105" t="str">
        <f t="shared" si="14"/>
        <v>S</v>
      </c>
      <c r="G83" s="105" t="str">
        <f t="shared" si="14"/>
        <v>S</v>
      </c>
      <c r="H83" s="105" t="str">
        <f t="shared" si="14"/>
        <v>M</v>
      </c>
      <c r="I83" s="105" t="str">
        <f t="shared" si="14"/>
        <v>T</v>
      </c>
      <c r="J83" s="105" t="str">
        <f t="shared" si="14"/>
        <v>W</v>
      </c>
      <c r="K83" s="105" t="str">
        <f t="shared" si="14"/>
        <v>R</v>
      </c>
      <c r="L83" s="105" t="str">
        <f t="shared" si="14"/>
        <v>F</v>
      </c>
      <c r="M83" s="105" t="str">
        <f t="shared" si="14"/>
        <v>S</v>
      </c>
      <c r="N83" s="105" t="str">
        <f t="shared" si="14"/>
        <v>S</v>
      </c>
      <c r="O83" s="105" t="str">
        <f t="shared" si="14"/>
        <v>M</v>
      </c>
      <c r="P83" s="105" t="str">
        <f t="shared" si="14"/>
        <v>T</v>
      </c>
      <c r="Q83" s="105" t="str">
        <f t="shared" si="14"/>
        <v>W</v>
      </c>
      <c r="R83" s="105" t="str">
        <f t="shared" si="14"/>
        <v>R</v>
      </c>
      <c r="S83" s="105" t="str">
        <f t="shared" si="14"/>
        <v>F</v>
      </c>
      <c r="T83" s="105" t="str">
        <f t="shared" si="14"/>
        <v>S</v>
      </c>
      <c r="U83" s="105" t="str">
        <f t="shared" si="14"/>
        <v>S</v>
      </c>
      <c r="V83" s="105" t="str">
        <f t="shared" si="14"/>
        <v>M</v>
      </c>
      <c r="W83" s="105" t="str">
        <f t="shared" si="14"/>
        <v>T</v>
      </c>
      <c r="X83" s="105" t="str">
        <f t="shared" si="14"/>
        <v>W</v>
      </c>
      <c r="Y83" s="105" t="str">
        <f t="shared" si="14"/>
        <v>R</v>
      </c>
      <c r="Z83" s="105" t="str">
        <f t="shared" si="14"/>
        <v>F</v>
      </c>
      <c r="AA83" s="105" t="str">
        <f t="shared" si="14"/>
        <v>S</v>
      </c>
      <c r="AB83" s="105" t="str">
        <f t="shared" si="14"/>
        <v>S</v>
      </c>
      <c r="AC83" s="105" t="str">
        <f t="shared" si="14"/>
        <v>M</v>
      </c>
      <c r="AD83" s="105" t="str">
        <f t="shared" si="14"/>
        <v>T</v>
      </c>
      <c r="AE83" s="105" t="str">
        <f t="shared" si="14"/>
        <v>W</v>
      </c>
      <c r="AF83" s="105" t="str">
        <f t="shared" si="14"/>
        <v>R</v>
      </c>
      <c r="AG83" s="105" t="str">
        <f t="shared" si="14"/>
        <v>F</v>
      </c>
      <c r="AH83" s="1"/>
      <c r="AI83" s="117"/>
      <c r="AJ83" s="118"/>
      <c r="AK83" s="1"/>
      <c r="AL83" s="24"/>
      <c r="AN83" s="1"/>
      <c r="AO83" s="1"/>
      <c r="AP83" s="1"/>
      <c r="AQ83" s="1"/>
      <c r="AR83" s="1"/>
      <c r="AS83" s="1"/>
    </row>
    <row r="84" spans="1:45" ht="12.75" customHeight="1" thickBot="1" x14ac:dyDescent="0.3">
      <c r="A84" s="217"/>
      <c r="B84" s="35" t="s">
        <v>167</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200</v>
      </c>
      <c r="B85" s="39">
        <f t="shared" ref="B85:B97" si="15">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201</v>
      </c>
      <c r="B86" s="39">
        <f t="shared" si="15"/>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202</v>
      </c>
      <c r="B87" s="39">
        <f t="shared" si="15"/>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203</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204</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205</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206</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207</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208</v>
      </c>
      <c r="B93" s="39">
        <f t="shared" si="15"/>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209</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210</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211</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212</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19" t="s">
        <v>213</v>
      </c>
      <c r="B102" s="51">
        <f>SUM(B87:B101)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161</v>
      </c>
      <c r="C104" s="32">
        <f t="shared" ref="C104:R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ref="S104:AG104" si="17">SUM(S108:S117)</f>
        <v>0</v>
      </c>
      <c r="T104" s="32">
        <f t="shared" si="17"/>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25">
      <c r="A105" s="216" t="s">
        <v>214</v>
      </c>
      <c r="B105" s="116">
        <f t="shared" ref="B105:AG105" si="18">B44</f>
        <v>36831</v>
      </c>
      <c r="C105" s="104">
        <f t="shared" si="18"/>
        <v>36831</v>
      </c>
      <c r="D105" s="104">
        <f t="shared" si="18"/>
        <v>36832</v>
      </c>
      <c r="E105" s="104">
        <f t="shared" si="18"/>
        <v>36833</v>
      </c>
      <c r="F105" s="104">
        <f t="shared" si="18"/>
        <v>36834</v>
      </c>
      <c r="G105" s="104">
        <f t="shared" si="18"/>
        <v>36835</v>
      </c>
      <c r="H105" s="104">
        <f t="shared" si="18"/>
        <v>36836</v>
      </c>
      <c r="I105" s="104">
        <f t="shared" si="18"/>
        <v>36837</v>
      </c>
      <c r="J105" s="104">
        <f t="shared" si="18"/>
        <v>36838</v>
      </c>
      <c r="K105" s="104">
        <f t="shared" si="18"/>
        <v>36839</v>
      </c>
      <c r="L105" s="104">
        <f t="shared" si="18"/>
        <v>36840</v>
      </c>
      <c r="M105" s="104">
        <f t="shared" si="18"/>
        <v>36841</v>
      </c>
      <c r="N105" s="104">
        <f t="shared" si="18"/>
        <v>36842</v>
      </c>
      <c r="O105" s="104">
        <f t="shared" si="18"/>
        <v>36843</v>
      </c>
      <c r="P105" s="104">
        <f t="shared" si="18"/>
        <v>36844</v>
      </c>
      <c r="Q105" s="104">
        <f t="shared" si="18"/>
        <v>36845</v>
      </c>
      <c r="R105" s="104">
        <f t="shared" si="18"/>
        <v>36846</v>
      </c>
      <c r="S105" s="104">
        <f t="shared" si="18"/>
        <v>36847</v>
      </c>
      <c r="T105" s="104">
        <f t="shared" si="18"/>
        <v>36848</v>
      </c>
      <c r="U105" s="104">
        <f t="shared" si="18"/>
        <v>36849</v>
      </c>
      <c r="V105" s="104">
        <f t="shared" si="18"/>
        <v>36850</v>
      </c>
      <c r="W105" s="104">
        <f t="shared" si="18"/>
        <v>36851</v>
      </c>
      <c r="X105" s="104">
        <f t="shared" si="18"/>
        <v>36852</v>
      </c>
      <c r="Y105" s="104">
        <f t="shared" si="18"/>
        <v>36853</v>
      </c>
      <c r="Z105" s="104">
        <f t="shared" si="18"/>
        <v>36854</v>
      </c>
      <c r="AA105" s="104">
        <f t="shared" si="18"/>
        <v>36855</v>
      </c>
      <c r="AB105" s="104">
        <f t="shared" si="18"/>
        <v>36856</v>
      </c>
      <c r="AC105" s="104">
        <f t="shared" si="18"/>
        <v>36857</v>
      </c>
      <c r="AD105" s="104">
        <f t="shared" si="18"/>
        <v>36858</v>
      </c>
      <c r="AE105" s="104">
        <f t="shared" si="18"/>
        <v>36859</v>
      </c>
      <c r="AF105" s="104">
        <f t="shared" si="18"/>
        <v>36860</v>
      </c>
      <c r="AG105" s="104">
        <f t="shared" si="18"/>
        <v>36861</v>
      </c>
      <c r="AI105" s="117"/>
      <c r="AJ105" s="119"/>
      <c r="AL105" s="100"/>
    </row>
    <row r="106" spans="1:45" ht="12.75" customHeight="1" x14ac:dyDescent="0.25">
      <c r="A106" s="34"/>
      <c r="B106" s="34"/>
      <c r="C106" s="105" t="str">
        <f t="shared" ref="C106:AG106" si="19">C45</f>
        <v>W</v>
      </c>
      <c r="D106" s="105" t="str">
        <f t="shared" si="19"/>
        <v>R</v>
      </c>
      <c r="E106" s="105" t="str">
        <f t="shared" si="19"/>
        <v>F</v>
      </c>
      <c r="F106" s="105" t="str">
        <f t="shared" si="19"/>
        <v>S</v>
      </c>
      <c r="G106" s="105" t="str">
        <f t="shared" si="19"/>
        <v>S</v>
      </c>
      <c r="H106" s="105" t="str">
        <f t="shared" si="19"/>
        <v>M</v>
      </c>
      <c r="I106" s="105" t="str">
        <f t="shared" si="19"/>
        <v>T</v>
      </c>
      <c r="J106" s="105" t="str">
        <f t="shared" si="19"/>
        <v>W</v>
      </c>
      <c r="K106" s="105" t="str">
        <f t="shared" si="19"/>
        <v>R</v>
      </c>
      <c r="L106" s="105" t="str">
        <f t="shared" si="19"/>
        <v>F</v>
      </c>
      <c r="M106" s="105" t="str">
        <f t="shared" si="19"/>
        <v>S</v>
      </c>
      <c r="N106" s="105" t="str">
        <f t="shared" si="19"/>
        <v>S</v>
      </c>
      <c r="O106" s="105" t="str">
        <f t="shared" si="19"/>
        <v>M</v>
      </c>
      <c r="P106" s="105" t="str">
        <f t="shared" si="19"/>
        <v>T</v>
      </c>
      <c r="Q106" s="105" t="str">
        <f t="shared" si="19"/>
        <v>W</v>
      </c>
      <c r="R106" s="105" t="str">
        <f t="shared" si="19"/>
        <v>R</v>
      </c>
      <c r="S106" s="105" t="str">
        <f t="shared" si="19"/>
        <v>F</v>
      </c>
      <c r="T106" s="105" t="str">
        <f t="shared" si="19"/>
        <v>S</v>
      </c>
      <c r="U106" s="105" t="str">
        <f t="shared" si="19"/>
        <v>S</v>
      </c>
      <c r="V106" s="105" t="str">
        <f t="shared" si="19"/>
        <v>M</v>
      </c>
      <c r="W106" s="105" t="str">
        <f t="shared" si="19"/>
        <v>T</v>
      </c>
      <c r="X106" s="105" t="str">
        <f t="shared" si="19"/>
        <v>W</v>
      </c>
      <c r="Y106" s="105" t="str">
        <f t="shared" si="19"/>
        <v>R</v>
      </c>
      <c r="Z106" s="105" t="str">
        <f t="shared" si="19"/>
        <v>F</v>
      </c>
      <c r="AA106" s="105" t="str">
        <f t="shared" si="19"/>
        <v>S</v>
      </c>
      <c r="AB106" s="105" t="str">
        <f t="shared" si="19"/>
        <v>S</v>
      </c>
      <c r="AC106" s="105" t="str">
        <f t="shared" si="19"/>
        <v>M</v>
      </c>
      <c r="AD106" s="105" t="str">
        <f t="shared" si="19"/>
        <v>T</v>
      </c>
      <c r="AE106" s="105" t="str">
        <f t="shared" si="19"/>
        <v>W</v>
      </c>
      <c r="AF106" s="105" t="str">
        <f t="shared" si="19"/>
        <v>R</v>
      </c>
      <c r="AG106" s="105" t="str">
        <f t="shared" si="19"/>
        <v>F</v>
      </c>
      <c r="AH106" s="1"/>
      <c r="AI106" s="117"/>
      <c r="AJ106" s="118"/>
      <c r="AK106" s="1"/>
      <c r="AL106" s="24"/>
      <c r="AN106" s="1"/>
      <c r="AO106" s="1"/>
      <c r="AP106" s="1"/>
      <c r="AQ106" s="1"/>
      <c r="AR106" s="1"/>
      <c r="AS106" s="1"/>
    </row>
    <row r="107" spans="1:45" ht="12.75" customHeight="1" thickBot="1" x14ac:dyDescent="0.3">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205</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207</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208</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209</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210</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212</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216</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217</v>
      </c>
      <c r="B124" s="76"/>
      <c r="C124" s="77"/>
      <c r="D124" s="77"/>
      <c r="E124" s="78"/>
      <c r="G124" s="75" t="s">
        <v>218</v>
      </c>
      <c r="H124" s="75"/>
      <c r="I124" s="76"/>
      <c r="J124" s="77"/>
      <c r="K124" s="77"/>
      <c r="L124" s="78"/>
      <c r="M124" s="9"/>
      <c r="N124" s="9"/>
      <c r="O124" s="1"/>
      <c r="P124" s="1"/>
    </row>
    <row r="125" spans="1:39" ht="12.75" customHeight="1" thickTop="1" x14ac:dyDescent="0.2">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
      <c r="A126" s="152"/>
      <c r="B126" s="24"/>
      <c r="C126" s="24"/>
      <c r="D126" s="38"/>
      <c r="E126" s="141"/>
      <c r="G126" s="79"/>
      <c r="H126" s="80"/>
      <c r="I126" s="24"/>
      <c r="J126" s="1"/>
      <c r="K126" s="149"/>
      <c r="L126" s="141"/>
      <c r="M126" s="1"/>
      <c r="N126" s="1"/>
      <c r="O126" s="1"/>
      <c r="P126" s="1"/>
    </row>
    <row r="127" spans="1:39" ht="12.75" customHeight="1" x14ac:dyDescent="0.2">
      <c r="A127" s="153">
        <v>36281</v>
      </c>
      <c r="B127" s="24" t="s">
        <v>230</v>
      </c>
      <c r="C127" s="24"/>
      <c r="D127" s="38"/>
      <c r="E127" s="141">
        <f>-36+74</f>
        <v>38</v>
      </c>
      <c r="G127" s="81"/>
      <c r="H127" s="9"/>
      <c r="I127" s="82"/>
      <c r="J127" s="1"/>
      <c r="K127" s="149"/>
      <c r="L127" s="141"/>
      <c r="M127" s="1"/>
      <c r="N127" s="1"/>
      <c r="O127" s="1"/>
      <c r="P127" s="1"/>
    </row>
    <row r="128" spans="1:39" ht="12.75" customHeight="1" x14ac:dyDescent="0.2">
      <c r="A128" s="153">
        <v>36312</v>
      </c>
      <c r="B128" s="24" t="s">
        <v>231</v>
      </c>
      <c r="C128" s="24"/>
      <c r="D128" s="38"/>
      <c r="E128" s="141">
        <f>-9+54</f>
        <v>45</v>
      </c>
      <c r="G128" s="81"/>
      <c r="H128" s="24"/>
      <c r="I128" s="1"/>
      <c r="J128" s="1"/>
      <c r="K128" s="149"/>
      <c r="L128" s="141"/>
      <c r="M128" s="1"/>
      <c r="N128" s="1"/>
      <c r="O128" s="1"/>
      <c r="P128" s="1"/>
    </row>
    <row r="129" spans="1:16" ht="12.75" customHeight="1" x14ac:dyDescent="0.2">
      <c r="A129" s="153">
        <v>36342</v>
      </c>
      <c r="B129" s="24" t="s">
        <v>232</v>
      </c>
      <c r="C129" s="24"/>
      <c r="D129" s="38"/>
      <c r="E129" s="142">
        <f>-24+51</f>
        <v>27</v>
      </c>
      <c r="G129" s="81"/>
      <c r="H129" s="24"/>
      <c r="I129" s="1"/>
      <c r="J129" s="1"/>
      <c r="K129" s="38"/>
      <c r="L129" s="142"/>
      <c r="M129" s="1"/>
      <c r="N129" s="1"/>
      <c r="O129" s="1"/>
      <c r="P129" s="1"/>
    </row>
    <row r="130" spans="1:16" ht="12.75" customHeight="1" x14ac:dyDescent="0.2">
      <c r="A130" s="153">
        <v>36373</v>
      </c>
      <c r="B130" s="24" t="s">
        <v>233</v>
      </c>
      <c r="C130" s="24"/>
      <c r="D130" s="38"/>
      <c r="E130" s="141">
        <f>6+36</f>
        <v>42</v>
      </c>
      <c r="G130" s="81"/>
      <c r="H130" s="24"/>
      <c r="I130" s="1"/>
      <c r="J130" s="1"/>
      <c r="K130" s="38"/>
      <c r="L130" s="141"/>
      <c r="M130" s="1"/>
      <c r="N130" s="1"/>
      <c r="O130" s="1"/>
      <c r="P130" s="1"/>
    </row>
    <row r="131" spans="1:16" ht="12.75" customHeight="1" x14ac:dyDescent="0.2">
      <c r="A131" s="153">
        <v>36404</v>
      </c>
      <c r="B131" s="24" t="s">
        <v>234</v>
      </c>
      <c r="C131" s="24"/>
      <c r="D131" s="38"/>
      <c r="E131" s="141">
        <f>12+21</f>
        <v>33</v>
      </c>
      <c r="G131" s="81"/>
      <c r="H131" s="24"/>
      <c r="I131" s="1"/>
      <c r="J131" s="1"/>
      <c r="K131" s="38"/>
      <c r="L131" s="141"/>
      <c r="M131" s="1"/>
      <c r="N131" s="1"/>
      <c r="O131" s="1"/>
      <c r="P131" s="1"/>
    </row>
    <row r="132" spans="1:16" ht="12.75" customHeight="1" x14ac:dyDescent="0.2">
      <c r="A132" s="153">
        <v>36434</v>
      </c>
      <c r="B132" s="24" t="s">
        <v>235</v>
      </c>
      <c r="C132" s="82"/>
      <c r="D132" s="140"/>
      <c r="E132" s="142">
        <f>-32-75</f>
        <v>-107</v>
      </c>
      <c r="G132" s="81"/>
      <c r="H132" s="1"/>
      <c r="I132" s="1"/>
      <c r="J132" s="1"/>
      <c r="K132" s="149"/>
      <c r="L132" s="142"/>
      <c r="M132" s="1"/>
      <c r="N132" s="1"/>
      <c r="O132" s="1"/>
      <c r="P132" s="1"/>
    </row>
    <row r="133" spans="1:16" ht="12.75" customHeight="1" x14ac:dyDescent="0.2">
      <c r="A133" s="153">
        <v>36465</v>
      </c>
      <c r="B133" s="24" t="s">
        <v>236</v>
      </c>
      <c r="C133" s="82"/>
      <c r="D133" s="140"/>
      <c r="E133" s="142">
        <v>-329</v>
      </c>
      <c r="G133" s="81"/>
      <c r="H133" s="24"/>
      <c r="I133" s="1"/>
      <c r="J133" s="1"/>
      <c r="K133" s="38"/>
      <c r="L133" s="142"/>
      <c r="M133" s="1"/>
      <c r="N133" s="1"/>
      <c r="O133" s="1"/>
      <c r="P133" s="1"/>
    </row>
    <row r="134" spans="1:16" ht="12.75" customHeight="1" x14ac:dyDescent="0.2">
      <c r="A134" s="153">
        <v>36495</v>
      </c>
      <c r="B134" s="24" t="s">
        <v>237</v>
      </c>
      <c r="C134" s="82"/>
      <c r="D134" s="140"/>
      <c r="E134" s="141">
        <v>-937</v>
      </c>
      <c r="G134" s="81"/>
      <c r="H134" s="24"/>
      <c r="I134" s="1"/>
      <c r="J134" s="1"/>
      <c r="K134" s="38"/>
      <c r="L134" s="141"/>
      <c r="M134" s="43"/>
      <c r="N134" s="42"/>
      <c r="O134" s="1"/>
      <c r="P134" s="1"/>
    </row>
    <row r="135" spans="1:16" ht="12.75" customHeight="1" x14ac:dyDescent="0.2">
      <c r="A135" s="153">
        <v>36526</v>
      </c>
      <c r="B135" s="24" t="s">
        <v>238</v>
      </c>
      <c r="C135" s="24"/>
      <c r="D135" s="38"/>
      <c r="E135" s="141">
        <v>-1288</v>
      </c>
      <c r="G135" s="81"/>
      <c r="H135" s="24"/>
      <c r="I135" s="1"/>
      <c r="J135" s="1"/>
      <c r="K135" s="38"/>
      <c r="L135" s="141"/>
      <c r="M135" s="43"/>
      <c r="N135" s="1"/>
      <c r="O135" s="1"/>
      <c r="P135" s="1"/>
    </row>
    <row r="136" spans="1:16" ht="12.75" customHeight="1" x14ac:dyDescent="0.2">
      <c r="A136" s="153">
        <v>36557</v>
      </c>
      <c r="B136" s="24" t="s">
        <v>239</v>
      </c>
      <c r="C136" s="24"/>
      <c r="D136" s="38"/>
      <c r="E136" s="141">
        <v>-1132</v>
      </c>
      <c r="G136" s="81"/>
      <c r="H136" s="24"/>
      <c r="I136" s="1"/>
      <c r="J136" s="1"/>
      <c r="K136" s="38"/>
      <c r="L136" s="141"/>
      <c r="M136" s="1"/>
      <c r="N136" s="43"/>
      <c r="O136" s="1"/>
      <c r="P136" s="1"/>
    </row>
    <row r="137" spans="1:16" ht="12.75" customHeight="1" x14ac:dyDescent="0.2">
      <c r="A137" s="153">
        <v>36586</v>
      </c>
      <c r="B137" s="24" t="s">
        <v>240</v>
      </c>
      <c r="C137" s="24"/>
      <c r="D137" s="38"/>
      <c r="E137" s="141">
        <v>-2056</v>
      </c>
      <c r="G137" s="81"/>
      <c r="H137" s="24"/>
      <c r="I137" s="1"/>
      <c r="J137" s="1"/>
      <c r="K137" s="38"/>
      <c r="L137" s="141"/>
      <c r="M137" s="1"/>
      <c r="N137" s="43"/>
      <c r="O137" s="1"/>
      <c r="P137" s="1"/>
    </row>
    <row r="138" spans="1:16" ht="12.75" customHeight="1" x14ac:dyDescent="0.2">
      <c r="A138" s="153">
        <v>36617</v>
      </c>
      <c r="B138" s="24" t="s">
        <v>479</v>
      </c>
      <c r="C138" s="24"/>
      <c r="D138" s="38"/>
      <c r="E138" s="141">
        <v>-972</v>
      </c>
      <c r="G138" s="81"/>
      <c r="H138" s="24"/>
      <c r="I138" s="1"/>
      <c r="J138" s="1"/>
      <c r="K138" s="38"/>
      <c r="L138" s="141"/>
      <c r="M138" s="1"/>
      <c r="N138" s="1"/>
      <c r="O138" s="1"/>
      <c r="P138" s="1"/>
    </row>
    <row r="139" spans="1:16" ht="12.75" customHeight="1" x14ac:dyDescent="0.2">
      <c r="A139" s="153">
        <v>36647</v>
      </c>
      <c r="B139" s="24" t="s">
        <v>487</v>
      </c>
      <c r="C139" s="1"/>
      <c r="D139" s="49"/>
      <c r="E139" s="141">
        <v>1852</v>
      </c>
      <c r="G139" s="81"/>
      <c r="H139" s="24"/>
      <c r="I139" s="1"/>
      <c r="J139" s="1"/>
      <c r="K139" s="38"/>
      <c r="L139" s="141"/>
      <c r="M139" s="1"/>
      <c r="N139" s="1"/>
      <c r="O139" s="1"/>
      <c r="P139" s="1"/>
    </row>
    <row r="140" spans="1:16" ht="12.75" customHeight="1" x14ac:dyDescent="0.2">
      <c r="A140" s="153">
        <v>36678</v>
      </c>
      <c r="B140" s="24" t="s">
        <v>493</v>
      </c>
      <c r="C140" s="1"/>
      <c r="D140" s="38"/>
      <c r="E140" s="141">
        <v>16339</v>
      </c>
      <c r="G140" s="81"/>
      <c r="H140" s="24"/>
      <c r="I140" s="1"/>
      <c r="J140" s="1"/>
      <c r="K140" s="38"/>
      <c r="L140" s="141"/>
      <c r="M140" s="1"/>
      <c r="N140" s="1"/>
      <c r="O140" s="1"/>
      <c r="P140" s="1"/>
    </row>
    <row r="141" spans="1:16" ht="12.75" customHeight="1" x14ac:dyDescent="0.2">
      <c r="A141" s="153">
        <v>36708</v>
      </c>
      <c r="B141" s="24" t="s">
        <v>494</v>
      </c>
      <c r="C141" s="1"/>
      <c r="D141" s="38"/>
      <c r="E141" s="141">
        <v>13874</v>
      </c>
      <c r="G141" s="81"/>
      <c r="H141" s="24"/>
      <c r="I141" s="1"/>
      <c r="J141" s="1"/>
      <c r="K141" s="38"/>
      <c r="L141" s="141"/>
      <c r="M141" s="1"/>
      <c r="N141" s="1"/>
      <c r="O141" s="1"/>
      <c r="P141" s="1"/>
    </row>
    <row r="142" spans="1:16" ht="12.75" customHeight="1" x14ac:dyDescent="0.2">
      <c r="A142" s="153">
        <v>36739</v>
      </c>
      <c r="B142" s="24" t="s">
        <v>499</v>
      </c>
      <c r="C142" s="24"/>
      <c r="D142" s="38"/>
      <c r="E142" s="141">
        <v>15171</v>
      </c>
      <c r="G142" s="81"/>
      <c r="H142" s="24"/>
      <c r="I142" s="1"/>
      <c r="J142" s="1"/>
      <c r="K142" s="38"/>
      <c r="L142" s="141"/>
      <c r="M142" s="1"/>
      <c r="N142" s="1"/>
      <c r="O142" s="1"/>
      <c r="P142" s="1"/>
    </row>
    <row r="143" spans="1:16" ht="12.75" customHeight="1" x14ac:dyDescent="0.2">
      <c r="A143" s="153">
        <v>36770</v>
      </c>
      <c r="B143" s="24" t="s">
        <v>510</v>
      </c>
      <c r="C143" s="24"/>
      <c r="D143" s="38"/>
      <c r="E143" s="141">
        <v>14019</v>
      </c>
      <c r="G143" s="81"/>
      <c r="H143" s="24"/>
      <c r="I143" s="1"/>
      <c r="J143" s="1"/>
      <c r="K143" s="38"/>
      <c r="L143" s="141"/>
      <c r="M143" s="1"/>
      <c r="N143" s="1"/>
      <c r="O143" s="1"/>
      <c r="P143" s="1"/>
    </row>
    <row r="144" spans="1:16" ht="12.75" customHeight="1" x14ac:dyDescent="0.2">
      <c r="A144" s="153">
        <v>36800</v>
      </c>
      <c r="B144" s="24" t="s">
        <v>519</v>
      </c>
      <c r="C144" s="24"/>
      <c r="D144" s="38"/>
      <c r="E144" s="141">
        <v>15690</v>
      </c>
      <c r="G144" s="81"/>
      <c r="H144" s="24"/>
      <c r="I144" s="1"/>
      <c r="J144" s="1"/>
      <c r="K144" s="38"/>
      <c r="L144" s="141"/>
      <c r="M144" s="1"/>
      <c r="N144" s="1"/>
      <c r="O144" s="1"/>
      <c r="P144" s="1"/>
    </row>
    <row r="145" spans="1:16" ht="12.75" customHeight="1" x14ac:dyDescent="0.2">
      <c r="A145" s="153"/>
      <c r="B145" s="24"/>
      <c r="C145" s="24"/>
      <c r="D145" s="38"/>
      <c r="E145" s="141"/>
      <c r="G145" s="81"/>
      <c r="H145" s="24"/>
      <c r="I145" s="1"/>
      <c r="J145" s="1"/>
      <c r="K145" s="38"/>
      <c r="L145" s="141"/>
      <c r="M145" s="1"/>
      <c r="N145" s="1"/>
      <c r="O145" s="1"/>
      <c r="P145" s="1"/>
    </row>
    <row r="146" spans="1:16" ht="12.75" customHeight="1" x14ac:dyDescent="0.2">
      <c r="A146" s="153"/>
      <c r="B146" s="24"/>
      <c r="C146" s="24"/>
      <c r="D146" s="38"/>
      <c r="E146" s="141"/>
      <c r="G146" s="81"/>
      <c r="H146" s="24"/>
      <c r="I146" s="1"/>
      <c r="J146" s="1"/>
      <c r="K146" s="38"/>
      <c r="L146" s="141"/>
      <c r="M146" s="1"/>
      <c r="N146" s="1"/>
      <c r="O146" s="1"/>
      <c r="P146" s="1"/>
    </row>
    <row r="147" spans="1:16" ht="12.75" customHeight="1" x14ac:dyDescent="0.2">
      <c r="A147" s="153"/>
      <c r="B147" s="24"/>
      <c r="C147" s="24"/>
      <c r="D147" s="38"/>
      <c r="E147" s="141"/>
      <c r="G147" s="81"/>
      <c r="H147" s="24"/>
      <c r="I147" s="1"/>
      <c r="J147" s="1"/>
      <c r="K147" s="38"/>
      <c r="L147" s="141"/>
      <c r="M147" s="1"/>
      <c r="N147" s="1"/>
      <c r="O147" s="1"/>
      <c r="P147" s="1"/>
    </row>
    <row r="148" spans="1:16" ht="12.75" customHeight="1" x14ac:dyDescent="0.2">
      <c r="A148" s="153"/>
      <c r="B148" s="24"/>
      <c r="C148" s="24"/>
      <c r="D148" s="38"/>
      <c r="E148" s="141"/>
      <c r="G148" s="81"/>
      <c r="H148" s="24"/>
      <c r="I148" s="1"/>
      <c r="J148" s="1"/>
      <c r="K148" s="38"/>
      <c r="L148" s="141"/>
      <c r="M148" s="1"/>
      <c r="N148" s="1"/>
      <c r="O148" s="1"/>
      <c r="P148" s="1"/>
    </row>
    <row r="149" spans="1:16" ht="12.75" customHeight="1" x14ac:dyDescent="0.2">
      <c r="A149" s="153"/>
      <c r="B149" s="24"/>
      <c r="C149" s="24"/>
      <c r="D149" s="38"/>
      <c r="E149" s="141"/>
      <c r="G149" s="81"/>
      <c r="H149" s="24"/>
      <c r="I149" s="1"/>
      <c r="J149" s="1"/>
      <c r="K149" s="38"/>
      <c r="L149" s="141"/>
      <c r="M149" s="1"/>
      <c r="N149" s="1"/>
      <c r="O149" s="1"/>
      <c r="P149" s="1"/>
    </row>
    <row r="150" spans="1:16" ht="12.75" customHeight="1" x14ac:dyDescent="0.2">
      <c r="A150" s="153"/>
      <c r="B150" s="24"/>
      <c r="C150" s="24"/>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3"/>
      <c r="M158" s="1"/>
      <c r="N158" s="1"/>
      <c r="O158" s="1"/>
      <c r="P158" s="1"/>
    </row>
    <row r="159" spans="1:16" ht="12.75" customHeight="1" thickBot="1" x14ac:dyDescent="0.25">
      <c r="A159" s="63"/>
      <c r="B159" s="24"/>
      <c r="C159" s="24"/>
      <c r="D159" s="145" t="s">
        <v>241</v>
      </c>
      <c r="E159" s="144">
        <f>SUM(E126:E158)</f>
        <v>70309</v>
      </c>
      <c r="G159" s="63"/>
      <c r="H159" s="24"/>
      <c r="I159" s="1"/>
      <c r="J159" s="1"/>
      <c r="K159" s="145" t="s">
        <v>242</v>
      </c>
      <c r="L159" s="144">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243</v>
      </c>
      <c r="B163" s="77"/>
      <c r="C163" s="77"/>
      <c r="D163" s="77"/>
      <c r="E163" s="78"/>
      <c r="AJ163" s="1"/>
      <c r="AK163" s="1"/>
      <c r="AL163" s="1"/>
      <c r="AM163" s="1"/>
    </row>
    <row r="164" spans="1:39" ht="12.75" customHeight="1" thickTop="1" x14ac:dyDescent="0.2">
      <c r="A164" s="136" t="s">
        <v>219</v>
      </c>
      <c r="B164" s="137" t="s">
        <v>220</v>
      </c>
      <c r="C164" s="138"/>
      <c r="D164" s="139"/>
      <c r="E164" s="210" t="s">
        <v>221</v>
      </c>
      <c r="AJ164" s="1"/>
      <c r="AK164" s="1"/>
      <c r="AL164" s="1"/>
      <c r="AM164" s="1"/>
    </row>
    <row r="165" spans="1:39" ht="12.75" customHeight="1" x14ac:dyDescent="0.2">
      <c r="A165" s="221"/>
      <c r="B165" s="24"/>
      <c r="C165" s="24"/>
      <c r="D165" s="38"/>
      <c r="E165" s="141"/>
      <c r="AJ165" s="1"/>
      <c r="AK165" s="1"/>
      <c r="AL165" s="1"/>
      <c r="AM165" s="1"/>
    </row>
    <row r="166" spans="1:39" ht="12.75" customHeight="1" x14ac:dyDescent="0.2">
      <c r="A166" s="221"/>
      <c r="B166" s="24"/>
      <c r="C166" s="24"/>
      <c r="D166" s="38"/>
      <c r="E166" s="141"/>
      <c r="AJ166" s="1"/>
      <c r="AK166" s="1"/>
      <c r="AL166" s="1"/>
      <c r="AM166" s="1"/>
    </row>
    <row r="167" spans="1:39" ht="12.75" customHeight="1" x14ac:dyDescent="0.2">
      <c r="A167" s="221"/>
      <c r="B167" s="24"/>
      <c r="C167" s="24"/>
      <c r="D167" s="38"/>
      <c r="E167" s="141"/>
      <c r="AJ167" s="1"/>
      <c r="AK167" s="1"/>
      <c r="AL167" s="1"/>
      <c r="AM167" s="1"/>
    </row>
    <row r="168" spans="1:39" ht="12.75" customHeight="1" x14ac:dyDescent="0.2">
      <c r="A168" s="221"/>
      <c r="B168" s="24"/>
      <c r="C168" s="24"/>
      <c r="D168" s="38"/>
      <c r="E168" s="142"/>
      <c r="AJ168" s="1"/>
      <c r="AK168" s="1"/>
      <c r="AL168" s="1"/>
      <c r="AM168" s="1"/>
    </row>
    <row r="169" spans="1:39" ht="12.75" customHeight="1" x14ac:dyDescent="0.2">
      <c r="A169" s="221"/>
      <c r="B169" s="24"/>
      <c r="C169" s="24"/>
      <c r="D169" s="38"/>
      <c r="E169" s="141"/>
      <c r="AJ169" s="1"/>
      <c r="AK169" s="1"/>
      <c r="AL169" s="1"/>
      <c r="AM169" s="1"/>
    </row>
    <row r="170" spans="1:39" ht="12.75" customHeight="1" x14ac:dyDescent="0.2">
      <c r="A170" s="221"/>
      <c r="B170" s="24"/>
      <c r="C170" s="24"/>
      <c r="D170" s="38"/>
      <c r="E170" s="141"/>
      <c r="AJ170" s="1"/>
      <c r="AK170" s="1"/>
      <c r="AL170" s="1"/>
      <c r="AM170" s="1"/>
    </row>
    <row r="171" spans="1:39" ht="12.75" customHeight="1" x14ac:dyDescent="0.2">
      <c r="A171" s="221"/>
      <c r="B171" s="24"/>
      <c r="C171" s="82"/>
      <c r="D171" s="140"/>
      <c r="E171" s="142"/>
      <c r="AJ171" s="1"/>
      <c r="AK171" s="1"/>
      <c r="AL171" s="1"/>
      <c r="AM171" s="1"/>
    </row>
    <row r="172" spans="1:39" ht="12.75" customHeight="1" x14ac:dyDescent="0.2">
      <c r="A172" s="221"/>
      <c r="B172" s="80"/>
      <c r="C172" s="82"/>
      <c r="D172" s="140"/>
      <c r="E172" s="142"/>
      <c r="AJ172" s="1"/>
      <c r="AK172" s="1"/>
      <c r="AL172" s="1"/>
      <c r="AM172" s="1"/>
    </row>
    <row r="173" spans="1:39" ht="12.75" customHeight="1" x14ac:dyDescent="0.2">
      <c r="A173" s="221"/>
      <c r="B173" s="80"/>
      <c r="C173" s="24"/>
      <c r="D173" s="38"/>
      <c r="E173" s="141"/>
      <c r="AJ173" s="1"/>
      <c r="AK173" s="1"/>
      <c r="AL173" s="1"/>
      <c r="AM173" s="1"/>
    </row>
    <row r="174" spans="1:39" ht="12.75" customHeight="1" x14ac:dyDescent="0.2">
      <c r="A174" s="221"/>
      <c r="B174" s="24"/>
      <c r="C174" s="24"/>
      <c r="D174" s="38"/>
      <c r="E174" s="141"/>
      <c r="AJ174" s="1"/>
      <c r="AK174" s="1"/>
      <c r="AL174" s="1"/>
      <c r="AM174" s="1"/>
    </row>
    <row r="175" spans="1:39" ht="12.75" customHeight="1" x14ac:dyDescent="0.2">
      <c r="A175" s="221"/>
      <c r="B175" s="24"/>
      <c r="C175" s="24"/>
      <c r="D175" s="38"/>
      <c r="E175" s="142"/>
      <c r="AJ175" s="1"/>
      <c r="AK175" s="1"/>
      <c r="AL175" s="1"/>
      <c r="AM175" s="1"/>
    </row>
    <row r="176" spans="1:39" ht="12.75" customHeight="1" x14ac:dyDescent="0.2">
      <c r="A176" s="221"/>
      <c r="B176" s="24"/>
      <c r="C176" s="24"/>
      <c r="D176" s="38"/>
      <c r="E176" s="141"/>
      <c r="AJ176" s="1"/>
      <c r="AK176" s="1"/>
      <c r="AL176" s="1"/>
      <c r="AM176" s="1"/>
    </row>
    <row r="177" spans="1:39" ht="12.75" customHeight="1" x14ac:dyDescent="0.2">
      <c r="A177" s="221"/>
      <c r="B177" s="24"/>
      <c r="C177" s="24"/>
      <c r="D177" s="38"/>
      <c r="E177" s="141"/>
      <c r="AJ177" s="1"/>
      <c r="AK177" s="1"/>
      <c r="AL177" s="1"/>
      <c r="AM177" s="1"/>
    </row>
    <row r="178" spans="1:39" ht="12.75" customHeight="1" x14ac:dyDescent="0.2">
      <c r="A178" s="221"/>
      <c r="B178" s="9"/>
      <c r="C178" s="82"/>
      <c r="D178" s="140"/>
      <c r="E178" s="142"/>
      <c r="AJ178" s="1"/>
      <c r="AK178" s="1"/>
      <c r="AL178" s="1"/>
      <c r="AM178" s="1"/>
    </row>
    <row r="179" spans="1:39" ht="12.75" customHeight="1" x14ac:dyDescent="0.2">
      <c r="A179" s="221"/>
      <c r="B179" s="9"/>
      <c r="C179" s="82"/>
      <c r="D179" s="140"/>
      <c r="E179" s="142"/>
      <c r="AJ179" s="1"/>
      <c r="AK179" s="1"/>
      <c r="AL179" s="1"/>
      <c r="AM179" s="1"/>
    </row>
    <row r="180" spans="1:39" ht="12.75" customHeight="1" x14ac:dyDescent="0.2">
      <c r="A180" s="221"/>
      <c r="B180" s="9"/>
      <c r="C180" s="82"/>
      <c r="D180" s="140"/>
      <c r="E180" s="141"/>
      <c r="AJ180" s="1"/>
      <c r="AK180" s="1"/>
      <c r="AL180" s="1"/>
      <c r="AM180" s="1"/>
    </row>
    <row r="181" spans="1:39" ht="12.75" customHeight="1" x14ac:dyDescent="0.2">
      <c r="A181" s="221"/>
      <c r="B181" s="24"/>
      <c r="C181" s="24"/>
      <c r="D181" s="38"/>
      <c r="E181" s="141"/>
      <c r="AJ181" s="1"/>
      <c r="AK181" s="1"/>
      <c r="AL181" s="1"/>
      <c r="AM181" s="1"/>
    </row>
    <row r="182" spans="1:39" ht="12.75" customHeight="1" x14ac:dyDescent="0.2">
      <c r="A182" s="221"/>
      <c r="B182" s="24"/>
      <c r="C182" s="24"/>
      <c r="D182" s="38"/>
      <c r="E182" s="141"/>
      <c r="AJ182" s="1"/>
      <c r="AK182" s="1"/>
      <c r="AL182" s="1"/>
      <c r="AM182" s="1"/>
    </row>
    <row r="183" spans="1:39" ht="12.75" customHeight="1" x14ac:dyDescent="0.2">
      <c r="A183" s="221"/>
      <c r="B183" s="24"/>
      <c r="C183" s="24"/>
      <c r="D183" s="38"/>
      <c r="E183" s="141"/>
      <c r="AJ183" s="1"/>
      <c r="AK183" s="1"/>
      <c r="AL183" s="1"/>
      <c r="AM183" s="1"/>
    </row>
    <row r="184" spans="1:39" ht="12.75" customHeight="1" x14ac:dyDescent="0.2">
      <c r="A184" s="221"/>
      <c r="B184" s="24"/>
      <c r="C184" s="24"/>
      <c r="D184" s="38"/>
      <c r="E184" s="143"/>
      <c r="AJ184" s="1"/>
      <c r="AK184" s="1"/>
      <c r="AL184" s="1"/>
      <c r="AM184" s="1"/>
    </row>
    <row r="185" spans="1:39" ht="12.75" customHeight="1" thickBot="1" x14ac:dyDescent="0.25">
      <c r="A185" s="222"/>
      <c r="B185" s="24"/>
      <c r="C185" s="24"/>
      <c r="D185" s="145" t="s">
        <v>244</v>
      </c>
      <c r="E185" s="144">
        <f>SUM(E165:E184)</f>
        <v>0</v>
      </c>
      <c r="AJ185" s="1"/>
      <c r="AK185" s="1"/>
      <c r="AL185" s="1"/>
      <c r="AM185" s="1"/>
    </row>
    <row r="186" spans="1:39" ht="12.75" customHeight="1" thickTop="1" thickBot="1" x14ac:dyDescent="0.25">
      <c r="A186" s="220"/>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245</v>
      </c>
      <c r="B189" s="59"/>
      <c r="C189" s="59"/>
      <c r="D189" s="59"/>
      <c r="E189" s="59"/>
      <c r="F189" s="59"/>
      <c r="G189" s="59"/>
      <c r="H189" s="59"/>
      <c r="I189" s="59"/>
      <c r="J189" s="59"/>
      <c r="K189" s="59"/>
      <c r="L189" s="59"/>
      <c r="M189" s="60"/>
      <c r="O189" s="1"/>
      <c r="P189" s="1"/>
      <c r="Q189" s="1"/>
      <c r="R189" s="1"/>
    </row>
    <row r="190" spans="1:39" ht="12.75" customHeight="1" x14ac:dyDescent="0.2">
      <c r="A190" s="85" t="s">
        <v>246</v>
      </c>
      <c r="B190" s="86" t="s">
        <v>219</v>
      </c>
      <c r="C190" s="87" t="s">
        <v>247</v>
      </c>
      <c r="D190" s="88" t="s">
        <v>248</v>
      </c>
      <c r="E190" s="135" t="s">
        <v>220</v>
      </c>
      <c r="F190" s="89"/>
      <c r="G190" s="89"/>
      <c r="H190" s="89"/>
      <c r="I190" s="89"/>
      <c r="J190" s="89"/>
      <c r="K190" s="89"/>
      <c r="L190" s="89"/>
      <c r="M190" s="211" t="s">
        <v>221</v>
      </c>
      <c r="O190" s="1"/>
      <c r="P190" s="1"/>
      <c r="Q190" s="1"/>
      <c r="R190" s="1"/>
    </row>
    <row r="191" spans="1:39" ht="12.75" customHeight="1" x14ac:dyDescent="0.2">
      <c r="A191" s="227"/>
      <c r="B191" s="134"/>
      <c r="C191" s="224"/>
      <c r="D191" s="38"/>
      <c r="E191" s="24"/>
      <c r="F191" s="24"/>
      <c r="G191" s="24"/>
      <c r="H191" s="24"/>
      <c r="I191" s="24"/>
      <c r="J191" s="24"/>
      <c r="K191" s="24"/>
      <c r="L191" s="24"/>
      <c r="M191" s="91"/>
      <c r="O191" s="1"/>
      <c r="P191" s="1"/>
      <c r="Q191" s="1"/>
      <c r="R191" s="1"/>
    </row>
    <row r="192" spans="1:39" ht="12.75" customHeight="1" x14ac:dyDescent="0.2">
      <c r="A192" s="227"/>
      <c r="B192" s="134"/>
      <c r="C192" s="224"/>
      <c r="D192" s="38"/>
      <c r="E192" s="24"/>
      <c r="F192" s="24"/>
      <c r="G192" s="24"/>
      <c r="H192" s="24"/>
      <c r="I192" s="24"/>
      <c r="J192" s="24"/>
      <c r="K192" s="24"/>
      <c r="L192" s="24"/>
      <c r="M192" s="91"/>
      <c r="O192" s="1"/>
      <c r="P192" s="1"/>
      <c r="Q192" s="1"/>
      <c r="R192" s="1"/>
    </row>
    <row r="193" spans="1:18" ht="12.75" customHeight="1" x14ac:dyDescent="0.2">
      <c r="A193" s="227"/>
      <c r="B193" s="134"/>
      <c r="C193" s="224"/>
      <c r="D193" s="38"/>
      <c r="E193" s="24"/>
      <c r="F193" s="24"/>
      <c r="G193" s="24"/>
      <c r="H193" s="24"/>
      <c r="I193" s="24"/>
      <c r="J193" s="24"/>
      <c r="K193" s="24"/>
      <c r="L193" s="24"/>
      <c r="M193" s="91"/>
      <c r="O193" s="1"/>
      <c r="P193" s="1"/>
      <c r="Q193" s="1"/>
      <c r="R193" s="1"/>
    </row>
    <row r="194" spans="1:18" ht="12.75" customHeight="1" x14ac:dyDescent="0.2">
      <c r="A194" s="227"/>
      <c r="B194" s="134"/>
      <c r="C194" s="224"/>
      <c r="D194" s="38"/>
      <c r="E194" s="24"/>
      <c r="F194" s="24"/>
      <c r="G194" s="24"/>
      <c r="H194" s="24"/>
      <c r="I194" s="24"/>
      <c r="J194" s="24"/>
      <c r="K194" s="24"/>
      <c r="L194" s="24"/>
      <c r="M194" s="91"/>
      <c r="O194" s="1"/>
      <c r="P194" s="1"/>
      <c r="Q194" s="1"/>
      <c r="R194" s="1"/>
    </row>
    <row r="195" spans="1:18" ht="12.75" customHeight="1" x14ac:dyDescent="0.2">
      <c r="A195" s="227"/>
      <c r="B195" s="134"/>
      <c r="C195" s="224"/>
      <c r="D195" s="38"/>
      <c r="E195" s="24"/>
      <c r="F195" s="24"/>
      <c r="G195" s="24"/>
      <c r="H195" s="24"/>
      <c r="I195" s="24"/>
      <c r="J195" s="24"/>
      <c r="K195" s="24"/>
      <c r="L195" s="24"/>
      <c r="M195" s="91"/>
      <c r="O195" s="1"/>
      <c r="P195" s="1"/>
      <c r="Q195" s="1"/>
      <c r="R195" s="1"/>
    </row>
    <row r="196" spans="1:18" ht="12.75" customHeight="1" x14ac:dyDescent="0.2">
      <c r="A196" s="227"/>
      <c r="B196" s="134"/>
      <c r="C196" s="224"/>
      <c r="D196" s="38"/>
      <c r="E196" s="24"/>
      <c r="F196" s="24"/>
      <c r="G196" s="24"/>
      <c r="H196" s="24"/>
      <c r="I196" s="24"/>
      <c r="J196" s="24"/>
      <c r="K196" s="24"/>
      <c r="L196" s="24"/>
      <c r="M196" s="91"/>
    </row>
    <row r="197" spans="1:18" ht="12.75" customHeight="1" x14ac:dyDescent="0.2">
      <c r="A197" s="227"/>
      <c r="B197" s="134"/>
      <c r="C197" s="224"/>
      <c r="D197" s="38"/>
      <c r="E197" s="24"/>
      <c r="F197" s="24"/>
      <c r="G197" s="24"/>
      <c r="H197" s="24"/>
      <c r="I197" s="24"/>
      <c r="J197" s="24"/>
      <c r="K197" s="24"/>
      <c r="L197" s="24"/>
      <c r="M197" s="91"/>
    </row>
    <row r="198" spans="1:18" ht="12.75" customHeight="1" x14ac:dyDescent="0.2">
      <c r="A198" s="227"/>
      <c r="B198" s="134"/>
      <c r="C198" s="224"/>
      <c r="D198" s="38"/>
      <c r="E198" s="24"/>
      <c r="F198" s="24"/>
      <c r="G198" s="24"/>
      <c r="H198" s="24"/>
      <c r="I198" s="24"/>
      <c r="J198" s="24"/>
      <c r="K198" s="24"/>
      <c r="L198" s="24"/>
      <c r="M198" s="91"/>
    </row>
    <row r="199" spans="1:18" ht="12.75" customHeight="1" x14ac:dyDescent="0.2">
      <c r="A199" s="227"/>
      <c r="B199" s="134"/>
      <c r="C199" s="224"/>
      <c r="D199" s="38"/>
      <c r="E199" s="24"/>
      <c r="F199" s="24"/>
      <c r="G199" s="24"/>
      <c r="H199" s="24"/>
      <c r="I199" s="24"/>
      <c r="J199" s="24"/>
      <c r="K199" s="24"/>
      <c r="L199" s="24"/>
      <c r="M199" s="91"/>
    </row>
    <row r="200" spans="1:18" ht="12.75" customHeight="1" x14ac:dyDescent="0.2">
      <c r="A200" s="227"/>
      <c r="B200" s="134"/>
      <c r="C200" s="224"/>
      <c r="D200" s="38"/>
      <c r="E200" s="24"/>
      <c r="F200" s="24"/>
      <c r="G200" s="24"/>
      <c r="H200" s="24"/>
      <c r="I200" s="24"/>
      <c r="J200" s="24"/>
      <c r="K200" s="24"/>
      <c r="L200" s="24"/>
      <c r="M200" s="91"/>
    </row>
    <row r="201" spans="1:18" ht="12.75" customHeight="1" x14ac:dyDescent="0.2">
      <c r="A201" s="90"/>
      <c r="B201" s="134"/>
      <c r="C201" s="224"/>
      <c r="D201" s="38"/>
      <c r="E201" s="24"/>
      <c r="F201" s="24"/>
      <c r="G201" s="24"/>
      <c r="H201" s="24"/>
      <c r="I201" s="24"/>
      <c r="J201" s="24"/>
      <c r="K201" s="24"/>
      <c r="L201" s="24"/>
      <c r="M201" s="91"/>
    </row>
    <row r="202" spans="1:18" ht="12.75" customHeight="1" x14ac:dyDescent="0.2">
      <c r="A202" s="90"/>
      <c r="B202" s="134"/>
      <c r="C202" s="224"/>
      <c r="D202" s="38"/>
      <c r="E202" s="24"/>
      <c r="F202" s="24"/>
      <c r="G202" s="24"/>
      <c r="H202" s="24"/>
      <c r="I202" s="24"/>
      <c r="J202" s="24"/>
      <c r="K202" s="24"/>
      <c r="L202" s="24"/>
      <c r="M202" s="91"/>
    </row>
    <row r="203" spans="1:18" ht="12.75" customHeight="1" x14ac:dyDescent="0.2">
      <c r="A203" s="90"/>
      <c r="B203" s="134"/>
      <c r="C203" s="224"/>
      <c r="D203" s="38"/>
      <c r="E203" s="24"/>
      <c r="F203" s="24"/>
      <c r="G203" s="24"/>
      <c r="H203" s="24"/>
      <c r="I203" s="24"/>
      <c r="J203" s="24"/>
      <c r="K203" s="24"/>
      <c r="L203" s="24"/>
      <c r="M203" s="91"/>
    </row>
    <row r="204" spans="1:18" ht="12.75" customHeight="1" x14ac:dyDescent="0.2">
      <c r="A204" s="90"/>
      <c r="B204" s="134"/>
      <c r="C204" s="224"/>
      <c r="D204" s="38"/>
      <c r="E204" s="24"/>
      <c r="F204" s="24"/>
      <c r="G204" s="24"/>
      <c r="H204" s="24"/>
      <c r="I204" s="24"/>
      <c r="J204" s="24"/>
      <c r="K204" s="24"/>
      <c r="L204" s="24"/>
      <c r="M204" s="91"/>
    </row>
    <row r="205" spans="1:18" ht="12.75" customHeight="1" x14ac:dyDescent="0.2">
      <c r="A205" s="90"/>
      <c r="B205" s="134"/>
      <c r="C205" s="226"/>
      <c r="D205" s="38"/>
      <c r="E205" s="24"/>
      <c r="F205" s="24"/>
      <c r="G205" s="24"/>
      <c r="H205" s="24"/>
      <c r="I205" s="24"/>
      <c r="J205" s="24"/>
      <c r="K205" s="24"/>
      <c r="L205" s="24"/>
      <c r="M205" s="91"/>
    </row>
    <row r="206" spans="1:18" ht="12.75" customHeight="1" x14ac:dyDescent="0.2">
      <c r="A206" s="90"/>
      <c r="B206" s="134"/>
      <c r="C206" s="226"/>
      <c r="D206" s="38"/>
      <c r="E206" s="24"/>
      <c r="F206" s="24"/>
      <c r="G206" s="24"/>
      <c r="H206" s="24"/>
      <c r="I206" s="24"/>
      <c r="J206" s="24"/>
      <c r="K206" s="24"/>
      <c r="L206" s="24"/>
      <c r="M206" s="91"/>
    </row>
    <row r="207" spans="1:18" ht="12.75" customHeight="1" x14ac:dyDescent="0.2">
      <c r="A207" s="90"/>
      <c r="B207" s="134"/>
      <c r="C207" s="226"/>
      <c r="D207" s="38"/>
      <c r="E207" s="24"/>
      <c r="F207" s="24"/>
      <c r="G207" s="24"/>
      <c r="H207" s="24"/>
      <c r="I207" s="24"/>
      <c r="J207" s="24"/>
      <c r="K207" s="24"/>
      <c r="L207" s="24"/>
      <c r="M207" s="91"/>
    </row>
    <row r="208" spans="1:18" ht="12.75" customHeight="1" x14ac:dyDescent="0.2">
      <c r="A208" s="90"/>
      <c r="B208" s="134"/>
      <c r="C208" s="225"/>
      <c r="D208" s="38"/>
      <c r="E208" s="24"/>
      <c r="F208" s="24"/>
      <c r="G208" s="24"/>
      <c r="H208" s="24"/>
      <c r="I208" s="24"/>
      <c r="J208" s="24"/>
      <c r="K208" s="24"/>
      <c r="L208" s="24"/>
      <c r="M208" s="91"/>
    </row>
    <row r="209" spans="1:14" ht="12.75" customHeight="1" x14ac:dyDescent="0.2">
      <c r="A209" s="90"/>
      <c r="B209" s="134"/>
      <c r="C209" s="225"/>
      <c r="D209" s="38"/>
      <c r="E209" s="24"/>
      <c r="F209" s="24"/>
      <c r="G209" s="24"/>
      <c r="H209" s="24"/>
      <c r="I209" s="24"/>
      <c r="J209" s="24"/>
      <c r="K209" s="24"/>
      <c r="L209" s="24"/>
      <c r="M209" s="91"/>
    </row>
    <row r="210" spans="1:14" ht="12.75" customHeight="1" x14ac:dyDescent="0.2">
      <c r="A210" s="90"/>
      <c r="B210" s="134"/>
      <c r="C210" s="225"/>
      <c r="D210" s="38"/>
      <c r="E210" s="24"/>
      <c r="F210" s="24"/>
      <c r="G210" s="24"/>
      <c r="H210" s="24"/>
      <c r="I210" s="24"/>
      <c r="J210" s="24"/>
      <c r="K210" s="24"/>
      <c r="L210" s="24"/>
      <c r="M210" s="91"/>
    </row>
    <row r="211" spans="1:14" ht="12.75" customHeight="1" x14ac:dyDescent="0.2">
      <c r="A211" s="90"/>
      <c r="B211" s="134"/>
      <c r="C211" s="225"/>
      <c r="D211" s="38"/>
      <c r="E211" s="24"/>
      <c r="F211" s="24"/>
      <c r="G211" s="24"/>
      <c r="H211" s="24"/>
      <c r="I211" s="24"/>
      <c r="J211" s="24"/>
      <c r="K211" s="24"/>
      <c r="L211" s="24"/>
      <c r="M211" s="91"/>
    </row>
    <row r="212" spans="1:14" ht="12.75" customHeight="1" x14ac:dyDescent="0.2">
      <c r="A212" s="90"/>
      <c r="B212" s="134"/>
      <c r="C212" s="225"/>
      <c r="D212" s="38"/>
      <c r="E212" s="24"/>
      <c r="F212" s="24"/>
      <c r="G212" s="24"/>
      <c r="H212" s="24"/>
      <c r="I212" s="24"/>
      <c r="J212" s="24"/>
      <c r="K212" s="24"/>
      <c r="L212" s="24"/>
      <c r="M212" s="91"/>
    </row>
    <row r="213" spans="1:14" ht="12.75" customHeight="1" x14ac:dyDescent="0.2">
      <c r="A213" s="90"/>
      <c r="B213" s="134"/>
      <c r="C213" s="225"/>
      <c r="D213" s="38"/>
      <c r="E213" s="24"/>
      <c r="F213" s="24"/>
      <c r="G213" s="24"/>
      <c r="H213" s="24"/>
      <c r="I213" s="24"/>
      <c r="J213" s="24"/>
      <c r="K213" s="24"/>
      <c r="L213" s="24"/>
      <c r="M213" s="91"/>
    </row>
    <row r="214" spans="1:14" ht="12.75" customHeight="1" thickBot="1" x14ac:dyDescent="0.25">
      <c r="A214" s="90"/>
      <c r="B214" s="134"/>
      <c r="C214" s="223"/>
      <c r="D214" s="38"/>
      <c r="E214" s="24"/>
      <c r="F214" s="24"/>
      <c r="G214" s="24"/>
      <c r="H214" s="24"/>
      <c r="I214" s="24"/>
      <c r="J214" s="24"/>
      <c r="K214" s="24"/>
      <c r="L214" s="145" t="s">
        <v>249</v>
      </c>
      <c r="M214" s="92">
        <f>SUM(M191:M213)</f>
        <v>0</v>
      </c>
    </row>
    <row r="215" spans="1:14" ht="12.75" customHeight="1" thickTop="1" thickBot="1" x14ac:dyDescent="0.25">
      <c r="A215" s="93"/>
      <c r="B215" s="151"/>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5" t="s">
        <v>250</v>
      </c>
      <c r="B218" s="154"/>
      <c r="C218" s="154"/>
      <c r="D218" s="154"/>
      <c r="E218" s="154"/>
      <c r="F218" s="157"/>
      <c r="G218" s="94"/>
      <c r="H218" s="94"/>
      <c r="I218" s="94"/>
      <c r="J218" s="94"/>
      <c r="K218" s="94"/>
      <c r="L218" s="94"/>
      <c r="M218" s="94"/>
      <c r="N218" s="94"/>
    </row>
    <row r="219" spans="1:14" ht="12.75" customHeight="1" thickBot="1" x14ac:dyDescent="0.25">
      <c r="A219" s="156" t="s">
        <v>246</v>
      </c>
      <c r="B219" s="95" t="s">
        <v>219</v>
      </c>
      <c r="C219" s="96" t="s">
        <v>247</v>
      </c>
      <c r="D219" s="165" t="s">
        <v>248</v>
      </c>
      <c r="E219" s="166"/>
      <c r="F219" s="158" t="s">
        <v>221</v>
      </c>
      <c r="G219" s="94"/>
      <c r="H219" s="94"/>
      <c r="I219" s="94"/>
      <c r="J219" s="94"/>
      <c r="K219" s="94"/>
      <c r="L219" s="94"/>
      <c r="M219" s="94"/>
      <c r="N219" s="94"/>
    </row>
    <row r="220" spans="1:14" ht="12.75" customHeight="1" x14ac:dyDescent="0.2">
      <c r="A220" s="231"/>
      <c r="B220" s="134"/>
      <c r="C220" s="97"/>
      <c r="D220" s="24"/>
      <c r="E220" s="167"/>
      <c r="F220" s="232"/>
      <c r="G220" s="98"/>
      <c r="H220" s="98"/>
      <c r="I220" s="98"/>
      <c r="J220" s="98"/>
      <c r="K220" s="98"/>
      <c r="L220" s="98"/>
      <c r="M220" s="98"/>
      <c r="N220" s="98"/>
    </row>
    <row r="221" spans="1:14" ht="12.75" customHeight="1" x14ac:dyDescent="0.2">
      <c r="A221" s="231"/>
      <c r="B221" s="134"/>
      <c r="C221" s="94"/>
      <c r="D221" s="233"/>
      <c r="E221" s="167"/>
      <c r="F221" s="159"/>
      <c r="G221" s="98"/>
      <c r="H221" s="98"/>
      <c r="I221" s="98"/>
      <c r="J221" s="98"/>
      <c r="K221" s="98"/>
      <c r="L221" s="98"/>
      <c r="M221" s="98"/>
      <c r="N221" s="98"/>
    </row>
    <row r="222" spans="1:14" ht="12.75" customHeight="1" x14ac:dyDescent="0.2">
      <c r="A222" s="231"/>
      <c r="B222" s="134"/>
      <c r="C222" s="94"/>
      <c r="D222" s="233"/>
      <c r="E222" s="167"/>
      <c r="F222" s="160"/>
      <c r="G222" s="94"/>
      <c r="H222" s="94"/>
      <c r="I222" s="94"/>
      <c r="J222" s="94"/>
      <c r="K222" s="94"/>
      <c r="L222" s="94"/>
      <c r="M222" s="94"/>
      <c r="N222" s="94"/>
    </row>
    <row r="223" spans="1:14" ht="12.75" customHeight="1" x14ac:dyDescent="0.2">
      <c r="A223" s="231"/>
      <c r="B223" s="134"/>
      <c r="C223" s="94"/>
      <c r="D223" s="233"/>
      <c r="E223" s="167"/>
      <c r="F223" s="160"/>
      <c r="G223" s="94"/>
      <c r="H223" s="94"/>
      <c r="I223" s="94"/>
      <c r="J223" s="94"/>
      <c r="K223" s="94"/>
      <c r="L223" s="94"/>
      <c r="M223" s="94"/>
      <c r="N223" s="94"/>
    </row>
    <row r="224" spans="1:14" ht="12.75" customHeight="1" x14ac:dyDescent="0.2">
      <c r="A224" s="231"/>
      <c r="B224" s="134"/>
      <c r="C224" s="94"/>
      <c r="D224" s="233"/>
      <c r="E224" s="167"/>
      <c r="F224" s="160"/>
      <c r="G224" s="94"/>
      <c r="H224" s="94"/>
      <c r="I224" s="94"/>
      <c r="J224" s="94"/>
      <c r="K224" s="94"/>
      <c r="L224" s="94"/>
      <c r="M224" s="94"/>
      <c r="N224" s="94"/>
    </row>
    <row r="225" spans="1:14" ht="12.75" customHeight="1" x14ac:dyDescent="0.2">
      <c r="A225" s="231"/>
      <c r="B225" s="134"/>
      <c r="C225" s="94"/>
      <c r="D225" s="233"/>
      <c r="E225" s="167"/>
      <c r="F225" s="160"/>
      <c r="G225" s="94"/>
      <c r="H225" s="94"/>
      <c r="I225" s="94"/>
      <c r="J225" s="94"/>
      <c r="K225" s="94"/>
      <c r="L225" s="94"/>
      <c r="M225" s="94"/>
      <c r="N225" s="94"/>
    </row>
    <row r="226" spans="1:14" ht="12.75" customHeight="1" x14ac:dyDescent="0.2">
      <c r="A226" s="231"/>
      <c r="B226" s="134"/>
      <c r="C226" s="94"/>
      <c r="D226" s="233"/>
      <c r="E226" s="167"/>
      <c r="F226" s="160"/>
      <c r="G226" s="94"/>
      <c r="H226" s="94"/>
      <c r="I226" s="94"/>
      <c r="J226" s="94"/>
      <c r="K226" s="94"/>
      <c r="L226" s="94"/>
      <c r="M226" s="94"/>
      <c r="N226" s="94"/>
    </row>
    <row r="227" spans="1:14" ht="12.75" customHeight="1" x14ac:dyDescent="0.2">
      <c r="A227" s="231"/>
      <c r="B227" s="134"/>
      <c r="C227" s="94"/>
      <c r="D227" s="233"/>
      <c r="E227" s="167"/>
      <c r="F227" s="160"/>
      <c r="G227" s="94"/>
      <c r="H227" s="94"/>
      <c r="I227" s="94"/>
      <c r="J227" s="94"/>
      <c r="K227" s="94"/>
      <c r="L227" s="94"/>
      <c r="M227" s="94"/>
      <c r="N227" s="94"/>
    </row>
    <row r="228" spans="1:14" ht="12.75" customHeight="1" x14ac:dyDescent="0.2">
      <c r="A228" s="231"/>
      <c r="B228" s="134"/>
      <c r="C228" s="94"/>
      <c r="D228" s="233"/>
      <c r="E228" s="167"/>
      <c r="F228" s="160"/>
      <c r="G228" s="94"/>
      <c r="H228" s="94"/>
      <c r="I228" s="94"/>
      <c r="J228" s="94"/>
      <c r="K228" s="94"/>
      <c r="L228" s="94"/>
      <c r="M228" s="94"/>
      <c r="N228" s="94"/>
    </row>
    <row r="229" spans="1:14" ht="12.75" customHeight="1" x14ac:dyDescent="0.2">
      <c r="A229" s="231"/>
      <c r="B229" s="134"/>
      <c r="C229" s="94"/>
      <c r="D229" s="233"/>
      <c r="E229" s="167"/>
      <c r="F229" s="160"/>
      <c r="G229" s="94"/>
      <c r="H229" s="94"/>
      <c r="I229" s="94"/>
      <c r="J229" s="94"/>
      <c r="K229" s="94"/>
      <c r="L229" s="94"/>
      <c r="M229" s="94"/>
      <c r="N229" s="94"/>
    </row>
    <row r="230" spans="1:14" ht="12.75" customHeight="1" x14ac:dyDescent="0.2">
      <c r="A230" s="231"/>
      <c r="B230" s="134"/>
      <c r="C230" s="94"/>
      <c r="D230" s="233"/>
      <c r="E230" s="167"/>
      <c r="F230" s="160"/>
      <c r="G230" s="94"/>
      <c r="H230" s="94"/>
      <c r="I230" s="94"/>
      <c r="J230" s="94"/>
      <c r="K230" s="94"/>
      <c r="L230" s="94"/>
      <c r="M230" s="94"/>
      <c r="N230" s="94"/>
    </row>
    <row r="231" spans="1:14" ht="12.75" customHeight="1" x14ac:dyDescent="0.2">
      <c r="A231" s="231"/>
      <c r="B231" s="134"/>
      <c r="C231" s="94"/>
      <c r="D231" s="233"/>
      <c r="E231" s="167"/>
      <c r="F231" s="160"/>
      <c r="G231" s="94"/>
      <c r="H231" s="94"/>
      <c r="I231" s="94"/>
      <c r="J231" s="94"/>
      <c r="K231" s="94"/>
      <c r="L231" s="94"/>
      <c r="M231" s="94"/>
      <c r="N231" s="94"/>
    </row>
    <row r="232" spans="1:14" ht="12.75" customHeight="1" x14ac:dyDescent="0.2">
      <c r="A232" s="231"/>
      <c r="B232" s="134"/>
      <c r="C232" s="94"/>
      <c r="D232" s="233"/>
      <c r="E232" s="167"/>
      <c r="F232" s="160"/>
      <c r="G232" s="94"/>
      <c r="H232" s="94"/>
      <c r="I232" s="94"/>
      <c r="J232" s="94"/>
      <c r="K232" s="94"/>
      <c r="L232" s="94"/>
      <c r="M232" s="94"/>
      <c r="N232" s="94"/>
    </row>
    <row r="233" spans="1:14" ht="12.75" customHeight="1" x14ac:dyDescent="0.2">
      <c r="A233" s="231"/>
      <c r="B233" s="134"/>
      <c r="C233" s="94"/>
      <c r="D233" s="233"/>
      <c r="E233" s="167"/>
      <c r="F233" s="160"/>
      <c r="G233" s="94"/>
      <c r="H233" s="94"/>
      <c r="I233" s="94"/>
      <c r="J233" s="94"/>
      <c r="K233" s="94"/>
      <c r="L233" s="94"/>
      <c r="M233" s="94"/>
      <c r="N233" s="94"/>
    </row>
    <row r="234" spans="1:14" ht="12.75" customHeight="1" x14ac:dyDescent="0.2">
      <c r="A234" s="231"/>
      <c r="B234" s="134"/>
      <c r="C234" s="94"/>
      <c r="D234" s="233"/>
      <c r="E234" s="167"/>
      <c r="F234" s="160"/>
      <c r="G234" s="94"/>
      <c r="H234" s="94"/>
      <c r="I234" s="94"/>
      <c r="J234" s="94"/>
      <c r="K234" s="94"/>
      <c r="L234" s="94"/>
      <c r="M234" s="94"/>
      <c r="N234" s="94"/>
    </row>
    <row r="235" spans="1:14" ht="12.75" customHeight="1" x14ac:dyDescent="0.2">
      <c r="A235" s="231"/>
      <c r="B235" s="134"/>
      <c r="C235" s="94"/>
      <c r="D235" s="233"/>
      <c r="E235" s="167"/>
      <c r="F235" s="160"/>
      <c r="G235" s="94"/>
      <c r="H235" s="94"/>
      <c r="I235" s="94"/>
      <c r="J235" s="94"/>
      <c r="K235" s="94"/>
      <c r="L235" s="94"/>
      <c r="M235" s="94"/>
      <c r="N235" s="94"/>
    </row>
    <row r="236" spans="1:14" ht="12.75" customHeight="1" x14ac:dyDescent="0.2">
      <c r="A236" s="231"/>
      <c r="B236" s="134"/>
      <c r="C236" s="94"/>
      <c r="D236" s="233"/>
      <c r="E236" s="167"/>
      <c r="F236" s="160"/>
      <c r="G236" s="94"/>
      <c r="H236" s="94"/>
      <c r="I236" s="94"/>
      <c r="J236" s="94"/>
      <c r="K236" s="94"/>
      <c r="L236" s="94"/>
      <c r="M236" s="94"/>
      <c r="N236" s="94"/>
    </row>
    <row r="237" spans="1:14" ht="12.75" customHeight="1" x14ac:dyDescent="0.2">
      <c r="A237" s="231"/>
      <c r="B237" s="134"/>
      <c r="C237" s="94"/>
      <c r="D237" s="233"/>
      <c r="E237" s="167"/>
      <c r="F237" s="160"/>
      <c r="G237" s="94"/>
      <c r="H237" s="94"/>
      <c r="I237" s="94"/>
      <c r="J237" s="94"/>
      <c r="K237" s="94"/>
      <c r="L237" s="94"/>
      <c r="M237" s="94"/>
      <c r="N237" s="94"/>
    </row>
    <row r="238" spans="1:14" ht="12.75" customHeight="1" thickBot="1" x14ac:dyDescent="0.25">
      <c r="A238" s="231"/>
      <c r="B238" s="134"/>
      <c r="C238" s="94"/>
      <c r="D238" s="94"/>
      <c r="E238" s="145" t="s">
        <v>251</v>
      </c>
      <c r="F238" s="168">
        <f>SUM(F219:F237)</f>
        <v>0</v>
      </c>
      <c r="G238" s="94"/>
      <c r="H238" s="94"/>
      <c r="I238" s="94"/>
      <c r="J238" s="94"/>
      <c r="K238" s="94"/>
      <c r="L238" s="94"/>
      <c r="M238" s="94"/>
      <c r="N238" s="94"/>
    </row>
    <row r="239" spans="1:14" ht="12.75" customHeight="1" thickTop="1" thickBot="1" x14ac:dyDescent="0.25">
      <c r="A239" s="161"/>
      <c r="B239" s="162"/>
      <c r="C239" s="163"/>
      <c r="D239" s="163"/>
      <c r="E239" s="212"/>
      <c r="F239" s="164"/>
      <c r="G239" s="94"/>
      <c r="H239" s="94"/>
      <c r="I239" s="94"/>
      <c r="J239" s="94"/>
      <c r="K239" s="94"/>
      <c r="L239" s="94"/>
      <c r="M239" s="94"/>
      <c r="N239" s="94"/>
    </row>
    <row r="240" spans="1:14" ht="12.75" customHeight="1" thickTop="1" x14ac:dyDescent="0.2"/>
  </sheetData>
  <customSheetViews>
    <customSheetView guid="{535643D4-B9EE-11D2-A857-00805F2505DF}" scale="75" fitToPage="1" showRuler="0" topLeftCell="A120">
      <selection activeCell="L19" sqref="L19:Q22"/>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B-B9EE-11D2-A857-00805F2505DF}"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2-B9EE-11D2-A857-00805F2505DF}"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AX240"/>
  <sheetViews>
    <sheetView zoomScale="75" workbookViewId="0">
      <pane xSplit="2" ySplit="6" topLeftCell="N36" activePane="bottomRight" state="frozen"/>
      <selection activeCell="D9" sqref="D9:D13"/>
      <selection pane="topRight" activeCell="D9" sqref="D9:D13"/>
      <selection pane="bottomLeft" activeCell="D9" sqref="D9:D13"/>
      <selection pane="bottomRight" activeCell="S53" sqref="S53"/>
    </sheetView>
  </sheetViews>
  <sheetFormatPr defaultRowHeight="12.75" x14ac:dyDescent="0.2"/>
  <cols>
    <col min="1" max="1" width="23.85546875" style="13" customWidth="1"/>
    <col min="2"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B1" s="815">
        <f>M38</f>
        <v>0</v>
      </c>
      <c r="D1" s="1"/>
      <c r="E1" s="1"/>
      <c r="F1" s="1"/>
      <c r="G1" s="1"/>
      <c r="H1" s="1"/>
      <c r="I1" s="1"/>
      <c r="J1" s="1"/>
      <c r="K1" s="1"/>
      <c r="L1" s="1"/>
      <c r="M1" s="1"/>
      <c r="N1" s="1"/>
      <c r="O1" s="1"/>
    </row>
    <row r="2" spans="1:37" ht="12.75" customHeight="1" x14ac:dyDescent="0.25">
      <c r="A2" s="101" t="s">
        <v>75</v>
      </c>
      <c r="D2" s="1"/>
      <c r="E2" s="1"/>
      <c r="F2" s="1"/>
      <c r="G2" s="1"/>
      <c r="H2" s="1"/>
      <c r="I2" s="1"/>
      <c r="J2" s="1"/>
      <c r="K2" s="1"/>
      <c r="L2" s="1"/>
      <c r="M2" s="1"/>
      <c r="N2" s="1"/>
      <c r="O2" s="1"/>
    </row>
    <row r="3" spans="1:37" ht="12.75" customHeight="1" x14ac:dyDescent="0.25">
      <c r="A3" s="257" t="s">
        <v>76</v>
      </c>
      <c r="B3" s="255" t="s">
        <v>491</v>
      </c>
      <c r="C3" s="322" t="s">
        <v>78</v>
      </c>
      <c r="D3" s="1"/>
      <c r="E3" s="1"/>
      <c r="F3" s="1"/>
      <c r="G3" s="1"/>
      <c r="H3" s="1"/>
      <c r="I3" s="1"/>
      <c r="J3" s="1"/>
      <c r="K3" s="1"/>
      <c r="L3" s="1"/>
      <c r="M3" s="1"/>
      <c r="N3" s="1"/>
      <c r="O3" s="1"/>
    </row>
    <row r="4" spans="1:37" ht="12.75" customHeight="1" x14ac:dyDescent="0.25">
      <c r="A4" s="257" t="s">
        <v>79</v>
      </c>
      <c r="B4" s="323">
        <f>Front!B4</f>
        <v>36831</v>
      </c>
      <c r="D4" s="1"/>
      <c r="E4" s="1"/>
      <c r="F4" s="1"/>
      <c r="G4" s="1"/>
      <c r="H4" s="1"/>
      <c r="I4" s="1"/>
      <c r="J4" s="1"/>
      <c r="K4" s="1"/>
      <c r="L4" s="1"/>
      <c r="M4" s="1"/>
      <c r="N4" s="1"/>
      <c r="O4" s="1"/>
    </row>
    <row r="5" spans="1:37" ht="12.75" customHeight="1" thickBot="1" x14ac:dyDescent="0.3">
      <c r="A5" s="257" t="s">
        <v>80</v>
      </c>
      <c r="B5" s="570">
        <f>Front!B5</f>
        <v>36847</v>
      </c>
      <c r="C5" s="15"/>
      <c r="V5" s="24"/>
      <c r="W5" s="24"/>
      <c r="X5" s="24"/>
      <c r="Y5" s="24"/>
      <c r="Z5" s="24"/>
      <c r="AA5" s="24"/>
    </row>
    <row r="6" spans="1:37" ht="12.75" customHeight="1" x14ac:dyDescent="0.25">
      <c r="A6" s="257" t="s">
        <v>81</v>
      </c>
      <c r="B6" s="776">
        <f>Front!$F$12</f>
        <v>949834</v>
      </c>
      <c r="C6" s="15"/>
      <c r="K6" s="123" t="s">
        <v>82</v>
      </c>
      <c r="L6" s="62"/>
      <c r="M6" s="62"/>
      <c r="N6" s="62"/>
      <c r="O6" s="62"/>
      <c r="P6" s="62"/>
      <c r="Q6" s="62"/>
      <c r="R6" s="7"/>
      <c r="S6" s="102" t="s">
        <v>83</v>
      </c>
      <c r="T6" s="102"/>
      <c r="V6" s="123" t="s">
        <v>84</v>
      </c>
      <c r="W6" s="62"/>
      <c r="X6" s="62"/>
      <c r="Y6" s="62"/>
      <c r="Z6" s="62"/>
      <c r="AA6" s="7"/>
    </row>
    <row r="7" spans="1:37" ht="12.75" customHeight="1" x14ac:dyDescent="0.2">
      <c r="D7" s="103" t="s">
        <v>93</v>
      </c>
      <c r="E7" s="103" t="s">
        <v>94</v>
      </c>
      <c r="K7" s="64"/>
      <c r="L7" s="65" t="s">
        <v>88</v>
      </c>
      <c r="M7" s="65" t="s">
        <v>88</v>
      </c>
      <c r="N7" s="65" t="s">
        <v>88</v>
      </c>
      <c r="O7" s="65" t="s">
        <v>88</v>
      </c>
      <c r="P7" s="65" t="s">
        <v>88</v>
      </c>
      <c r="Q7" s="65" t="s">
        <v>88</v>
      </c>
      <c r="R7" s="66" t="s">
        <v>4</v>
      </c>
      <c r="S7" s="103" t="s">
        <v>89</v>
      </c>
      <c r="T7" s="103" t="s">
        <v>90</v>
      </c>
      <c r="V7" s="67" t="s">
        <v>91</v>
      </c>
      <c r="W7" s="24"/>
      <c r="X7" s="24"/>
      <c r="Y7" s="24"/>
      <c r="Z7" s="24"/>
      <c r="AA7" s="68"/>
    </row>
    <row r="8" spans="1:37" ht="12.75" customHeight="1" x14ac:dyDescent="0.2">
      <c r="A8" s="16" t="s">
        <v>92</v>
      </c>
      <c r="G8" s="17" t="s">
        <v>95</v>
      </c>
      <c r="H8" s="17"/>
      <c r="K8" s="124" t="s">
        <v>96</v>
      </c>
      <c r="L8" s="24"/>
      <c r="M8" s="24"/>
      <c r="N8" s="24"/>
      <c r="O8" s="24"/>
      <c r="P8" s="24"/>
      <c r="Q8" s="9"/>
      <c r="R8" s="68"/>
      <c r="V8" s="67" t="s">
        <v>97</v>
      </c>
      <c r="W8" s="24"/>
      <c r="X8" s="24"/>
      <c r="Y8" s="24"/>
      <c r="Z8" s="24"/>
      <c r="AA8" s="68"/>
    </row>
    <row r="9" spans="1:37" ht="12.75" customHeight="1" x14ac:dyDescent="0.2">
      <c r="A9" s="13" t="s">
        <v>98</v>
      </c>
      <c r="D9" s="18">
        <v>652989</v>
      </c>
      <c r="E9" s="18">
        <v>358751</v>
      </c>
      <c r="F9" s="1" t="s">
        <v>99</v>
      </c>
      <c r="G9" s="19" t="s">
        <v>100</v>
      </c>
      <c r="H9" s="19"/>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
      <c r="A10" s="13" t="s">
        <v>102</v>
      </c>
      <c r="D10" s="21">
        <v>0</v>
      </c>
      <c r="E10" s="21">
        <v>0</v>
      </c>
      <c r="F10" s="1" t="s">
        <v>99</v>
      </c>
      <c r="G10" s="19" t="s">
        <v>100</v>
      </c>
      <c r="H10" s="19"/>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
      <c r="A11" s="13" t="s">
        <v>105</v>
      </c>
      <c r="E11" s="550"/>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
      <c r="A12" s="13" t="s">
        <v>109</v>
      </c>
      <c r="D12" s="13">
        <v>0</v>
      </c>
      <c r="E12" s="21">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
      <c r="A13" s="13" t="s">
        <v>112</v>
      </c>
      <c r="D13" s="13">
        <v>0</v>
      </c>
      <c r="E13" s="21">
        <v>0</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25">
      <c r="A14" s="13" t="s">
        <v>115</v>
      </c>
      <c r="E14" s="22">
        <f>+E159</f>
        <v>22485</v>
      </c>
      <c r="F14" s="13" t="s">
        <v>116</v>
      </c>
      <c r="K14" s="67" t="s">
        <v>117</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118</v>
      </c>
      <c r="Z14" s="24"/>
      <c r="AA14" s="68"/>
    </row>
    <row r="15" spans="1:37" ht="12.75" customHeight="1" thickTop="1" x14ac:dyDescent="0.2">
      <c r="A15" s="13" t="s">
        <v>119</v>
      </c>
      <c r="E15" s="22">
        <f>+L160</f>
        <v>1810667</v>
      </c>
      <c r="F15" s="13" t="s">
        <v>116</v>
      </c>
      <c r="K15" s="67" t="s">
        <v>120</v>
      </c>
      <c r="L15" s="249">
        <v>0</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2">
      <c r="A16" s="13" t="s">
        <v>124</v>
      </c>
      <c r="E16" s="22">
        <f>+E185</f>
        <v>0</v>
      </c>
      <c r="F16" s="13" t="s">
        <v>116</v>
      </c>
      <c r="I16" s="23"/>
      <c r="J16" s="23"/>
      <c r="K16" s="67" t="s">
        <v>125</v>
      </c>
      <c r="L16" s="248">
        <v>0</v>
      </c>
      <c r="M16" s="248">
        <v>0</v>
      </c>
      <c r="N16" s="248">
        <v>0</v>
      </c>
      <c r="O16" s="248">
        <v>0</v>
      </c>
      <c r="P16" s="248">
        <v>0</v>
      </c>
      <c r="Q16" s="248">
        <v>0</v>
      </c>
      <c r="R16" s="251">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2"/>
      <c r="L17" s="122">
        <f t="shared" ref="L17:Q17" si="1">SUM(L15*L16)</f>
        <v>0</v>
      </c>
      <c r="M17" s="122">
        <f t="shared" si="1"/>
        <v>0</v>
      </c>
      <c r="N17" s="122">
        <f t="shared" si="1"/>
        <v>0</v>
      </c>
      <c r="O17" s="122">
        <f t="shared" si="1"/>
        <v>0</v>
      </c>
      <c r="P17" s="122">
        <f t="shared" si="1"/>
        <v>0</v>
      </c>
      <c r="Q17" s="122">
        <f t="shared" si="1"/>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8">
        <f>SUM(E9:E16)</f>
        <v>2191903</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f>
        <v>2191910</v>
      </c>
      <c r="AA20" s="68"/>
      <c r="AB20" s="24"/>
      <c r="AC20" s="24"/>
      <c r="AD20" s="24"/>
      <c r="AE20" s="24"/>
      <c r="AF20" s="24"/>
      <c r="AG20" s="24"/>
      <c r="AH20" s="24"/>
      <c r="AI20" s="26"/>
      <c r="AJ20" s="24"/>
      <c r="AK20" s="24"/>
    </row>
    <row r="21" spans="1:37" ht="12.75" customHeight="1" thickBot="1" x14ac:dyDescent="0.25">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75" customHeight="1" x14ac:dyDescent="0.2">
      <c r="A22" s="13" t="s">
        <v>132</v>
      </c>
      <c r="E22" s="18">
        <v>0</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133</v>
      </c>
      <c r="E23" s="28">
        <v>0</v>
      </c>
      <c r="F23" s="1" t="s">
        <v>99</v>
      </c>
      <c r="G23" s="24"/>
      <c r="I23" s="24"/>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134</v>
      </c>
      <c r="E24" s="229">
        <f>E22+E23</f>
        <v>0</v>
      </c>
      <c r="F24" s="13" t="s">
        <v>116</v>
      </c>
      <c r="I24" s="24"/>
      <c r="J24" s="24"/>
      <c r="K24" s="67" t="s">
        <v>117</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135</v>
      </c>
      <c r="E25" s="22">
        <f>-M214</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136</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141</v>
      </c>
      <c r="E29" s="18">
        <v>183786</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143</v>
      </c>
      <c r="E30" s="29">
        <f>B61</f>
        <v>-4718</v>
      </c>
      <c r="F30" s="13" t="s">
        <v>144</v>
      </c>
      <c r="I30" s="24"/>
      <c r="J30" s="24"/>
      <c r="K30" s="67" t="s">
        <v>145</v>
      </c>
      <c r="L30" s="24"/>
      <c r="M30" s="26">
        <v>1863146</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146</v>
      </c>
      <c r="E31" s="22">
        <f>B102</f>
        <v>0</v>
      </c>
      <c r="F31" s="13" t="s">
        <v>144</v>
      </c>
      <c r="I31" s="24"/>
      <c r="J31" s="24"/>
      <c r="K31" s="67" t="s">
        <v>147</v>
      </c>
      <c r="L31" s="24"/>
      <c r="M31" s="26">
        <v>0</v>
      </c>
      <c r="N31" s="27">
        <f>M31</f>
        <v>0</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148</v>
      </c>
      <c r="E32" s="29">
        <f>B118</f>
        <v>0</v>
      </c>
      <c r="F32" s="13" t="s">
        <v>144</v>
      </c>
      <c r="G32" s="19"/>
      <c r="K32" s="67" t="s">
        <v>149</v>
      </c>
      <c r="L32" s="24"/>
      <c r="M32" s="837">
        <v>183786</v>
      </c>
      <c r="N32" s="27"/>
      <c r="O32" s="24" t="s">
        <v>142</v>
      </c>
      <c r="P32" s="24"/>
      <c r="Q32" s="24"/>
      <c r="R32" s="68"/>
      <c r="AI32" s="1"/>
    </row>
    <row r="33" spans="1:47" ht="12.75" customHeight="1" x14ac:dyDescent="0.2">
      <c r="A33" s="13" t="s">
        <v>268</v>
      </c>
      <c r="E33" s="22">
        <f>B68</f>
        <v>0</v>
      </c>
      <c r="F33" s="13" t="s">
        <v>144</v>
      </c>
      <c r="K33" s="67"/>
      <c r="L33" s="9"/>
      <c r="M33" s="27"/>
      <c r="N33" s="27"/>
      <c r="O33" s="24"/>
      <c r="P33" s="24"/>
      <c r="Q33" s="24"/>
      <c r="R33" s="68"/>
    </row>
    <row r="34" spans="1:47" ht="12.75" customHeight="1" x14ac:dyDescent="0.2">
      <c r="A34" s="13" t="s">
        <v>151</v>
      </c>
      <c r="E34" s="22">
        <f>B69</f>
        <v>0</v>
      </c>
      <c r="F34" s="13" t="s">
        <v>144</v>
      </c>
      <c r="K34" s="67" t="s">
        <v>152</v>
      </c>
      <c r="L34" s="24"/>
      <c r="M34" s="27">
        <f>B76</f>
        <v>328757</v>
      </c>
      <c r="N34" s="27">
        <f>B63</f>
        <v>0</v>
      </c>
      <c r="O34" s="24" t="s">
        <v>153</v>
      </c>
      <c r="P34" s="24"/>
      <c r="Q34" s="24"/>
      <c r="R34" s="68"/>
    </row>
    <row r="35" spans="1:47" ht="12.75" customHeight="1" x14ac:dyDescent="0.2">
      <c r="A35" s="13" t="s">
        <v>154</v>
      </c>
      <c r="E35" s="22">
        <f>F238</f>
        <v>4718</v>
      </c>
      <c r="F35" s="13" t="s">
        <v>144</v>
      </c>
      <c r="K35" s="67"/>
      <c r="L35" s="24"/>
      <c r="M35" s="27"/>
      <c r="N35" s="27"/>
      <c r="O35" s="24"/>
      <c r="P35" s="24"/>
      <c r="Q35" s="24"/>
      <c r="R35" s="68"/>
    </row>
    <row r="36" spans="1:47" ht="12.75" customHeight="1" thickBot="1" x14ac:dyDescent="0.25">
      <c r="A36" s="17" t="s">
        <v>155</v>
      </c>
      <c r="E36" s="228">
        <f>SUM(E29:E35)</f>
        <v>183786</v>
      </c>
      <c r="K36" s="67" t="s">
        <v>156</v>
      </c>
      <c r="L36" s="9"/>
      <c r="M36" s="27">
        <f>SUM(M30:M34)</f>
        <v>2375689</v>
      </c>
      <c r="N36" s="27">
        <f>SUM(N30:N34)</f>
        <v>0</v>
      </c>
      <c r="O36" s="24"/>
      <c r="P36" s="24"/>
      <c r="Q36" s="24"/>
      <c r="R36" s="68"/>
    </row>
    <row r="37" spans="1:47" ht="12.75" customHeight="1" thickTop="1" x14ac:dyDescent="0.2">
      <c r="K37" s="206"/>
      <c r="L37" s="9"/>
      <c r="M37" s="9"/>
      <c r="N37" s="9"/>
      <c r="O37" s="24"/>
      <c r="P37" s="24"/>
      <c r="Q37" s="24"/>
      <c r="R37" s="68"/>
    </row>
    <row r="38" spans="1:47" ht="12.75" customHeight="1" thickBot="1" x14ac:dyDescent="0.3">
      <c r="A38" s="16" t="s">
        <v>157</v>
      </c>
      <c r="C38" s="20"/>
      <c r="E38" s="228">
        <f>+E36+E26+E19</f>
        <v>2375689</v>
      </c>
      <c r="K38" s="67"/>
      <c r="L38" s="207" t="s">
        <v>158</v>
      </c>
      <c r="M38" s="208">
        <f>M36-E38</f>
        <v>0</v>
      </c>
      <c r="N38" s="209">
        <f>+N36-E26</f>
        <v>0</v>
      </c>
      <c r="O38" s="24"/>
      <c r="P38" s="24"/>
      <c r="Q38" s="24"/>
      <c r="R38" s="68"/>
      <c r="AN38" s="1"/>
      <c r="AO38" s="1"/>
      <c r="AP38" s="1"/>
      <c r="AQ38" s="1"/>
      <c r="AR38" s="1"/>
      <c r="AS38" s="1"/>
    </row>
    <row r="39" spans="1:47" ht="12.75" customHeight="1" thickTop="1" thickBot="1" x14ac:dyDescent="0.25">
      <c r="K39" s="74"/>
      <c r="L39" s="131"/>
      <c r="M39" s="131"/>
      <c r="N39" s="133"/>
      <c r="O39" s="131"/>
      <c r="P39" s="131"/>
      <c r="Q39" s="131"/>
      <c r="R39" s="132"/>
      <c r="AJ39" s="1"/>
      <c r="AK39" s="1"/>
      <c r="AN39" s="1"/>
      <c r="AO39" s="1"/>
      <c r="AP39" s="1"/>
      <c r="AQ39" s="1"/>
      <c r="AR39" s="1"/>
      <c r="AS39" s="1"/>
    </row>
    <row r="40" spans="1:47" ht="12.75" customHeight="1" x14ac:dyDescent="0.2">
      <c r="K40" s="24"/>
      <c r="L40" s="24"/>
      <c r="M40" s="24"/>
      <c r="N40" s="24"/>
      <c r="O40" s="24"/>
      <c r="P40" s="24"/>
      <c r="AJ40" s="1"/>
      <c r="AK40" s="1"/>
      <c r="AN40" s="1"/>
      <c r="AO40" s="1"/>
      <c r="AP40" s="1"/>
      <c r="AQ40" s="1"/>
      <c r="AR40" s="1"/>
      <c r="AS40" s="1"/>
    </row>
    <row r="41" spans="1:47" ht="12.75" customHeight="1" x14ac:dyDescent="0.25">
      <c r="A41" s="56" t="s">
        <v>159</v>
      </c>
      <c r="B41" s="57"/>
      <c r="K41" s="1"/>
      <c r="L41" s="1"/>
      <c r="M41" s="43"/>
      <c r="N41" s="1"/>
      <c r="O41" s="1"/>
      <c r="P41" s="1"/>
      <c r="AJ41" s="1"/>
      <c r="AK41" s="1"/>
      <c r="AN41" s="1"/>
      <c r="AO41" s="1"/>
      <c r="AP41" s="1"/>
      <c r="AQ41" s="1"/>
      <c r="AR41" s="1"/>
      <c r="AS41" s="1"/>
    </row>
    <row r="42" spans="1:47" ht="12.75" customHeight="1" x14ac:dyDescent="0.2">
      <c r="B42" s="1"/>
      <c r="C42" s="19"/>
      <c r="AI42" s="106" t="s">
        <v>160</v>
      </c>
      <c r="AJ42" s="107"/>
      <c r="AK42" s="1"/>
      <c r="AN42" s="1"/>
      <c r="AO42" s="1"/>
      <c r="AP42" s="1"/>
      <c r="AQ42" s="1"/>
      <c r="AR42" s="1"/>
      <c r="AS42" s="1"/>
    </row>
    <row r="43" spans="1:47" ht="12.75" customHeight="1" x14ac:dyDescent="0.2">
      <c r="A43" s="30"/>
      <c r="B43" s="31" t="s">
        <v>161</v>
      </c>
      <c r="C43" s="32">
        <f t="shared" ref="C43:R43" si="3">SUM(C47:C76)-C61-C68-C69</f>
        <v>35046</v>
      </c>
      <c r="D43" s="32">
        <f t="shared" si="3"/>
        <v>612351</v>
      </c>
      <c r="E43" s="32">
        <f t="shared" si="3"/>
        <v>-135193</v>
      </c>
      <c r="F43" s="32">
        <f t="shared" si="3"/>
        <v>0</v>
      </c>
      <c r="G43" s="32">
        <f t="shared" si="3"/>
        <v>0</v>
      </c>
      <c r="H43" s="32">
        <f t="shared" si="3"/>
        <v>58056</v>
      </c>
      <c r="I43" s="32">
        <f t="shared" si="3"/>
        <v>-122210</v>
      </c>
      <c r="J43" s="32">
        <f t="shared" si="3"/>
        <v>51404</v>
      </c>
      <c r="K43" s="32">
        <f t="shared" si="3"/>
        <v>-2959</v>
      </c>
      <c r="L43" s="32">
        <f t="shared" si="3"/>
        <v>34835</v>
      </c>
      <c r="M43" s="32">
        <f t="shared" si="3"/>
        <v>0</v>
      </c>
      <c r="N43" s="32">
        <f t="shared" si="3"/>
        <v>0</v>
      </c>
      <c r="O43" s="32">
        <f t="shared" si="3"/>
        <v>17072</v>
      </c>
      <c r="P43" s="32">
        <f t="shared" si="3"/>
        <v>-90081</v>
      </c>
      <c r="Q43" s="32">
        <f t="shared" si="3"/>
        <v>-28487</v>
      </c>
      <c r="R43" s="32">
        <f t="shared" si="3"/>
        <v>-197236</v>
      </c>
      <c r="S43" s="32">
        <f t="shared" ref="S43:AG43" si="4">SUM(S47:S76)-S61-S68-S69</f>
        <v>96159</v>
      </c>
      <c r="T43" s="32">
        <f t="shared" si="4"/>
        <v>0</v>
      </c>
      <c r="U43" s="32">
        <f t="shared" si="4"/>
        <v>0</v>
      </c>
      <c r="V43" s="32">
        <f t="shared" si="4"/>
        <v>0</v>
      </c>
      <c r="W43" s="32">
        <f>SUM(W47:W76)-Y61-W68-W69</f>
        <v>0</v>
      </c>
      <c r="X43" s="32">
        <f>SUM(X47:X76)-Z61-X68-X69</f>
        <v>0</v>
      </c>
      <c r="Y43" s="32">
        <f>SUM(Y47:Y76)-AA61-Y68-Y69</f>
        <v>0</v>
      </c>
      <c r="Z43" s="32">
        <f>SUM(Z47:Z76)-AB61-Z68-Z69</f>
        <v>0</v>
      </c>
      <c r="AA43" s="32">
        <f t="shared" si="4"/>
        <v>0</v>
      </c>
      <c r="AB43" s="32">
        <f t="shared" si="4"/>
        <v>0</v>
      </c>
      <c r="AC43" s="32">
        <f t="shared" si="4"/>
        <v>0</v>
      </c>
      <c r="AD43" s="32">
        <f t="shared" si="4"/>
        <v>0</v>
      </c>
      <c r="AE43" s="32">
        <f t="shared" si="4"/>
        <v>0</v>
      </c>
      <c r="AF43" s="32">
        <f t="shared" si="4"/>
        <v>0</v>
      </c>
      <c r="AG43" s="32">
        <f t="shared" si="4"/>
        <v>0</v>
      </c>
      <c r="AH43" s="1"/>
      <c r="AI43" s="108" t="s">
        <v>162</v>
      </c>
      <c r="AJ43" s="109" t="s">
        <v>163</v>
      </c>
      <c r="AK43" s="1"/>
      <c r="AL43" s="33"/>
      <c r="AN43" s="1"/>
      <c r="AO43" s="1"/>
      <c r="AP43" s="1"/>
      <c r="AQ43" s="1"/>
      <c r="AR43" s="1"/>
      <c r="AS43" s="1"/>
    </row>
    <row r="44" spans="1:47" s="99" customFormat="1" ht="12.75" customHeight="1" x14ac:dyDescent="0.25">
      <c r="A44" s="216" t="s">
        <v>164</v>
      </c>
      <c r="B44" s="116">
        <f>B4</f>
        <v>36831</v>
      </c>
      <c r="C44" s="104">
        <f>B44</f>
        <v>36831</v>
      </c>
      <c r="D44" s="104">
        <f t="shared" ref="D44:S44" si="5">C44+1</f>
        <v>36832</v>
      </c>
      <c r="E44" s="104">
        <f t="shared" si="5"/>
        <v>36833</v>
      </c>
      <c r="F44" s="104">
        <f t="shared" si="5"/>
        <v>36834</v>
      </c>
      <c r="G44" s="104">
        <f t="shared" si="5"/>
        <v>36835</v>
      </c>
      <c r="H44" s="104">
        <f t="shared" si="5"/>
        <v>36836</v>
      </c>
      <c r="I44" s="104">
        <f t="shared" si="5"/>
        <v>36837</v>
      </c>
      <c r="J44" s="104">
        <f t="shared" si="5"/>
        <v>36838</v>
      </c>
      <c r="K44" s="104">
        <f t="shared" si="5"/>
        <v>36839</v>
      </c>
      <c r="L44" s="104">
        <f t="shared" si="5"/>
        <v>36840</v>
      </c>
      <c r="M44" s="104">
        <f t="shared" si="5"/>
        <v>36841</v>
      </c>
      <c r="N44" s="104">
        <f t="shared" si="5"/>
        <v>36842</v>
      </c>
      <c r="O44" s="104">
        <f t="shared" si="5"/>
        <v>36843</v>
      </c>
      <c r="P44" s="104">
        <f t="shared" si="5"/>
        <v>36844</v>
      </c>
      <c r="Q44" s="104">
        <f t="shared" si="5"/>
        <v>36845</v>
      </c>
      <c r="R44" s="104">
        <f t="shared" si="5"/>
        <v>36846</v>
      </c>
      <c r="S44" s="104">
        <f t="shared" si="5"/>
        <v>36847</v>
      </c>
      <c r="T44" s="104">
        <f t="shared" ref="T44:AG44" si="6">S44+1</f>
        <v>36848</v>
      </c>
      <c r="U44" s="104">
        <f t="shared" si="6"/>
        <v>36849</v>
      </c>
      <c r="V44" s="104">
        <f t="shared" si="6"/>
        <v>36850</v>
      </c>
      <c r="W44" s="104">
        <f t="shared" si="6"/>
        <v>36851</v>
      </c>
      <c r="X44" s="104">
        <f t="shared" si="6"/>
        <v>36852</v>
      </c>
      <c r="Y44" s="104">
        <f t="shared" si="6"/>
        <v>36853</v>
      </c>
      <c r="Z44" s="104">
        <f t="shared" si="6"/>
        <v>36854</v>
      </c>
      <c r="AA44" s="104">
        <f t="shared" si="6"/>
        <v>36855</v>
      </c>
      <c r="AB44" s="104">
        <f t="shared" si="6"/>
        <v>36856</v>
      </c>
      <c r="AC44" s="104">
        <f t="shared" si="6"/>
        <v>36857</v>
      </c>
      <c r="AD44" s="104">
        <f t="shared" si="6"/>
        <v>36858</v>
      </c>
      <c r="AE44" s="104">
        <f t="shared" si="6"/>
        <v>36859</v>
      </c>
      <c r="AF44" s="104">
        <f t="shared" si="6"/>
        <v>36860</v>
      </c>
      <c r="AG44" s="104">
        <f t="shared" si="6"/>
        <v>36861</v>
      </c>
      <c r="AI44" s="110">
        <v>1</v>
      </c>
      <c r="AJ44" s="111" t="s">
        <v>165</v>
      </c>
      <c r="AL44" s="100"/>
    </row>
    <row r="45" spans="1:47" ht="12.75" customHeight="1" x14ac:dyDescent="0.25">
      <c r="A45" s="34"/>
      <c r="B45" s="34"/>
      <c r="C45" s="105" t="str">
        <f t="shared" ref="C45:R45" si="7">LOOKUP((WEEKDAY(C44,1)),$AI$44:$AI$50,$AJ$44:$AJ$50)</f>
        <v>W</v>
      </c>
      <c r="D45" s="105" t="str">
        <f t="shared" si="7"/>
        <v>R</v>
      </c>
      <c r="E45" s="105" t="str">
        <f t="shared" si="7"/>
        <v>F</v>
      </c>
      <c r="F45" s="105" t="str">
        <f t="shared" si="7"/>
        <v>S</v>
      </c>
      <c r="G45" s="105" t="str">
        <f t="shared" si="7"/>
        <v>S</v>
      </c>
      <c r="H45" s="105" t="str">
        <f t="shared" si="7"/>
        <v>M</v>
      </c>
      <c r="I45" s="105" t="str">
        <f t="shared" si="7"/>
        <v>T</v>
      </c>
      <c r="J45" s="105" t="str">
        <f t="shared" si="7"/>
        <v>W</v>
      </c>
      <c r="K45" s="105" t="str">
        <f t="shared" si="7"/>
        <v>R</v>
      </c>
      <c r="L45" s="105" t="str">
        <f t="shared" si="7"/>
        <v>F</v>
      </c>
      <c r="M45" s="105" t="str">
        <f t="shared" si="7"/>
        <v>S</v>
      </c>
      <c r="N45" s="105" t="str">
        <f t="shared" si="7"/>
        <v>S</v>
      </c>
      <c r="O45" s="105" t="str">
        <f t="shared" si="7"/>
        <v>M</v>
      </c>
      <c r="P45" s="105" t="str">
        <f t="shared" si="7"/>
        <v>T</v>
      </c>
      <c r="Q45" s="105" t="str">
        <f t="shared" si="7"/>
        <v>W</v>
      </c>
      <c r="R45" s="105" t="str">
        <f t="shared" si="7"/>
        <v>R</v>
      </c>
      <c r="S45" s="105" t="str">
        <f t="shared" ref="S45:AG45" si="8">LOOKUP((WEEKDAY(S44,1)),$AI$44:$AI$50,$AJ$44:$AJ$50)</f>
        <v>F</v>
      </c>
      <c r="T45" s="105" t="str">
        <f t="shared" si="8"/>
        <v>S</v>
      </c>
      <c r="U45" s="105" t="str">
        <f t="shared" si="8"/>
        <v>S</v>
      </c>
      <c r="V45" s="105" t="str">
        <f t="shared" si="8"/>
        <v>M</v>
      </c>
      <c r="W45" s="105" t="str">
        <f t="shared" si="8"/>
        <v>T</v>
      </c>
      <c r="X45" s="105" t="str">
        <f t="shared" si="8"/>
        <v>W</v>
      </c>
      <c r="Y45" s="105" t="str">
        <f t="shared" si="8"/>
        <v>R</v>
      </c>
      <c r="Z45" s="105" t="str">
        <f t="shared" si="8"/>
        <v>F</v>
      </c>
      <c r="AA45" s="105" t="str">
        <f t="shared" si="8"/>
        <v>S</v>
      </c>
      <c r="AB45" s="105" t="str">
        <f t="shared" si="8"/>
        <v>S</v>
      </c>
      <c r="AC45" s="105" t="str">
        <f t="shared" si="8"/>
        <v>M</v>
      </c>
      <c r="AD45" s="105" t="str">
        <f t="shared" si="8"/>
        <v>T</v>
      </c>
      <c r="AE45" s="105" t="str">
        <f t="shared" si="8"/>
        <v>W</v>
      </c>
      <c r="AF45" s="105" t="str">
        <f t="shared" si="8"/>
        <v>R</v>
      </c>
      <c r="AG45" s="105" t="str">
        <f t="shared" si="8"/>
        <v>F</v>
      </c>
      <c r="AH45" s="1"/>
      <c r="AI45" s="112">
        <v>2</v>
      </c>
      <c r="AJ45" s="113" t="s">
        <v>166</v>
      </c>
      <c r="AK45" s="1"/>
      <c r="AL45" s="24"/>
      <c r="AN45" s="1"/>
      <c r="AO45" s="1"/>
      <c r="AP45" s="1"/>
      <c r="AQ45" s="1"/>
      <c r="AR45" s="1"/>
      <c r="AS45" s="1"/>
    </row>
    <row r="46" spans="1:47" ht="12.75" customHeight="1" thickBot="1" x14ac:dyDescent="0.3">
      <c r="A46" s="217"/>
      <c r="B46" s="35" t="s">
        <v>167</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168</v>
      </c>
      <c r="AK46" s="1"/>
      <c r="AL46" s="24"/>
      <c r="AN46" s="1"/>
      <c r="AO46" s="1"/>
      <c r="AP46" s="1"/>
      <c r="AQ46" s="1"/>
      <c r="AR46" s="1"/>
      <c r="AS46" s="1"/>
    </row>
    <row r="47" spans="1:47" ht="12.75" customHeight="1" thickTop="1" x14ac:dyDescent="0.2">
      <c r="A47" s="22" t="s">
        <v>169</v>
      </c>
      <c r="B47" s="39">
        <f t="shared" ref="B47:B62" si="9">SUM(C47:AG47)</f>
        <v>-1848924</v>
      </c>
      <c r="C47" s="20">
        <f>-174792+204553+22597</f>
        <v>52358</v>
      </c>
      <c r="D47" s="20">
        <f>-75413+630325+15259</f>
        <v>570171</v>
      </c>
      <c r="E47" s="20">
        <f>-141657-3289</f>
        <v>-144946</v>
      </c>
      <c r="F47" s="20"/>
      <c r="G47" s="20"/>
      <c r="H47" s="20">
        <f>59889-321366</f>
        <v>-261477</v>
      </c>
      <c r="I47" s="20">
        <f>-205016-303184</f>
        <v>-508200</v>
      </c>
      <c r="J47" s="20">
        <f>53148-724857</f>
        <v>-671709</v>
      </c>
      <c r="K47" s="20">
        <f>23171+56697</f>
        <v>79868</v>
      </c>
      <c r="L47" s="20">
        <f>3687+119638</f>
        <v>123325</v>
      </c>
      <c r="M47" s="20"/>
      <c r="N47" s="20"/>
      <c r="O47" s="20">
        <f>-63492+302237</f>
        <v>238745</v>
      </c>
      <c r="P47" s="20">
        <f>-539180+753481</f>
        <v>214301</v>
      </c>
      <c r="Q47" s="20">
        <f>-422687+310901</f>
        <v>-111786</v>
      </c>
      <c r="R47" s="20">
        <f>348824-1888728</f>
        <v>-1539904</v>
      </c>
      <c r="S47" s="20">
        <f>-225693+336023</f>
        <v>110330</v>
      </c>
      <c r="T47" s="45"/>
      <c r="U47" s="20"/>
      <c r="V47" s="20"/>
      <c r="W47" s="20"/>
      <c r="X47" s="20"/>
      <c r="Y47" s="20"/>
      <c r="Z47" s="20"/>
      <c r="AA47" s="20"/>
      <c r="AB47" s="20"/>
      <c r="AC47" s="20"/>
      <c r="AD47" s="20"/>
      <c r="AE47" s="20"/>
      <c r="AF47" s="20"/>
      <c r="AG47" s="20"/>
      <c r="AH47" s="1"/>
      <c r="AI47" s="112">
        <v>4</v>
      </c>
      <c r="AJ47" s="113" t="s">
        <v>170</v>
      </c>
      <c r="AK47" s="1"/>
      <c r="AL47" s="41"/>
      <c r="AM47" s="42"/>
      <c r="AN47" s="43"/>
      <c r="AO47" s="1"/>
      <c r="AP47" s="1"/>
      <c r="AQ47" s="1"/>
      <c r="AR47" s="1"/>
      <c r="AS47" s="1"/>
    </row>
    <row r="48" spans="1:47" ht="12.75" customHeight="1" x14ac:dyDescent="0.2">
      <c r="A48" s="44" t="s">
        <v>171</v>
      </c>
      <c r="B48" s="39">
        <f t="shared" si="9"/>
        <v>1927657</v>
      </c>
      <c r="C48" s="20">
        <v>-12691</v>
      </c>
      <c r="D48" s="20">
        <v>44476</v>
      </c>
      <c r="E48" s="20">
        <v>12490</v>
      </c>
      <c r="F48" s="20"/>
      <c r="G48" s="20"/>
      <c r="H48" s="20">
        <v>319145</v>
      </c>
      <c r="I48" s="20">
        <v>317787</v>
      </c>
      <c r="J48" s="20">
        <v>691505</v>
      </c>
      <c r="K48" s="20">
        <v>-101012</v>
      </c>
      <c r="L48" s="20">
        <v>-65620</v>
      </c>
      <c r="M48" s="20"/>
      <c r="N48" s="20"/>
      <c r="O48" s="20">
        <v>-163727</v>
      </c>
      <c r="P48" s="20">
        <v>-306594</v>
      </c>
      <c r="Q48" s="20">
        <v>-149055</v>
      </c>
      <c r="R48" s="20">
        <v>1340028</v>
      </c>
      <c r="S48" s="20">
        <v>925</v>
      </c>
      <c r="T48" s="45"/>
      <c r="U48" s="20"/>
      <c r="V48" s="20"/>
      <c r="W48" s="20"/>
      <c r="X48" s="20"/>
      <c r="Y48" s="20"/>
      <c r="Z48" s="20"/>
      <c r="AA48" s="20"/>
      <c r="AB48" s="20"/>
      <c r="AC48" s="20"/>
      <c r="AD48" s="20"/>
      <c r="AE48" s="20"/>
      <c r="AF48" s="20"/>
      <c r="AG48" s="20"/>
      <c r="AH48" s="1"/>
      <c r="AI48" s="112">
        <v>5</v>
      </c>
      <c r="AJ48" s="113" t="s">
        <v>172</v>
      </c>
      <c r="AK48" s="1"/>
      <c r="AL48" s="41"/>
      <c r="AM48" s="45"/>
      <c r="AN48" s="47"/>
      <c r="AO48" s="41"/>
      <c r="AP48" s="41"/>
      <c r="AQ48" s="41"/>
      <c r="AR48" s="41"/>
      <c r="AS48" s="41"/>
      <c r="AT48" s="46"/>
      <c r="AU48" s="46"/>
    </row>
    <row r="49" spans="1:50" ht="12.75" hidden="1" customHeight="1" x14ac:dyDescent="0.2">
      <c r="A49" s="44" t="s">
        <v>173</v>
      </c>
      <c r="B49" s="39">
        <f t="shared" si="9"/>
        <v>0</v>
      </c>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1"/>
      <c r="AI49" s="112">
        <v>6</v>
      </c>
      <c r="AJ49" s="113" t="s">
        <v>174</v>
      </c>
      <c r="AK49" s="1"/>
      <c r="AL49" s="41"/>
      <c r="AM49" s="45"/>
      <c r="AN49" s="47"/>
      <c r="AO49" s="41"/>
      <c r="AP49" s="41"/>
      <c r="AQ49" s="41"/>
      <c r="AR49" s="41"/>
      <c r="AS49" s="41"/>
      <c r="AT49" s="46"/>
      <c r="AU49" s="46"/>
    </row>
    <row r="50" spans="1:50" ht="12.75" hidden="1" customHeight="1" x14ac:dyDescent="0.2">
      <c r="A50" s="44" t="s">
        <v>175</v>
      </c>
      <c r="B50" s="39">
        <f t="shared" si="9"/>
        <v>0</v>
      </c>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1"/>
      <c r="AI50" s="114">
        <v>7</v>
      </c>
      <c r="AJ50" s="115" t="s">
        <v>165</v>
      </c>
      <c r="AK50" s="1"/>
      <c r="AL50" s="48"/>
      <c r="AM50" s="48"/>
      <c r="AN50" s="47"/>
      <c r="AO50" s="41"/>
      <c r="AP50" s="41"/>
      <c r="AQ50" s="41"/>
      <c r="AR50" s="41"/>
      <c r="AS50" s="41"/>
      <c r="AT50" s="46"/>
      <c r="AU50" s="46"/>
    </row>
    <row r="51" spans="1:50" ht="12.75" customHeight="1" x14ac:dyDescent="0.2">
      <c r="A51" s="44" t="s">
        <v>176</v>
      </c>
      <c r="B51" s="39">
        <f t="shared" si="9"/>
        <v>97120</v>
      </c>
      <c r="C51" s="20">
        <v>-3117</v>
      </c>
      <c r="D51" s="20">
        <v>796</v>
      </c>
      <c r="E51" s="20">
        <f>-434-2139</f>
        <v>-2573</v>
      </c>
      <c r="F51" s="20"/>
      <c r="G51" s="20"/>
      <c r="H51" s="20">
        <v>959</v>
      </c>
      <c r="I51" s="20">
        <v>-791</v>
      </c>
      <c r="J51" s="20">
        <v>12310</v>
      </c>
      <c r="K51" s="20">
        <v>18444</v>
      </c>
      <c r="L51" s="20">
        <v>-15141</v>
      </c>
      <c r="M51" s="20"/>
      <c r="N51" s="20"/>
      <c r="O51" s="20">
        <v>4153</v>
      </c>
      <c r="P51" s="20">
        <v>3210</v>
      </c>
      <c r="Q51" s="20">
        <v>12465</v>
      </c>
      <c r="R51" s="20">
        <v>1421</v>
      </c>
      <c r="S51" s="20">
        <f>10610+54374</f>
        <v>64984</v>
      </c>
      <c r="T51" s="20"/>
      <c r="U51" s="20"/>
      <c r="V51" s="20"/>
      <c r="W51" s="20"/>
      <c r="X51" s="20"/>
      <c r="Y51" s="20"/>
      <c r="Z51" s="20"/>
      <c r="AA51" s="20"/>
      <c r="AB51" s="20"/>
      <c r="AC51" s="20"/>
      <c r="AD51" s="20"/>
      <c r="AE51" s="20"/>
      <c r="AF51" s="20"/>
      <c r="AG51" s="20"/>
      <c r="AH51" s="1"/>
      <c r="AI51" s="46"/>
      <c r="AJ51" s="1"/>
      <c r="AK51" s="1"/>
      <c r="AL51" s="48"/>
      <c r="AM51" s="42"/>
      <c r="AN51" s="43"/>
      <c r="AO51" s="1"/>
      <c r="AP51" s="1"/>
      <c r="AQ51" s="1"/>
      <c r="AR51" s="1"/>
      <c r="AS51" s="1"/>
    </row>
    <row r="52" spans="1:50" ht="12.75" hidden="1" customHeight="1" x14ac:dyDescent="0.2">
      <c r="A52" s="44" t="s">
        <v>177</v>
      </c>
      <c r="B52" s="39">
        <f t="shared" si="9"/>
        <v>0</v>
      </c>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1"/>
      <c r="AI52" s="46"/>
      <c r="AJ52" s="1"/>
      <c r="AK52" s="1"/>
      <c r="AL52" s="48"/>
      <c r="AM52" s="42"/>
      <c r="AN52" s="43"/>
      <c r="AO52" s="1"/>
      <c r="AP52" s="1"/>
      <c r="AQ52" s="1"/>
      <c r="AR52" s="1"/>
      <c r="AS52" s="1"/>
    </row>
    <row r="53" spans="1:50" ht="12.75" customHeight="1" x14ac:dyDescent="0.2">
      <c r="A53" s="22" t="s">
        <v>178</v>
      </c>
      <c r="B53" s="39">
        <f t="shared" si="9"/>
        <v>155022</v>
      </c>
      <c r="C53" s="20"/>
      <c r="D53" s="20">
        <v>-3092</v>
      </c>
      <c r="E53" s="20">
        <v>0</v>
      </c>
      <c r="F53" s="20"/>
      <c r="G53" s="20"/>
      <c r="H53" s="20"/>
      <c r="I53" s="20">
        <v>68793</v>
      </c>
      <c r="J53" s="20">
        <v>15784</v>
      </c>
      <c r="K53" s="20"/>
      <c r="L53" s="20">
        <v>-8094</v>
      </c>
      <c r="M53" s="20"/>
      <c r="N53" s="20"/>
      <c r="O53" s="20">
        <v>-61986</v>
      </c>
      <c r="P53" s="20"/>
      <c r="Q53" s="20">
        <v>223212</v>
      </c>
      <c r="R53" s="20"/>
      <c r="S53" s="20">
        <v>-79595</v>
      </c>
      <c r="T53" s="20"/>
      <c r="U53" s="20"/>
      <c r="V53" s="20"/>
      <c r="W53" s="20"/>
      <c r="X53" s="20"/>
      <c r="Y53" s="20"/>
      <c r="Z53" s="20"/>
      <c r="AA53" s="20"/>
      <c r="AB53" s="20"/>
      <c r="AC53" s="20"/>
      <c r="AD53" s="20"/>
      <c r="AE53" s="20"/>
      <c r="AF53" s="20"/>
      <c r="AG53" s="20"/>
      <c r="AH53" s="1"/>
      <c r="AJ53" s="1"/>
      <c r="AK53" s="1"/>
      <c r="AL53" s="41"/>
      <c r="AM53" s="42"/>
      <c r="AN53" s="43"/>
      <c r="AO53" s="1"/>
      <c r="AP53" s="1"/>
      <c r="AQ53" s="1"/>
      <c r="AR53" s="1"/>
      <c r="AS53" s="1"/>
    </row>
    <row r="54" spans="1:50" ht="12.75" hidden="1" customHeight="1" x14ac:dyDescent="0.2">
      <c r="A54" s="22" t="s">
        <v>333</v>
      </c>
      <c r="B54" s="39">
        <f t="shared" si="9"/>
        <v>0</v>
      </c>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1"/>
      <c r="AJ54" s="1"/>
      <c r="AK54" s="1"/>
      <c r="AL54" s="41"/>
      <c r="AM54" s="42"/>
      <c r="AN54" s="43"/>
      <c r="AO54" s="1"/>
      <c r="AP54" s="1"/>
      <c r="AQ54" s="1"/>
      <c r="AR54" s="1"/>
      <c r="AS54" s="1"/>
    </row>
    <row r="55" spans="1:50" ht="12.75" customHeight="1" x14ac:dyDescent="0.2">
      <c r="A55" s="22" t="s">
        <v>180</v>
      </c>
      <c r="B55" s="39">
        <f t="shared" si="9"/>
        <v>0</v>
      </c>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1"/>
      <c r="AJ55" s="1"/>
      <c r="AK55" s="1"/>
      <c r="AL55" s="41"/>
      <c r="AM55" s="42"/>
      <c r="AN55" s="43"/>
      <c r="AO55" s="1"/>
      <c r="AP55" s="1"/>
      <c r="AQ55" s="1"/>
      <c r="AR55" s="1"/>
      <c r="AS55" s="1"/>
    </row>
    <row r="56" spans="1:50" ht="12.75" customHeight="1" x14ac:dyDescent="0.2">
      <c r="A56" s="22" t="s">
        <v>181</v>
      </c>
      <c r="B56" s="39">
        <f t="shared" si="9"/>
        <v>0</v>
      </c>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1"/>
      <c r="AI56" s="46"/>
      <c r="AJ56" s="1"/>
      <c r="AK56" s="1"/>
      <c r="AL56" s="41"/>
      <c r="AM56" s="42"/>
      <c r="AN56" s="43"/>
      <c r="AO56" s="1"/>
      <c r="AP56" s="1"/>
      <c r="AQ56" s="1"/>
      <c r="AR56" s="1"/>
      <c r="AS56" s="1"/>
    </row>
    <row r="57" spans="1:50" ht="12.75" customHeight="1" x14ac:dyDescent="0.2">
      <c r="A57" s="44" t="s">
        <v>182</v>
      </c>
      <c r="B57" s="39">
        <f t="shared" si="9"/>
        <v>0</v>
      </c>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1"/>
      <c r="AI57" s="46"/>
      <c r="AJ57" s="1"/>
      <c r="AK57" s="1"/>
      <c r="AL57" s="41"/>
      <c r="AM57" s="42"/>
      <c r="AN57" s="43"/>
      <c r="AO57" s="1"/>
      <c r="AP57" s="1"/>
      <c r="AQ57" s="1"/>
      <c r="AR57" s="1"/>
      <c r="AS57" s="1"/>
    </row>
    <row r="58" spans="1:50" ht="12.75" customHeight="1" x14ac:dyDescent="0.2">
      <c r="A58" s="44" t="s">
        <v>183</v>
      </c>
      <c r="B58" s="39">
        <f t="shared" si="9"/>
        <v>169</v>
      </c>
      <c r="C58" s="20">
        <v>-18</v>
      </c>
      <c r="D58" s="20">
        <v>38</v>
      </c>
      <c r="E58" s="20">
        <v>24</v>
      </c>
      <c r="F58" s="20"/>
      <c r="G58" s="20"/>
      <c r="H58" s="20">
        <v>15</v>
      </c>
      <c r="I58" s="20">
        <v>-15</v>
      </c>
      <c r="J58" s="20">
        <v>85</v>
      </c>
      <c r="K58" s="20">
        <v>42</v>
      </c>
      <c r="L58" s="20">
        <v>8</v>
      </c>
      <c r="M58" s="20"/>
      <c r="N58" s="20"/>
      <c r="O58" s="20">
        <v>8</v>
      </c>
      <c r="P58" s="20">
        <v>-57</v>
      </c>
      <c r="Q58" s="20">
        <v>17</v>
      </c>
      <c r="R58" s="20">
        <v>-54</v>
      </c>
      <c r="S58" s="20">
        <v>76</v>
      </c>
      <c r="T58" s="20"/>
      <c r="U58" s="20"/>
      <c r="V58" s="20"/>
      <c r="W58" s="20"/>
      <c r="X58" s="20"/>
      <c r="Y58" s="20"/>
      <c r="Z58" s="20"/>
      <c r="AA58" s="20"/>
      <c r="AB58" s="20"/>
      <c r="AC58" s="20"/>
      <c r="AD58" s="20"/>
      <c r="AE58" s="20"/>
      <c r="AF58" s="20"/>
      <c r="AG58" s="20"/>
      <c r="AH58" s="1"/>
      <c r="AI58" s="46"/>
      <c r="AJ58" s="1"/>
      <c r="AK58" s="1"/>
      <c r="AL58" s="41"/>
      <c r="AM58" s="48"/>
      <c r="AN58" s="47"/>
      <c r="AO58" s="41"/>
      <c r="AP58" s="41"/>
      <c r="AQ58" s="41"/>
      <c r="AR58" s="41"/>
      <c r="AS58" s="41"/>
      <c r="AT58" s="46"/>
      <c r="AU58" s="46"/>
      <c r="AV58" s="46"/>
      <c r="AW58" s="46"/>
      <c r="AX58" s="46"/>
    </row>
    <row r="59" spans="1:50" ht="12.75" customHeight="1" x14ac:dyDescent="0.2">
      <c r="A59" s="44" t="s">
        <v>184</v>
      </c>
      <c r="B59" s="39">
        <f t="shared" si="9"/>
        <v>-176</v>
      </c>
      <c r="C59" s="20">
        <v>-68</v>
      </c>
      <c r="D59" s="20">
        <v>-75</v>
      </c>
      <c r="E59" s="20">
        <v>-81</v>
      </c>
      <c r="F59" s="20"/>
      <c r="G59" s="20"/>
      <c r="H59" s="20">
        <v>-305</v>
      </c>
      <c r="I59" s="20">
        <v>-41</v>
      </c>
      <c r="J59" s="20">
        <v>-13</v>
      </c>
      <c r="K59" s="20">
        <v>111</v>
      </c>
      <c r="L59" s="20">
        <v>101</v>
      </c>
      <c r="M59" s="20"/>
      <c r="N59" s="20"/>
      <c r="O59" s="20">
        <v>264</v>
      </c>
      <c r="P59" s="20">
        <v>43</v>
      </c>
      <c r="Q59" s="20">
        <v>-91</v>
      </c>
      <c r="R59" s="20">
        <v>-145</v>
      </c>
      <c r="S59" s="20">
        <v>124</v>
      </c>
      <c r="T59" s="20"/>
      <c r="U59" s="20"/>
      <c r="V59" s="20"/>
      <c r="W59" s="20"/>
      <c r="X59" s="20"/>
      <c r="Y59" s="20"/>
      <c r="Z59" s="20"/>
      <c r="AA59" s="20"/>
      <c r="AB59" s="20"/>
      <c r="AC59" s="20"/>
      <c r="AD59" s="20"/>
      <c r="AE59" s="20"/>
      <c r="AF59" s="20"/>
      <c r="AG59" s="20"/>
      <c r="AH59" s="1"/>
      <c r="AI59" s="46"/>
      <c r="AJ59" s="1"/>
      <c r="AK59" s="1"/>
      <c r="AL59" s="41"/>
      <c r="AM59" s="48"/>
      <c r="AN59" s="47"/>
      <c r="AO59" s="41"/>
      <c r="AP59" s="41"/>
      <c r="AQ59" s="41"/>
      <c r="AR59" s="41"/>
      <c r="AS59" s="41"/>
      <c r="AT59" s="46"/>
      <c r="AU59" s="46"/>
      <c r="AV59" s="46"/>
      <c r="AW59" s="46"/>
      <c r="AX59" s="46"/>
    </row>
    <row r="60" spans="1:50" ht="12.75" customHeight="1" x14ac:dyDescent="0.2">
      <c r="A60" s="44" t="s">
        <v>185</v>
      </c>
      <c r="B60" s="39">
        <f t="shared" si="9"/>
        <v>0</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1"/>
      <c r="AI60" s="46"/>
      <c r="AJ60" s="1"/>
      <c r="AK60" s="1"/>
      <c r="AL60" s="41"/>
      <c r="AM60" s="48"/>
      <c r="AN60" s="47"/>
      <c r="AO60" s="41"/>
      <c r="AP60" s="41"/>
      <c r="AQ60" s="41"/>
      <c r="AR60" s="41"/>
      <c r="AS60" s="41"/>
      <c r="AT60" s="46"/>
      <c r="AU60" s="46"/>
      <c r="AV60" s="46"/>
      <c r="AW60" s="46"/>
      <c r="AX60" s="46"/>
    </row>
    <row r="61" spans="1:50" ht="12.75" customHeight="1" x14ac:dyDescent="0.2">
      <c r="A61" s="44" t="s">
        <v>186</v>
      </c>
      <c r="B61" s="39">
        <f t="shared" si="9"/>
        <v>-4718</v>
      </c>
      <c r="C61" s="20"/>
      <c r="D61" s="20"/>
      <c r="E61" s="20"/>
      <c r="F61" s="20"/>
      <c r="G61" s="20"/>
      <c r="H61" s="20">
        <v>-4718</v>
      </c>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1"/>
      <c r="AJ61" s="1"/>
      <c r="AK61" s="1"/>
      <c r="AL61" s="41"/>
      <c r="AM61" s="42"/>
      <c r="AN61" s="43"/>
      <c r="AO61" s="1"/>
      <c r="AP61" s="1"/>
      <c r="AQ61" s="1"/>
      <c r="AR61" s="1"/>
      <c r="AS61" s="1"/>
    </row>
    <row r="62" spans="1:50" ht="12.75" customHeight="1" x14ac:dyDescent="0.2">
      <c r="A62" s="44" t="s">
        <v>187</v>
      </c>
      <c r="B62" s="39">
        <f t="shared" si="9"/>
        <v>-2111</v>
      </c>
      <c r="C62" s="20">
        <f>-37-1381</f>
        <v>-1418</v>
      </c>
      <c r="D62" s="20">
        <f>-1+38</f>
        <v>37</v>
      </c>
      <c r="E62" s="20">
        <f>-89-17-1</f>
        <v>-107</v>
      </c>
      <c r="F62" s="20"/>
      <c r="G62" s="20"/>
      <c r="H62" s="20">
        <f>177-458</f>
        <v>-281</v>
      </c>
      <c r="I62" s="20">
        <f>17+241-1</f>
        <v>257</v>
      </c>
      <c r="J62" s="20">
        <f>130+3312</f>
        <v>3442</v>
      </c>
      <c r="K62" s="20">
        <f>-10-404+2</f>
        <v>-412</v>
      </c>
      <c r="L62" s="20">
        <f>-12+270-1-1</f>
        <v>256</v>
      </c>
      <c r="M62" s="20"/>
      <c r="N62" s="20"/>
      <c r="O62" s="20">
        <f>-106-279</f>
        <v>-385</v>
      </c>
      <c r="P62" s="20">
        <f>-125-859</f>
        <v>-984</v>
      </c>
      <c r="Q62" s="20">
        <f>-87-3162</f>
        <v>-3249</v>
      </c>
      <c r="R62" s="20">
        <f>265+1154-1</f>
        <v>1418</v>
      </c>
      <c r="S62" s="20">
        <f>-18-670+3</f>
        <v>-685</v>
      </c>
      <c r="T62" s="20"/>
      <c r="U62" s="20"/>
      <c r="V62" s="20"/>
      <c r="W62" s="20"/>
      <c r="X62" s="20"/>
      <c r="Y62" s="20"/>
      <c r="Z62" s="20"/>
      <c r="AA62" s="20"/>
      <c r="AB62" s="20"/>
      <c r="AC62" s="20"/>
      <c r="AD62" s="20"/>
      <c r="AE62" s="20"/>
      <c r="AF62" s="20"/>
      <c r="AG62" s="20"/>
      <c r="AH62" s="1"/>
      <c r="AJ62" s="1"/>
      <c r="AK62" s="1"/>
      <c r="AL62" s="41"/>
      <c r="AM62" s="42"/>
      <c r="AN62" s="43"/>
      <c r="AO62" s="43"/>
      <c r="AP62" s="1"/>
      <c r="AQ62" s="1"/>
      <c r="AR62" s="1"/>
      <c r="AS62" s="1"/>
    </row>
    <row r="63" spans="1:50" ht="12.75" hidden="1" customHeight="1" x14ac:dyDescent="0.2">
      <c r="A63" s="44" t="s">
        <v>140</v>
      </c>
      <c r="B63" s="39">
        <f t="shared" ref="B63:B70" si="10">SUM(C63:AG63)</f>
        <v>0</v>
      </c>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1"/>
      <c r="AI63" s="46"/>
      <c r="AJ63" s="1"/>
      <c r="AK63" s="1"/>
      <c r="AL63" s="41"/>
      <c r="AM63" s="42"/>
      <c r="AN63" s="43"/>
      <c r="AO63" s="1"/>
      <c r="AP63" s="1"/>
      <c r="AQ63" s="1"/>
      <c r="AR63" s="1"/>
      <c r="AS63" s="1"/>
    </row>
    <row r="64" spans="1:50" ht="12.75" hidden="1" customHeight="1" x14ac:dyDescent="0.2">
      <c r="A64" s="44" t="s">
        <v>188</v>
      </c>
      <c r="B64" s="39">
        <f t="shared" si="10"/>
        <v>0</v>
      </c>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1"/>
      <c r="AI64" s="46"/>
      <c r="AJ64" s="1"/>
      <c r="AK64" s="1"/>
      <c r="AL64" s="48"/>
      <c r="AM64" s="42"/>
      <c r="AN64" s="1"/>
      <c r="AO64" s="1"/>
      <c r="AP64" s="1"/>
      <c r="AQ64" s="1"/>
      <c r="AR64" s="1"/>
      <c r="AS64" s="1"/>
    </row>
    <row r="65" spans="1:45" ht="12.75" hidden="1" customHeight="1" x14ac:dyDescent="0.2">
      <c r="A65" s="22" t="s">
        <v>189</v>
      </c>
      <c r="B65" s="39">
        <f t="shared" si="10"/>
        <v>0</v>
      </c>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1"/>
      <c r="AJ65" s="1"/>
      <c r="AK65" s="1"/>
      <c r="AL65" s="41"/>
      <c r="AM65" s="42"/>
      <c r="AN65" s="1"/>
      <c r="AO65" s="1"/>
      <c r="AP65" s="1"/>
      <c r="AQ65" s="1"/>
      <c r="AR65" s="1"/>
      <c r="AS65" s="1"/>
    </row>
    <row r="66" spans="1:45" ht="12.75" hidden="1" customHeight="1" x14ac:dyDescent="0.2">
      <c r="A66" s="22" t="s">
        <v>190</v>
      </c>
      <c r="B66" s="39">
        <f t="shared" si="10"/>
        <v>0</v>
      </c>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1"/>
      <c r="AI66" s="46"/>
      <c r="AJ66" s="1"/>
      <c r="AK66" s="1"/>
      <c r="AL66" s="41"/>
      <c r="AM66" s="42"/>
      <c r="AN66" s="1"/>
      <c r="AO66" s="1"/>
      <c r="AP66" s="1"/>
      <c r="AQ66" s="1"/>
      <c r="AR66" s="1"/>
      <c r="AS66" s="1"/>
    </row>
    <row r="67" spans="1:45" ht="12.75" hidden="1" customHeight="1" x14ac:dyDescent="0.2">
      <c r="A67" s="22" t="s">
        <v>191</v>
      </c>
      <c r="B67" s="39">
        <f t="shared" si="10"/>
        <v>0</v>
      </c>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1"/>
      <c r="AI67" s="46"/>
      <c r="AJ67" s="1"/>
      <c r="AK67" s="1"/>
      <c r="AL67" s="41"/>
      <c r="AM67" s="42"/>
      <c r="AN67" s="1"/>
      <c r="AO67" s="1"/>
      <c r="AP67" s="1"/>
      <c r="AQ67" s="1"/>
      <c r="AR67" s="1"/>
      <c r="AS67" s="1"/>
    </row>
    <row r="68" spans="1:45" ht="12.75" hidden="1" customHeight="1" x14ac:dyDescent="0.2">
      <c r="A68" s="22" t="s">
        <v>192</v>
      </c>
      <c r="B68" s="39">
        <f t="shared" si="10"/>
        <v>0</v>
      </c>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J68" s="1"/>
      <c r="AK68" s="1"/>
      <c r="AL68" s="41"/>
      <c r="AM68" s="42"/>
      <c r="AN68" s="1"/>
      <c r="AO68" s="1"/>
      <c r="AP68" s="1"/>
      <c r="AQ68" s="1"/>
      <c r="AR68" s="1"/>
      <c r="AS68" s="1"/>
    </row>
    <row r="69" spans="1:45" ht="12.75" hidden="1" customHeight="1" x14ac:dyDescent="0.2">
      <c r="A69" s="44" t="s">
        <v>193</v>
      </c>
      <c r="B69" s="39">
        <f t="shared" si="10"/>
        <v>0</v>
      </c>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1"/>
      <c r="AI69" s="46"/>
      <c r="AJ69" s="1"/>
      <c r="AK69" s="1"/>
      <c r="AL69" s="41"/>
      <c r="AM69" s="42"/>
      <c r="AN69" s="1"/>
      <c r="AO69" s="1"/>
      <c r="AP69" s="1"/>
      <c r="AQ69" s="1"/>
      <c r="AR69" s="1"/>
      <c r="AS69" s="1"/>
    </row>
    <row r="70" spans="1:45" ht="12.75" hidden="1" customHeight="1" x14ac:dyDescent="0.2">
      <c r="A70" s="22" t="s">
        <v>194</v>
      </c>
      <c r="B70" s="39">
        <f t="shared" si="10"/>
        <v>0</v>
      </c>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J70" s="1"/>
      <c r="AK70" s="1"/>
      <c r="AL70" s="41"/>
      <c r="AM70" s="42"/>
      <c r="AN70" s="1"/>
      <c r="AO70" s="1"/>
      <c r="AP70" s="1"/>
      <c r="AQ70" s="1"/>
      <c r="AR70" s="1"/>
      <c r="AS70" s="1"/>
    </row>
    <row r="71" spans="1:45" ht="12.75" customHeight="1" x14ac:dyDescent="0.2">
      <c r="A71" s="22" t="s">
        <v>195</v>
      </c>
      <c r="B71" s="39" t="s">
        <v>196</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42"/>
      <c r="P72" s="42"/>
      <c r="Q72" s="42"/>
      <c r="R72" s="42"/>
      <c r="S72" s="42"/>
      <c r="T72" s="42"/>
      <c r="U72" s="42"/>
      <c r="V72" s="42"/>
      <c r="W72" s="20"/>
      <c r="X72" s="20"/>
      <c r="Y72" s="20"/>
      <c r="Z72" s="20"/>
      <c r="AA72" s="20"/>
      <c r="AB72" s="20"/>
      <c r="AC72" s="20"/>
      <c r="AD72" s="20"/>
      <c r="AE72" s="20"/>
      <c r="AF72" s="20"/>
      <c r="AG72" s="20"/>
      <c r="AH72" s="1"/>
      <c r="AJ72" s="1"/>
      <c r="AK72" s="1"/>
      <c r="AL72" s="41"/>
      <c r="AM72" s="42"/>
    </row>
    <row r="73" spans="1:45" ht="12.75" customHeight="1" x14ac:dyDescent="0.2">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197</v>
      </c>
      <c r="B76" s="52">
        <f>SUM(B47:B75)-B61-B67-B68-B69</f>
        <v>328757</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AH78" s="24"/>
      <c r="AJ78" s="24"/>
      <c r="AK78" s="20"/>
      <c r="AL78" s="41"/>
      <c r="AM78" s="42"/>
    </row>
    <row r="79" spans="1:45" ht="12.75" customHeight="1" x14ac:dyDescent="0.25">
      <c r="A79" s="56" t="s">
        <v>273</v>
      </c>
      <c r="B79" s="57"/>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t="s">
        <v>161</v>
      </c>
      <c r="C81" s="32">
        <f t="shared" ref="C81:R81" si="11">SUM(C85:C101)</f>
        <v>0</v>
      </c>
      <c r="D81" s="32">
        <f t="shared" si="11"/>
        <v>0</v>
      </c>
      <c r="E81" s="32">
        <f t="shared" si="11"/>
        <v>0</v>
      </c>
      <c r="F81" s="32">
        <f t="shared" si="11"/>
        <v>0</v>
      </c>
      <c r="G81" s="32">
        <f t="shared" si="11"/>
        <v>0</v>
      </c>
      <c r="H81" s="32">
        <f t="shared" si="11"/>
        <v>0</v>
      </c>
      <c r="I81" s="32">
        <f t="shared" si="11"/>
        <v>0</v>
      </c>
      <c r="J81" s="32">
        <f t="shared" si="11"/>
        <v>0</v>
      </c>
      <c r="K81" s="32">
        <f t="shared" si="11"/>
        <v>0</v>
      </c>
      <c r="L81" s="32">
        <f t="shared" si="11"/>
        <v>0</v>
      </c>
      <c r="M81" s="32">
        <f t="shared" si="11"/>
        <v>0</v>
      </c>
      <c r="N81" s="32">
        <f t="shared" si="11"/>
        <v>0</v>
      </c>
      <c r="O81" s="32">
        <f t="shared" si="11"/>
        <v>0</v>
      </c>
      <c r="P81" s="32">
        <f t="shared" si="11"/>
        <v>0</v>
      </c>
      <c r="Q81" s="32">
        <f t="shared" si="11"/>
        <v>0</v>
      </c>
      <c r="R81" s="32">
        <f t="shared" si="11"/>
        <v>0</v>
      </c>
      <c r="S81" s="32">
        <f t="shared" ref="S81:AG81" si="12">SUM(S85:S101)</f>
        <v>0</v>
      </c>
      <c r="T81" s="32">
        <f t="shared" si="12"/>
        <v>0</v>
      </c>
      <c r="U81" s="32">
        <f t="shared" si="12"/>
        <v>0</v>
      </c>
      <c r="V81" s="32">
        <f t="shared" si="12"/>
        <v>0</v>
      </c>
      <c r="W81" s="32">
        <f t="shared" si="12"/>
        <v>0</v>
      </c>
      <c r="X81" s="32">
        <f t="shared" si="12"/>
        <v>0</v>
      </c>
      <c r="Y81" s="32">
        <f t="shared" si="12"/>
        <v>0</v>
      </c>
      <c r="Z81" s="32">
        <f t="shared" si="12"/>
        <v>0</v>
      </c>
      <c r="AA81" s="32">
        <f t="shared" si="12"/>
        <v>0</v>
      </c>
      <c r="AB81" s="32">
        <f t="shared" si="12"/>
        <v>0</v>
      </c>
      <c r="AC81" s="32">
        <f t="shared" si="12"/>
        <v>0</v>
      </c>
      <c r="AD81" s="32">
        <f t="shared" si="12"/>
        <v>0</v>
      </c>
      <c r="AE81" s="32">
        <f t="shared" si="12"/>
        <v>0</v>
      </c>
      <c r="AF81" s="32">
        <f t="shared" si="12"/>
        <v>0</v>
      </c>
      <c r="AG81" s="32">
        <f t="shared" si="12"/>
        <v>0</v>
      </c>
      <c r="AH81" s="1"/>
      <c r="AI81" s="117"/>
      <c r="AJ81" s="118"/>
      <c r="AK81" s="1"/>
      <c r="AL81" s="33"/>
      <c r="AN81" s="1"/>
      <c r="AO81" s="1"/>
      <c r="AP81" s="1"/>
      <c r="AQ81" s="1"/>
      <c r="AR81" s="1"/>
      <c r="AS81" s="1"/>
    </row>
    <row r="82" spans="1:45" s="99" customFormat="1" ht="12.75" customHeight="1" x14ac:dyDescent="0.25">
      <c r="A82" s="216" t="s">
        <v>199</v>
      </c>
      <c r="B82" s="116">
        <f t="shared" ref="B82:AG82" si="13">B44</f>
        <v>36831</v>
      </c>
      <c r="C82" s="104">
        <f t="shared" si="13"/>
        <v>36831</v>
      </c>
      <c r="D82" s="104">
        <f t="shared" si="13"/>
        <v>36832</v>
      </c>
      <c r="E82" s="104">
        <f t="shared" si="13"/>
        <v>36833</v>
      </c>
      <c r="F82" s="104">
        <f t="shared" si="13"/>
        <v>36834</v>
      </c>
      <c r="G82" s="104">
        <f t="shared" si="13"/>
        <v>36835</v>
      </c>
      <c r="H82" s="104">
        <f t="shared" si="13"/>
        <v>36836</v>
      </c>
      <c r="I82" s="104">
        <f t="shared" si="13"/>
        <v>36837</v>
      </c>
      <c r="J82" s="104">
        <f t="shared" si="13"/>
        <v>36838</v>
      </c>
      <c r="K82" s="104">
        <f t="shared" si="13"/>
        <v>36839</v>
      </c>
      <c r="L82" s="104">
        <f t="shared" si="13"/>
        <v>36840</v>
      </c>
      <c r="M82" s="104">
        <f t="shared" si="13"/>
        <v>36841</v>
      </c>
      <c r="N82" s="104">
        <f t="shared" si="13"/>
        <v>36842</v>
      </c>
      <c r="O82" s="104">
        <f t="shared" si="13"/>
        <v>36843</v>
      </c>
      <c r="P82" s="104">
        <f t="shared" si="13"/>
        <v>36844</v>
      </c>
      <c r="Q82" s="104">
        <f t="shared" si="13"/>
        <v>36845</v>
      </c>
      <c r="R82" s="104">
        <f t="shared" si="13"/>
        <v>36846</v>
      </c>
      <c r="S82" s="104">
        <f t="shared" si="13"/>
        <v>36847</v>
      </c>
      <c r="T82" s="104">
        <f t="shared" si="13"/>
        <v>36848</v>
      </c>
      <c r="U82" s="104">
        <f t="shared" si="13"/>
        <v>36849</v>
      </c>
      <c r="V82" s="104">
        <f t="shared" si="13"/>
        <v>36850</v>
      </c>
      <c r="W82" s="104">
        <f t="shared" si="13"/>
        <v>36851</v>
      </c>
      <c r="X82" s="104">
        <f t="shared" si="13"/>
        <v>36852</v>
      </c>
      <c r="Y82" s="104">
        <f t="shared" si="13"/>
        <v>36853</v>
      </c>
      <c r="Z82" s="104">
        <f t="shared" si="13"/>
        <v>36854</v>
      </c>
      <c r="AA82" s="104">
        <f t="shared" si="13"/>
        <v>36855</v>
      </c>
      <c r="AB82" s="104">
        <f t="shared" si="13"/>
        <v>36856</v>
      </c>
      <c r="AC82" s="104">
        <f t="shared" si="13"/>
        <v>36857</v>
      </c>
      <c r="AD82" s="104">
        <f t="shared" si="13"/>
        <v>36858</v>
      </c>
      <c r="AE82" s="104">
        <f t="shared" si="13"/>
        <v>36859</v>
      </c>
      <c r="AF82" s="104">
        <f t="shared" si="13"/>
        <v>36860</v>
      </c>
      <c r="AG82" s="104">
        <f t="shared" si="13"/>
        <v>36861</v>
      </c>
      <c r="AI82" s="117"/>
      <c r="AJ82" s="119"/>
      <c r="AL82" s="100"/>
    </row>
    <row r="83" spans="1:45" ht="12.75" customHeight="1" x14ac:dyDescent="0.25">
      <c r="A83" s="34"/>
      <c r="B83" s="34"/>
      <c r="C83" s="105" t="str">
        <f t="shared" ref="C83:AG83" si="14">C45</f>
        <v>W</v>
      </c>
      <c r="D83" s="105" t="str">
        <f t="shared" si="14"/>
        <v>R</v>
      </c>
      <c r="E83" s="105" t="str">
        <f t="shared" si="14"/>
        <v>F</v>
      </c>
      <c r="F83" s="105" t="str">
        <f t="shared" si="14"/>
        <v>S</v>
      </c>
      <c r="G83" s="105" t="str">
        <f t="shared" si="14"/>
        <v>S</v>
      </c>
      <c r="H83" s="105" t="str">
        <f t="shared" si="14"/>
        <v>M</v>
      </c>
      <c r="I83" s="105" t="str">
        <f t="shared" si="14"/>
        <v>T</v>
      </c>
      <c r="J83" s="105" t="str">
        <f t="shared" si="14"/>
        <v>W</v>
      </c>
      <c r="K83" s="105" t="str">
        <f t="shared" si="14"/>
        <v>R</v>
      </c>
      <c r="L83" s="105" t="str">
        <f t="shared" si="14"/>
        <v>F</v>
      </c>
      <c r="M83" s="105" t="str">
        <f t="shared" si="14"/>
        <v>S</v>
      </c>
      <c r="N83" s="105" t="str">
        <f t="shared" si="14"/>
        <v>S</v>
      </c>
      <c r="O83" s="105" t="str">
        <f t="shared" si="14"/>
        <v>M</v>
      </c>
      <c r="P83" s="105" t="str">
        <f t="shared" si="14"/>
        <v>T</v>
      </c>
      <c r="Q83" s="105" t="str">
        <f t="shared" si="14"/>
        <v>W</v>
      </c>
      <c r="R83" s="105" t="str">
        <f t="shared" si="14"/>
        <v>R</v>
      </c>
      <c r="S83" s="105" t="str">
        <f t="shared" si="14"/>
        <v>F</v>
      </c>
      <c r="T83" s="105" t="str">
        <f t="shared" si="14"/>
        <v>S</v>
      </c>
      <c r="U83" s="105" t="str">
        <f t="shared" si="14"/>
        <v>S</v>
      </c>
      <c r="V83" s="105" t="str">
        <f t="shared" si="14"/>
        <v>M</v>
      </c>
      <c r="W83" s="105" t="str">
        <f t="shared" si="14"/>
        <v>T</v>
      </c>
      <c r="X83" s="105" t="str">
        <f t="shared" si="14"/>
        <v>W</v>
      </c>
      <c r="Y83" s="105" t="str">
        <f t="shared" si="14"/>
        <v>R</v>
      </c>
      <c r="Z83" s="105" t="str">
        <f t="shared" si="14"/>
        <v>F</v>
      </c>
      <c r="AA83" s="105" t="str">
        <f t="shared" si="14"/>
        <v>S</v>
      </c>
      <c r="AB83" s="105" t="str">
        <f t="shared" si="14"/>
        <v>S</v>
      </c>
      <c r="AC83" s="105" t="str">
        <f t="shared" si="14"/>
        <v>M</v>
      </c>
      <c r="AD83" s="105" t="str">
        <f t="shared" si="14"/>
        <v>T</v>
      </c>
      <c r="AE83" s="105" t="str">
        <f t="shared" si="14"/>
        <v>W</v>
      </c>
      <c r="AF83" s="105" t="str">
        <f t="shared" si="14"/>
        <v>R</v>
      </c>
      <c r="AG83" s="105" t="str">
        <f t="shared" si="14"/>
        <v>F</v>
      </c>
      <c r="AH83" s="1"/>
      <c r="AI83" s="117"/>
      <c r="AJ83" s="118"/>
      <c r="AK83" s="1"/>
      <c r="AL83" s="24"/>
      <c r="AN83" s="1"/>
      <c r="AO83" s="1"/>
      <c r="AP83" s="1"/>
      <c r="AQ83" s="1"/>
      <c r="AR83" s="1"/>
      <c r="AS83" s="1"/>
    </row>
    <row r="84" spans="1:45" ht="12.75" customHeight="1" thickBot="1" x14ac:dyDescent="0.3">
      <c r="A84" s="217"/>
      <c r="B84" s="35" t="s">
        <v>167</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200</v>
      </c>
      <c r="B85" s="39">
        <f t="shared" ref="B85:B97" si="15">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201</v>
      </c>
      <c r="B86" s="39">
        <f t="shared" si="15"/>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202</v>
      </c>
      <c r="B87" s="39">
        <f t="shared" si="15"/>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203</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204</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205</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206</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207</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208</v>
      </c>
      <c r="B93" s="39">
        <f t="shared" si="15"/>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209</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210</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211</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212</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19" t="s">
        <v>213</v>
      </c>
      <c r="B102" s="51">
        <f>SUM(B87:B101)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161</v>
      </c>
      <c r="C104" s="32">
        <f t="shared" ref="C104:R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ref="S104:AG104" si="17">SUM(S108:S117)</f>
        <v>0</v>
      </c>
      <c r="T104" s="32">
        <f t="shared" si="17"/>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25">
      <c r="A105" s="216" t="s">
        <v>214</v>
      </c>
      <c r="B105" s="116">
        <f t="shared" ref="B105:AG105" si="18">B44</f>
        <v>36831</v>
      </c>
      <c r="C105" s="104">
        <f t="shared" si="18"/>
        <v>36831</v>
      </c>
      <c r="D105" s="104">
        <f t="shared" si="18"/>
        <v>36832</v>
      </c>
      <c r="E105" s="104">
        <f t="shared" si="18"/>
        <v>36833</v>
      </c>
      <c r="F105" s="104">
        <f t="shared" si="18"/>
        <v>36834</v>
      </c>
      <c r="G105" s="104">
        <f t="shared" si="18"/>
        <v>36835</v>
      </c>
      <c r="H105" s="104">
        <f t="shared" si="18"/>
        <v>36836</v>
      </c>
      <c r="I105" s="104">
        <f t="shared" si="18"/>
        <v>36837</v>
      </c>
      <c r="J105" s="104">
        <f t="shared" si="18"/>
        <v>36838</v>
      </c>
      <c r="K105" s="104">
        <f t="shared" si="18"/>
        <v>36839</v>
      </c>
      <c r="L105" s="104">
        <f t="shared" si="18"/>
        <v>36840</v>
      </c>
      <c r="M105" s="104">
        <f t="shared" si="18"/>
        <v>36841</v>
      </c>
      <c r="N105" s="104">
        <f t="shared" si="18"/>
        <v>36842</v>
      </c>
      <c r="O105" s="104">
        <f t="shared" si="18"/>
        <v>36843</v>
      </c>
      <c r="P105" s="104">
        <f t="shared" si="18"/>
        <v>36844</v>
      </c>
      <c r="Q105" s="104">
        <f t="shared" si="18"/>
        <v>36845</v>
      </c>
      <c r="R105" s="104">
        <f t="shared" si="18"/>
        <v>36846</v>
      </c>
      <c r="S105" s="104">
        <f t="shared" si="18"/>
        <v>36847</v>
      </c>
      <c r="T105" s="104">
        <f t="shared" si="18"/>
        <v>36848</v>
      </c>
      <c r="U105" s="104">
        <f t="shared" si="18"/>
        <v>36849</v>
      </c>
      <c r="V105" s="104">
        <f t="shared" si="18"/>
        <v>36850</v>
      </c>
      <c r="W105" s="104">
        <f t="shared" si="18"/>
        <v>36851</v>
      </c>
      <c r="X105" s="104">
        <f t="shared" si="18"/>
        <v>36852</v>
      </c>
      <c r="Y105" s="104">
        <f t="shared" si="18"/>
        <v>36853</v>
      </c>
      <c r="Z105" s="104">
        <f t="shared" si="18"/>
        <v>36854</v>
      </c>
      <c r="AA105" s="104">
        <f t="shared" si="18"/>
        <v>36855</v>
      </c>
      <c r="AB105" s="104">
        <f t="shared" si="18"/>
        <v>36856</v>
      </c>
      <c r="AC105" s="104">
        <f t="shared" si="18"/>
        <v>36857</v>
      </c>
      <c r="AD105" s="104">
        <f t="shared" si="18"/>
        <v>36858</v>
      </c>
      <c r="AE105" s="104">
        <f t="shared" si="18"/>
        <v>36859</v>
      </c>
      <c r="AF105" s="104">
        <f t="shared" si="18"/>
        <v>36860</v>
      </c>
      <c r="AG105" s="104">
        <f t="shared" si="18"/>
        <v>36861</v>
      </c>
      <c r="AI105" s="117"/>
      <c r="AJ105" s="119"/>
      <c r="AL105" s="100"/>
    </row>
    <row r="106" spans="1:45" ht="12.75" customHeight="1" x14ac:dyDescent="0.25">
      <c r="A106" s="34"/>
      <c r="B106" s="34"/>
      <c r="C106" s="105" t="str">
        <f t="shared" ref="C106:AG106" si="19">C45</f>
        <v>W</v>
      </c>
      <c r="D106" s="105" t="str">
        <f t="shared" si="19"/>
        <v>R</v>
      </c>
      <c r="E106" s="105" t="str">
        <f t="shared" si="19"/>
        <v>F</v>
      </c>
      <c r="F106" s="105" t="str">
        <f t="shared" si="19"/>
        <v>S</v>
      </c>
      <c r="G106" s="105" t="str">
        <f t="shared" si="19"/>
        <v>S</v>
      </c>
      <c r="H106" s="105" t="str">
        <f t="shared" si="19"/>
        <v>M</v>
      </c>
      <c r="I106" s="105" t="str">
        <f t="shared" si="19"/>
        <v>T</v>
      </c>
      <c r="J106" s="105" t="str">
        <f t="shared" si="19"/>
        <v>W</v>
      </c>
      <c r="K106" s="105" t="str">
        <f t="shared" si="19"/>
        <v>R</v>
      </c>
      <c r="L106" s="105" t="str">
        <f t="shared" si="19"/>
        <v>F</v>
      </c>
      <c r="M106" s="105" t="str">
        <f t="shared" si="19"/>
        <v>S</v>
      </c>
      <c r="N106" s="105" t="str">
        <f t="shared" si="19"/>
        <v>S</v>
      </c>
      <c r="O106" s="105" t="str">
        <f t="shared" si="19"/>
        <v>M</v>
      </c>
      <c r="P106" s="105" t="str">
        <f t="shared" si="19"/>
        <v>T</v>
      </c>
      <c r="Q106" s="105" t="str">
        <f t="shared" si="19"/>
        <v>W</v>
      </c>
      <c r="R106" s="105" t="str">
        <f t="shared" si="19"/>
        <v>R</v>
      </c>
      <c r="S106" s="105" t="str">
        <f t="shared" si="19"/>
        <v>F</v>
      </c>
      <c r="T106" s="105" t="str">
        <f t="shared" si="19"/>
        <v>S</v>
      </c>
      <c r="U106" s="105" t="str">
        <f t="shared" si="19"/>
        <v>S</v>
      </c>
      <c r="V106" s="105" t="str">
        <f t="shared" si="19"/>
        <v>M</v>
      </c>
      <c r="W106" s="105" t="str">
        <f t="shared" si="19"/>
        <v>T</v>
      </c>
      <c r="X106" s="105" t="str">
        <f t="shared" si="19"/>
        <v>W</v>
      </c>
      <c r="Y106" s="105" t="str">
        <f t="shared" si="19"/>
        <v>R</v>
      </c>
      <c r="Z106" s="105" t="str">
        <f t="shared" si="19"/>
        <v>F</v>
      </c>
      <c r="AA106" s="105" t="str">
        <f t="shared" si="19"/>
        <v>S</v>
      </c>
      <c r="AB106" s="105" t="str">
        <f t="shared" si="19"/>
        <v>S</v>
      </c>
      <c r="AC106" s="105" t="str">
        <f t="shared" si="19"/>
        <v>M</v>
      </c>
      <c r="AD106" s="105" t="str">
        <f t="shared" si="19"/>
        <v>T</v>
      </c>
      <c r="AE106" s="105" t="str">
        <f t="shared" si="19"/>
        <v>W</v>
      </c>
      <c r="AF106" s="105" t="str">
        <f t="shared" si="19"/>
        <v>R</v>
      </c>
      <c r="AG106" s="105" t="str">
        <f t="shared" si="19"/>
        <v>F</v>
      </c>
      <c r="AH106" s="1"/>
      <c r="AI106" s="117"/>
      <c r="AJ106" s="118"/>
      <c r="AK106" s="1"/>
      <c r="AL106" s="24"/>
      <c r="AN106" s="1"/>
      <c r="AO106" s="1"/>
      <c r="AP106" s="1"/>
      <c r="AQ106" s="1"/>
      <c r="AR106" s="1"/>
      <c r="AS106" s="1"/>
    </row>
    <row r="107" spans="1:45" ht="12.75" customHeight="1" thickBot="1" x14ac:dyDescent="0.3">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205</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207</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208</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209</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210</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212</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216</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217</v>
      </c>
      <c r="B124" s="76"/>
      <c r="C124" s="77"/>
      <c r="D124" s="77"/>
      <c r="E124" s="78"/>
      <c r="G124" s="75" t="s">
        <v>218</v>
      </c>
      <c r="H124" s="75"/>
      <c r="I124" s="76"/>
      <c r="J124" s="77"/>
      <c r="K124" s="77"/>
      <c r="L124" s="78"/>
      <c r="M124" s="9"/>
      <c r="N124" s="9"/>
      <c r="O124" s="1"/>
      <c r="P124" s="1"/>
    </row>
    <row r="125" spans="1:39" ht="12.75" customHeight="1" thickTop="1" x14ac:dyDescent="0.2">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
      <c r="A126" s="153">
        <v>36678</v>
      </c>
      <c r="B126" s="24" t="s">
        <v>493</v>
      </c>
      <c r="C126" s="24"/>
      <c r="D126" s="38"/>
      <c r="E126" s="141">
        <v>1333</v>
      </c>
      <c r="G126" s="81"/>
      <c r="H126" s="24"/>
      <c r="I126" s="1"/>
      <c r="J126" s="1"/>
      <c r="K126" s="38"/>
      <c r="L126" s="141">
        <v>2286001</v>
      </c>
      <c r="M126" s="1"/>
      <c r="N126" s="1"/>
      <c r="O126" s="1"/>
      <c r="P126" s="1"/>
    </row>
    <row r="127" spans="1:39" ht="12.75" customHeight="1" x14ac:dyDescent="0.2">
      <c r="A127" s="153">
        <v>36708</v>
      </c>
      <c r="B127" s="24" t="s">
        <v>494</v>
      </c>
      <c r="C127" s="24"/>
      <c r="D127" s="38"/>
      <c r="E127" s="141">
        <v>3795</v>
      </c>
      <c r="G127" s="81">
        <v>36831</v>
      </c>
      <c r="H127" s="24"/>
      <c r="I127" s="1"/>
      <c r="J127" s="1"/>
      <c r="K127" s="38"/>
      <c r="L127" s="141">
        <v>204553</v>
      </c>
      <c r="M127" s="1"/>
      <c r="N127" s="1"/>
      <c r="O127" s="1"/>
      <c r="P127" s="1"/>
    </row>
    <row r="128" spans="1:39" ht="12.75" customHeight="1" x14ac:dyDescent="0.2">
      <c r="A128" s="153">
        <v>36739</v>
      </c>
      <c r="B128" s="24" t="s">
        <v>499</v>
      </c>
      <c r="C128" s="24"/>
      <c r="D128" s="38"/>
      <c r="E128" s="141">
        <v>5376</v>
      </c>
      <c r="G128" s="81">
        <v>36832</v>
      </c>
      <c r="H128" s="24"/>
      <c r="I128" s="1"/>
      <c r="J128" s="1"/>
      <c r="K128" s="38"/>
      <c r="L128" s="141">
        <v>630325</v>
      </c>
      <c r="M128" s="1"/>
      <c r="N128" s="1"/>
      <c r="O128" s="1"/>
      <c r="P128" s="1"/>
    </row>
    <row r="129" spans="1:16" ht="12.75" customHeight="1" x14ac:dyDescent="0.2">
      <c r="A129" s="153">
        <v>36770</v>
      </c>
      <c r="B129" s="24" t="s">
        <v>510</v>
      </c>
      <c r="C129" s="24"/>
      <c r="D129" s="38"/>
      <c r="E129" s="142">
        <v>5554</v>
      </c>
      <c r="G129" s="81">
        <v>36833</v>
      </c>
      <c r="H129" s="24"/>
      <c r="I129" s="1"/>
      <c r="J129" s="1"/>
      <c r="K129" s="38"/>
      <c r="L129" s="141">
        <v>-3289</v>
      </c>
      <c r="M129" s="1"/>
      <c r="N129" s="1"/>
      <c r="O129" s="1"/>
      <c r="P129" s="1"/>
    </row>
    <row r="130" spans="1:16" ht="12.75" customHeight="1" x14ac:dyDescent="0.2">
      <c r="A130" s="153">
        <v>36800</v>
      </c>
      <c r="B130" s="24" t="s">
        <v>519</v>
      </c>
      <c r="C130" s="24"/>
      <c r="D130" s="38"/>
      <c r="E130" s="142">
        <v>6427</v>
      </c>
      <c r="G130" s="81">
        <v>36834</v>
      </c>
      <c r="H130" s="24"/>
      <c r="I130" s="1"/>
      <c r="J130" s="1"/>
      <c r="K130" s="38"/>
      <c r="L130" s="852"/>
      <c r="M130" s="1"/>
      <c r="N130" s="1"/>
      <c r="O130" s="1"/>
      <c r="P130" s="1"/>
    </row>
    <row r="131" spans="1:16" ht="12.75" customHeight="1" x14ac:dyDescent="0.2">
      <c r="A131" s="153"/>
      <c r="B131" s="24"/>
      <c r="C131" s="24"/>
      <c r="D131" s="38"/>
      <c r="E131" s="141"/>
      <c r="G131" s="81">
        <v>36835</v>
      </c>
      <c r="H131" s="24"/>
      <c r="I131" s="1"/>
      <c r="J131" s="1"/>
      <c r="K131" s="38"/>
      <c r="L131" s="852"/>
      <c r="M131" s="1"/>
      <c r="N131" s="1"/>
      <c r="O131" s="1"/>
      <c r="P131" s="1"/>
    </row>
    <row r="132" spans="1:16" ht="12.75" customHeight="1" x14ac:dyDescent="0.2">
      <c r="A132" s="153"/>
      <c r="B132" s="24"/>
      <c r="C132" s="82"/>
      <c r="D132" s="140"/>
      <c r="E132" s="142"/>
      <c r="G132" s="81">
        <v>36836</v>
      </c>
      <c r="H132" s="1"/>
      <c r="I132" s="1"/>
      <c r="J132" s="1"/>
      <c r="K132" s="149"/>
      <c r="L132" s="142">
        <v>-321366</v>
      </c>
      <c r="M132" s="1"/>
      <c r="N132" s="1"/>
      <c r="O132" s="1"/>
      <c r="P132" s="1"/>
    </row>
    <row r="133" spans="1:16" ht="12.75" customHeight="1" x14ac:dyDescent="0.2">
      <c r="A133" s="153"/>
      <c r="B133" s="24"/>
      <c r="C133" s="82"/>
      <c r="D133" s="140"/>
      <c r="E133" s="142"/>
      <c r="G133" s="81">
        <v>36837</v>
      </c>
      <c r="H133" s="24"/>
      <c r="I133" s="1"/>
      <c r="J133" s="1"/>
      <c r="K133" s="38"/>
      <c r="L133" s="142">
        <v>-303184</v>
      </c>
      <c r="M133" s="1"/>
      <c r="N133" s="1"/>
      <c r="O133" s="1"/>
      <c r="P133" s="1"/>
    </row>
    <row r="134" spans="1:16" ht="12.75" customHeight="1" x14ac:dyDescent="0.2">
      <c r="A134" s="153"/>
      <c r="B134" s="24"/>
      <c r="C134" s="82"/>
      <c r="D134" s="140"/>
      <c r="E134" s="142"/>
      <c r="G134" s="81">
        <v>36838</v>
      </c>
      <c r="H134" s="24"/>
      <c r="I134" s="1"/>
      <c r="J134" s="1"/>
      <c r="K134" s="38"/>
      <c r="L134" s="141">
        <v>-724857</v>
      </c>
      <c r="M134" s="43"/>
      <c r="N134" s="42"/>
      <c r="O134" s="1"/>
      <c r="P134" s="1"/>
    </row>
    <row r="135" spans="1:16" ht="12.75" customHeight="1" x14ac:dyDescent="0.2">
      <c r="A135" s="153"/>
      <c r="B135" s="24"/>
      <c r="C135" s="24"/>
      <c r="D135" s="38"/>
      <c r="E135" s="141"/>
      <c r="G135" s="81">
        <v>36839</v>
      </c>
      <c r="H135" s="24"/>
      <c r="I135" s="1"/>
      <c r="J135" s="1"/>
      <c r="K135" s="38"/>
      <c r="L135" s="141">
        <v>56697</v>
      </c>
      <c r="M135" s="43"/>
      <c r="N135" s="1"/>
      <c r="O135" s="1"/>
      <c r="P135" s="1"/>
    </row>
    <row r="136" spans="1:16" ht="12.75" customHeight="1" x14ac:dyDescent="0.2">
      <c r="A136" s="153"/>
      <c r="B136" s="24"/>
      <c r="C136" s="24"/>
      <c r="D136" s="38"/>
      <c r="E136" s="141"/>
      <c r="G136" s="81">
        <v>36840</v>
      </c>
      <c r="H136" s="24"/>
      <c r="I136" s="1"/>
      <c r="J136" s="1"/>
      <c r="K136" s="38"/>
      <c r="L136" s="141">
        <v>119638</v>
      </c>
      <c r="M136" s="1"/>
      <c r="N136" s="43"/>
      <c r="O136" s="1"/>
      <c r="P136" s="1"/>
    </row>
    <row r="137" spans="1:16" ht="12.75" customHeight="1" x14ac:dyDescent="0.2">
      <c r="A137" s="153"/>
      <c r="B137" s="24"/>
      <c r="C137" s="24"/>
      <c r="D137" s="38"/>
      <c r="E137" s="141"/>
      <c r="G137" s="81">
        <v>36841</v>
      </c>
      <c r="H137" s="24"/>
      <c r="I137" s="1"/>
      <c r="J137" s="1"/>
      <c r="K137" s="38"/>
      <c r="L137" s="141"/>
      <c r="M137" s="1"/>
      <c r="N137" s="43"/>
      <c r="O137" s="1"/>
      <c r="P137" s="1"/>
    </row>
    <row r="138" spans="1:16" ht="12.75" customHeight="1" x14ac:dyDescent="0.2">
      <c r="A138" s="153"/>
      <c r="B138" s="24"/>
      <c r="C138" s="83"/>
      <c r="D138" s="38"/>
      <c r="E138" s="141"/>
      <c r="G138" s="81">
        <v>36842</v>
      </c>
      <c r="H138" s="24"/>
      <c r="I138" s="1"/>
      <c r="J138" s="1"/>
      <c r="K138" s="38"/>
      <c r="L138" s="141"/>
      <c r="M138" s="1"/>
      <c r="N138" s="1"/>
      <c r="O138" s="1"/>
      <c r="P138" s="1"/>
    </row>
    <row r="139" spans="1:16" ht="12.75" customHeight="1" x14ac:dyDescent="0.2">
      <c r="A139" s="153"/>
      <c r="B139" s="24"/>
      <c r="C139" s="1"/>
      <c r="D139" s="49"/>
      <c r="E139" s="141"/>
      <c r="G139" s="81">
        <v>36843</v>
      </c>
      <c r="H139" s="24"/>
      <c r="I139" s="1"/>
      <c r="J139" s="1"/>
      <c r="K139" s="38"/>
      <c r="L139" s="141">
        <v>302237</v>
      </c>
      <c r="M139" s="1"/>
      <c r="N139" s="1"/>
      <c r="O139" s="1"/>
      <c r="P139" s="1"/>
    </row>
    <row r="140" spans="1:16" ht="12.75" customHeight="1" x14ac:dyDescent="0.2">
      <c r="A140" s="153"/>
      <c r="B140" s="1"/>
      <c r="C140" s="1"/>
      <c r="D140" s="38"/>
      <c r="E140" s="141"/>
      <c r="G140" s="81">
        <v>36844</v>
      </c>
      <c r="H140" s="24"/>
      <c r="I140" s="1"/>
      <c r="J140" s="1"/>
      <c r="K140" s="38"/>
      <c r="L140" s="141">
        <v>753481</v>
      </c>
      <c r="M140" s="1"/>
      <c r="N140" s="1"/>
      <c r="O140" s="1"/>
      <c r="P140" s="1"/>
    </row>
    <row r="141" spans="1:16" ht="12.75" customHeight="1" x14ac:dyDescent="0.2">
      <c r="A141" s="153"/>
      <c r="B141" s="1"/>
      <c r="C141" s="1"/>
      <c r="D141" s="38"/>
      <c r="E141" s="141"/>
      <c r="G141" s="81">
        <v>36845</v>
      </c>
      <c r="H141" s="24"/>
      <c r="I141" s="1"/>
      <c r="J141" s="1"/>
      <c r="K141" s="38"/>
      <c r="L141" s="141">
        <v>310901</v>
      </c>
      <c r="M141" s="1"/>
      <c r="N141" s="1"/>
      <c r="O141" s="1"/>
      <c r="P141" s="1"/>
    </row>
    <row r="142" spans="1:16" ht="12.75" customHeight="1" x14ac:dyDescent="0.2">
      <c r="A142" s="153"/>
      <c r="B142" s="24"/>
      <c r="C142" s="24"/>
      <c r="D142" s="38"/>
      <c r="E142" s="141"/>
      <c r="G142" s="81">
        <v>36846</v>
      </c>
      <c r="H142" s="24"/>
      <c r="I142" s="1"/>
      <c r="J142" s="1"/>
      <c r="K142" s="38"/>
      <c r="L142" s="141">
        <v>-1888728</v>
      </c>
      <c r="M142" s="1"/>
      <c r="N142" s="1"/>
      <c r="O142" s="1"/>
      <c r="P142" s="1"/>
    </row>
    <row r="143" spans="1:16" ht="12.75" customHeight="1" x14ac:dyDescent="0.2">
      <c r="A143" s="153"/>
      <c r="B143" s="24"/>
      <c r="C143" s="24"/>
      <c r="D143" s="38"/>
      <c r="E143" s="141"/>
      <c r="G143" s="81">
        <v>36847</v>
      </c>
      <c r="H143" s="24"/>
      <c r="I143" s="1"/>
      <c r="J143" s="1"/>
      <c r="K143" s="38"/>
      <c r="L143" s="141">
        <v>336023</v>
      </c>
      <c r="M143" s="1"/>
      <c r="N143" s="1"/>
      <c r="O143" s="1"/>
      <c r="P143" s="1"/>
    </row>
    <row r="144" spans="1:16" ht="12.75" customHeight="1" x14ac:dyDescent="0.2">
      <c r="A144" s="153"/>
      <c r="B144" s="24"/>
      <c r="C144" s="24"/>
      <c r="D144" s="38"/>
      <c r="E144" s="141"/>
      <c r="G144" s="81">
        <v>36848</v>
      </c>
      <c r="H144" s="24"/>
      <c r="I144" s="1"/>
      <c r="J144" s="1"/>
      <c r="K144" s="38"/>
      <c r="L144" s="141"/>
      <c r="M144" s="1"/>
      <c r="N144" s="1"/>
      <c r="O144" s="1"/>
      <c r="P144" s="1"/>
    </row>
    <row r="145" spans="1:16" ht="12.75" customHeight="1" x14ac:dyDescent="0.2">
      <c r="A145" s="153"/>
      <c r="B145" s="24"/>
      <c r="C145" s="24"/>
      <c r="D145" s="38"/>
      <c r="E145" s="141"/>
      <c r="G145" s="81">
        <v>36849</v>
      </c>
      <c r="H145" s="24"/>
      <c r="I145" s="1"/>
      <c r="J145" s="1"/>
      <c r="K145" s="38"/>
      <c r="L145" s="141"/>
      <c r="M145" s="1"/>
      <c r="N145" s="1"/>
      <c r="O145" s="1"/>
      <c r="P145" s="1"/>
    </row>
    <row r="146" spans="1:16" ht="12.75" customHeight="1" x14ac:dyDescent="0.2">
      <c r="A146" s="153"/>
      <c r="B146" s="24"/>
      <c r="C146" s="24"/>
      <c r="D146" s="38"/>
      <c r="E146" s="141"/>
      <c r="G146" s="81">
        <v>36850</v>
      </c>
      <c r="H146" s="24"/>
      <c r="I146" s="1"/>
      <c r="J146" s="1"/>
      <c r="K146" s="38"/>
      <c r="L146" s="141"/>
      <c r="M146" s="1"/>
      <c r="N146" s="1"/>
      <c r="O146" s="1"/>
      <c r="P146" s="1"/>
    </row>
    <row r="147" spans="1:16" ht="12.75" customHeight="1" x14ac:dyDescent="0.2">
      <c r="A147" s="153"/>
      <c r="B147" s="24"/>
      <c r="C147" s="24"/>
      <c r="D147" s="38"/>
      <c r="E147" s="141"/>
      <c r="G147" s="81">
        <v>36851</v>
      </c>
      <c r="H147" s="24"/>
      <c r="I147" s="1"/>
      <c r="J147" s="1"/>
      <c r="K147" s="38"/>
      <c r="L147" s="141"/>
      <c r="M147" s="1"/>
      <c r="N147" s="1"/>
      <c r="O147" s="1"/>
      <c r="P147" s="1"/>
    </row>
    <row r="148" spans="1:16" ht="12.75" customHeight="1" x14ac:dyDescent="0.2">
      <c r="A148" s="153"/>
      <c r="B148" s="24"/>
      <c r="C148" s="24"/>
      <c r="D148" s="38"/>
      <c r="E148" s="141"/>
      <c r="G148" s="81">
        <v>36852</v>
      </c>
      <c r="H148" s="24"/>
      <c r="I148" s="1"/>
      <c r="J148" s="1"/>
      <c r="K148" s="38"/>
      <c r="L148" s="141"/>
      <c r="M148" s="1"/>
      <c r="N148" s="1"/>
      <c r="O148" s="1"/>
      <c r="P148" s="1"/>
    </row>
    <row r="149" spans="1:16" ht="12.75" customHeight="1" x14ac:dyDescent="0.2">
      <c r="A149" s="153"/>
      <c r="B149" s="24"/>
      <c r="C149" s="24"/>
      <c r="D149" s="38"/>
      <c r="E149" s="141"/>
      <c r="G149" s="81">
        <v>36853</v>
      </c>
      <c r="H149" s="24"/>
      <c r="I149" s="1"/>
      <c r="J149" s="1"/>
      <c r="K149" s="38"/>
      <c r="L149" s="141"/>
      <c r="M149" s="1"/>
      <c r="N149" s="1"/>
      <c r="O149" s="1"/>
      <c r="P149" s="1"/>
    </row>
    <row r="150" spans="1:16" ht="12.75" customHeight="1" x14ac:dyDescent="0.2">
      <c r="A150" s="153"/>
      <c r="B150" s="24"/>
      <c r="C150" s="24"/>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t="s">
        <v>523</v>
      </c>
      <c r="H156" s="24"/>
      <c r="I156" s="1"/>
      <c r="J156" s="1"/>
      <c r="K156" s="38"/>
      <c r="L156" s="141">
        <f>-2139+54374</f>
        <v>52235</v>
      </c>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1"/>
      <c r="M158" s="1"/>
      <c r="N158" s="1"/>
      <c r="O158" s="1"/>
      <c r="P158" s="1"/>
    </row>
    <row r="159" spans="1:16" ht="12.75" customHeight="1" thickBot="1" x14ac:dyDescent="0.25">
      <c r="A159" s="63"/>
      <c r="B159" s="24"/>
      <c r="C159" s="24"/>
      <c r="D159" s="145" t="s">
        <v>241</v>
      </c>
      <c r="E159" s="144">
        <f>SUM(E126:E158)</f>
        <v>22485</v>
      </c>
      <c r="G159" s="81"/>
      <c r="H159" s="24"/>
      <c r="I159" s="1"/>
      <c r="J159" s="1"/>
      <c r="K159" s="38"/>
      <c r="L159" s="143"/>
      <c r="M159" s="1"/>
      <c r="N159" s="1"/>
      <c r="O159" s="1"/>
      <c r="P159" s="1"/>
    </row>
    <row r="160" spans="1:16" ht="12.75" customHeight="1" thickTop="1" thickBot="1" x14ac:dyDescent="0.25">
      <c r="A160" s="71"/>
      <c r="B160" s="72"/>
      <c r="C160" s="72"/>
      <c r="D160" s="72"/>
      <c r="E160" s="73"/>
      <c r="G160" s="63"/>
      <c r="H160" s="24"/>
      <c r="I160" s="1"/>
      <c r="J160" s="1"/>
      <c r="K160" s="145" t="s">
        <v>242</v>
      </c>
      <c r="L160" s="838">
        <f>SUM(L126:L159)</f>
        <v>1810667</v>
      </c>
      <c r="M160" s="1"/>
      <c r="N160" s="1"/>
      <c r="O160" s="1"/>
      <c r="P160" s="1"/>
    </row>
    <row r="161" spans="1:39" ht="12.75" customHeight="1" thickTop="1" thickBot="1" x14ac:dyDescent="0.25">
      <c r="G161" s="71"/>
      <c r="H161" s="72"/>
      <c r="I161" s="72"/>
      <c r="J161" s="72"/>
      <c r="K161" s="72"/>
      <c r="L161" s="73"/>
      <c r="AJ161" s="1"/>
      <c r="AK161" s="1"/>
      <c r="AL161" s="1"/>
      <c r="AM161" s="1"/>
    </row>
    <row r="162" spans="1:39" ht="12.75" customHeight="1" thickTop="1" thickBot="1" x14ac:dyDescent="0.25">
      <c r="AJ162" s="1"/>
      <c r="AK162" s="1"/>
      <c r="AL162" s="1"/>
      <c r="AM162" s="1"/>
    </row>
    <row r="163" spans="1:39" ht="12.75" customHeight="1" thickTop="1" thickBot="1" x14ac:dyDescent="0.25">
      <c r="A163" s="75" t="s">
        <v>243</v>
      </c>
      <c r="B163" s="77"/>
      <c r="C163" s="77"/>
      <c r="D163" s="77"/>
      <c r="E163" s="78"/>
      <c r="AJ163" s="1"/>
      <c r="AK163" s="1"/>
      <c r="AL163" s="1"/>
      <c r="AM163" s="1"/>
    </row>
    <row r="164" spans="1:39" ht="12.75" customHeight="1" thickTop="1" x14ac:dyDescent="0.2">
      <c r="A164" s="136" t="s">
        <v>219</v>
      </c>
      <c r="B164" s="137" t="s">
        <v>220</v>
      </c>
      <c r="C164" s="138"/>
      <c r="D164" s="139"/>
      <c r="E164" s="210" t="s">
        <v>221</v>
      </c>
      <c r="AJ164" s="1"/>
      <c r="AK164" s="1"/>
      <c r="AL164" s="1"/>
      <c r="AM164" s="1"/>
    </row>
    <row r="165" spans="1:39" ht="12.75" customHeight="1" x14ac:dyDescent="0.2">
      <c r="A165" s="221"/>
      <c r="B165" s="24"/>
      <c r="C165" s="24"/>
      <c r="D165" s="38"/>
      <c r="E165" s="141"/>
      <c r="AJ165" s="1"/>
      <c r="AK165" s="1"/>
      <c r="AL165" s="1"/>
      <c r="AM165" s="1"/>
    </row>
    <row r="166" spans="1:39" ht="12.75" customHeight="1" x14ac:dyDescent="0.2">
      <c r="A166" s="221"/>
      <c r="B166" s="24"/>
      <c r="C166" s="24"/>
      <c r="D166" s="38"/>
      <c r="E166" s="141"/>
      <c r="AJ166" s="1"/>
      <c r="AK166" s="1"/>
      <c r="AL166" s="1"/>
      <c r="AM166" s="1"/>
    </row>
    <row r="167" spans="1:39" ht="12.75" customHeight="1" x14ac:dyDescent="0.2">
      <c r="A167" s="221"/>
      <c r="B167" s="24"/>
      <c r="C167" s="24"/>
      <c r="D167" s="38"/>
      <c r="E167" s="141"/>
      <c r="AJ167" s="1"/>
      <c r="AK167" s="1"/>
      <c r="AL167" s="1"/>
      <c r="AM167" s="1"/>
    </row>
    <row r="168" spans="1:39" ht="12.75" customHeight="1" x14ac:dyDescent="0.2">
      <c r="A168" s="221"/>
      <c r="B168" s="24"/>
      <c r="C168" s="24"/>
      <c r="D168" s="38"/>
      <c r="E168" s="142"/>
      <c r="AJ168" s="1"/>
      <c r="AK168" s="1"/>
      <c r="AL168" s="1"/>
      <c r="AM168" s="1"/>
    </row>
    <row r="169" spans="1:39" ht="12.75" customHeight="1" x14ac:dyDescent="0.2">
      <c r="A169" s="221"/>
      <c r="B169" s="24"/>
      <c r="C169" s="24"/>
      <c r="D169" s="38"/>
      <c r="E169" s="141"/>
      <c r="AJ169" s="1"/>
      <c r="AK169" s="1"/>
      <c r="AL169" s="1"/>
      <c r="AM169" s="1"/>
    </row>
    <row r="170" spans="1:39" ht="12.75" customHeight="1" x14ac:dyDescent="0.2">
      <c r="A170" s="221"/>
      <c r="B170" s="24"/>
      <c r="C170" s="24"/>
      <c r="D170" s="38"/>
      <c r="E170" s="141"/>
      <c r="AJ170" s="1"/>
      <c r="AK170" s="1"/>
      <c r="AL170" s="1"/>
      <c r="AM170" s="1"/>
    </row>
    <row r="171" spans="1:39" ht="12.75" customHeight="1" x14ac:dyDescent="0.2">
      <c r="A171" s="221"/>
      <c r="B171" s="24"/>
      <c r="C171" s="82"/>
      <c r="D171" s="140"/>
      <c r="E171" s="142"/>
      <c r="AJ171" s="1"/>
      <c r="AK171" s="1"/>
      <c r="AL171" s="1"/>
      <c r="AM171" s="1"/>
    </row>
    <row r="172" spans="1:39" ht="12.75" customHeight="1" x14ac:dyDescent="0.2">
      <c r="A172" s="221"/>
      <c r="B172" s="80"/>
      <c r="C172" s="82"/>
      <c r="D172" s="140"/>
      <c r="E172" s="142"/>
      <c r="AJ172" s="1"/>
      <c r="AK172" s="1"/>
      <c r="AL172" s="1"/>
      <c r="AM172" s="1"/>
    </row>
    <row r="173" spans="1:39" ht="12.75" customHeight="1" x14ac:dyDescent="0.2">
      <c r="A173" s="221"/>
      <c r="B173" s="80"/>
      <c r="C173" s="24"/>
      <c r="D173" s="38"/>
      <c r="E173" s="141"/>
      <c r="AJ173" s="1"/>
      <c r="AK173" s="1"/>
      <c r="AL173" s="1"/>
      <c r="AM173" s="1"/>
    </row>
    <row r="174" spans="1:39" ht="12.75" customHeight="1" x14ac:dyDescent="0.2">
      <c r="A174" s="221"/>
      <c r="B174" s="24"/>
      <c r="C174" s="24"/>
      <c r="D174" s="38"/>
      <c r="E174" s="141"/>
      <c r="AJ174" s="1"/>
      <c r="AK174" s="1"/>
      <c r="AL174" s="1"/>
      <c r="AM174" s="1"/>
    </row>
    <row r="175" spans="1:39" ht="12.75" customHeight="1" x14ac:dyDescent="0.2">
      <c r="A175" s="221"/>
      <c r="B175" s="24"/>
      <c r="C175" s="24"/>
      <c r="D175" s="38"/>
      <c r="E175" s="142"/>
      <c r="AJ175" s="1"/>
      <c r="AK175" s="1"/>
      <c r="AL175" s="1"/>
      <c r="AM175" s="1"/>
    </row>
    <row r="176" spans="1:39" ht="12.75" customHeight="1" x14ac:dyDescent="0.2">
      <c r="A176" s="221"/>
      <c r="B176" s="24"/>
      <c r="C176" s="24"/>
      <c r="D176" s="38"/>
      <c r="E176" s="141"/>
      <c r="AJ176" s="1"/>
      <c r="AK176" s="1"/>
      <c r="AL176" s="1"/>
      <c r="AM176" s="1"/>
    </row>
    <row r="177" spans="1:39" ht="12.75" customHeight="1" x14ac:dyDescent="0.2">
      <c r="A177" s="221"/>
      <c r="B177" s="24"/>
      <c r="C177" s="24"/>
      <c r="D177" s="38"/>
      <c r="E177" s="141"/>
      <c r="AJ177" s="1"/>
      <c r="AK177" s="1"/>
      <c r="AL177" s="1"/>
      <c r="AM177" s="1"/>
    </row>
    <row r="178" spans="1:39" ht="12.75" customHeight="1" x14ac:dyDescent="0.2">
      <c r="A178" s="221"/>
      <c r="B178" s="9"/>
      <c r="C178" s="82"/>
      <c r="D178" s="140"/>
      <c r="E178" s="142"/>
      <c r="AJ178" s="1"/>
      <c r="AK178" s="1"/>
      <c r="AL178" s="1"/>
      <c r="AM178" s="1"/>
    </row>
    <row r="179" spans="1:39" ht="12.75" customHeight="1" x14ac:dyDescent="0.2">
      <c r="A179" s="221"/>
      <c r="B179" s="9"/>
      <c r="C179" s="82"/>
      <c r="D179" s="140"/>
      <c r="E179" s="142"/>
      <c r="AJ179" s="1"/>
      <c r="AK179" s="1"/>
      <c r="AL179" s="1"/>
      <c r="AM179" s="1"/>
    </row>
    <row r="180" spans="1:39" ht="12.75" customHeight="1" x14ac:dyDescent="0.2">
      <c r="A180" s="221"/>
      <c r="B180" s="9"/>
      <c r="C180" s="82"/>
      <c r="D180" s="140"/>
      <c r="E180" s="141"/>
      <c r="AJ180" s="1"/>
      <c r="AK180" s="1"/>
      <c r="AL180" s="1"/>
      <c r="AM180" s="1"/>
    </row>
    <row r="181" spans="1:39" ht="12.75" customHeight="1" x14ac:dyDescent="0.2">
      <c r="A181" s="221"/>
      <c r="B181" s="24"/>
      <c r="C181" s="24"/>
      <c r="D181" s="38"/>
      <c r="E181" s="141"/>
      <c r="AJ181" s="1"/>
      <c r="AK181" s="1"/>
      <c r="AL181" s="1"/>
      <c r="AM181" s="1"/>
    </row>
    <row r="182" spans="1:39" ht="12.75" customHeight="1" x14ac:dyDescent="0.2">
      <c r="A182" s="221"/>
      <c r="B182" s="24"/>
      <c r="C182" s="24"/>
      <c r="D182" s="38"/>
      <c r="E182" s="141"/>
      <c r="AJ182" s="1"/>
      <c r="AK182" s="1"/>
      <c r="AL182" s="1"/>
      <c r="AM182" s="1"/>
    </row>
    <row r="183" spans="1:39" ht="12.75" customHeight="1" x14ac:dyDescent="0.2">
      <c r="A183" s="221"/>
      <c r="B183" s="24"/>
      <c r="C183" s="24"/>
      <c r="D183" s="38"/>
      <c r="E183" s="141"/>
      <c r="AJ183" s="1"/>
      <c r="AK183" s="1"/>
      <c r="AL183" s="1"/>
      <c r="AM183" s="1"/>
    </row>
    <row r="184" spans="1:39" ht="12.75" customHeight="1" x14ac:dyDescent="0.2">
      <c r="A184" s="221"/>
      <c r="B184" s="24"/>
      <c r="C184" s="24"/>
      <c r="D184" s="38"/>
      <c r="E184" s="143"/>
      <c r="AJ184" s="1"/>
      <c r="AK184" s="1"/>
      <c r="AL184" s="1"/>
      <c r="AM184" s="1"/>
    </row>
    <row r="185" spans="1:39" ht="12.75" customHeight="1" thickBot="1" x14ac:dyDescent="0.25">
      <c r="A185" s="222"/>
      <c r="B185" s="24"/>
      <c r="C185" s="24"/>
      <c r="D185" s="145" t="s">
        <v>244</v>
      </c>
      <c r="E185" s="144">
        <f>SUM(E165:E184)</f>
        <v>0</v>
      </c>
      <c r="AJ185" s="1"/>
      <c r="AK185" s="1"/>
      <c r="AL185" s="1"/>
      <c r="AM185" s="1"/>
    </row>
    <row r="186" spans="1:39" ht="12.75" customHeight="1" thickTop="1" thickBot="1" x14ac:dyDescent="0.25">
      <c r="A186" s="220"/>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thickBot="1" x14ac:dyDescent="0.25">
      <c r="A189" s="84" t="s">
        <v>245</v>
      </c>
      <c r="B189" s="59"/>
      <c r="C189" s="59"/>
      <c r="D189" s="59"/>
      <c r="E189" s="59"/>
      <c r="F189" s="59"/>
      <c r="M189" s="60"/>
      <c r="O189" s="1"/>
      <c r="P189" s="1"/>
      <c r="Q189" s="1"/>
      <c r="R189" s="1"/>
    </row>
    <row r="190" spans="1:39" ht="12.75" customHeight="1" thickTop="1" x14ac:dyDescent="0.2">
      <c r="A190" s="85" t="s">
        <v>246</v>
      </c>
      <c r="B190" s="86" t="s">
        <v>219</v>
      </c>
      <c r="C190" s="87" t="s">
        <v>247</v>
      </c>
      <c r="D190" s="88" t="s">
        <v>248</v>
      </c>
      <c r="E190" s="135" t="s">
        <v>220</v>
      </c>
      <c r="F190" s="89"/>
      <c r="G190" s="59"/>
      <c r="H190" s="59"/>
      <c r="I190" s="59"/>
      <c r="J190" s="59"/>
      <c r="K190" s="59"/>
      <c r="L190" s="59"/>
      <c r="M190" s="211" t="s">
        <v>221</v>
      </c>
      <c r="O190" s="1"/>
      <c r="P190" s="1"/>
      <c r="Q190" s="1"/>
      <c r="R190" s="1"/>
    </row>
    <row r="191" spans="1:39" ht="12.75" customHeight="1" x14ac:dyDescent="0.2">
      <c r="A191" s="227"/>
      <c r="B191" s="134"/>
      <c r="C191" s="224"/>
      <c r="D191" s="38"/>
      <c r="E191" s="24"/>
      <c r="F191" s="24"/>
      <c r="G191" s="89"/>
      <c r="H191" s="89"/>
      <c r="I191" s="89"/>
      <c r="J191" s="89"/>
      <c r="K191" s="89"/>
      <c r="L191" s="89"/>
      <c r="M191" s="91"/>
      <c r="O191" s="1"/>
      <c r="P191" s="1"/>
      <c r="Q191" s="1"/>
      <c r="R191" s="1"/>
    </row>
    <row r="192" spans="1:39" ht="12.75" customHeight="1" x14ac:dyDescent="0.2">
      <c r="A192" s="227"/>
      <c r="B192" s="134"/>
      <c r="C192" s="224"/>
      <c r="D192" s="38"/>
      <c r="E192" s="24"/>
      <c r="F192" s="24"/>
      <c r="G192" s="24"/>
      <c r="H192" s="24"/>
      <c r="I192" s="24"/>
      <c r="J192" s="24"/>
      <c r="K192" s="24"/>
      <c r="L192" s="24"/>
      <c r="M192" s="91"/>
      <c r="O192" s="1"/>
      <c r="P192" s="1"/>
      <c r="Q192" s="1"/>
      <c r="R192" s="1"/>
    </row>
    <row r="193" spans="1:18" ht="12.75" customHeight="1" x14ac:dyDescent="0.2">
      <c r="A193" s="227"/>
      <c r="B193" s="134"/>
      <c r="C193" s="224"/>
      <c r="D193" s="38"/>
      <c r="E193" s="24"/>
      <c r="F193" s="24"/>
      <c r="G193" s="24"/>
      <c r="H193" s="24"/>
      <c r="I193" s="24"/>
      <c r="J193" s="24"/>
      <c r="K193" s="24"/>
      <c r="L193" s="24"/>
      <c r="M193" s="91"/>
      <c r="O193" s="1"/>
      <c r="P193" s="1"/>
      <c r="Q193" s="1"/>
      <c r="R193" s="1"/>
    </row>
    <row r="194" spans="1:18" ht="12.75" customHeight="1" x14ac:dyDescent="0.2">
      <c r="A194" s="227"/>
      <c r="B194" s="134"/>
      <c r="C194" s="224"/>
      <c r="D194" s="38"/>
      <c r="E194" s="24"/>
      <c r="F194" s="24"/>
      <c r="G194" s="24"/>
      <c r="H194" s="24"/>
      <c r="I194" s="24"/>
      <c r="J194" s="24"/>
      <c r="K194" s="24"/>
      <c r="L194" s="24"/>
      <c r="M194" s="91"/>
      <c r="O194" s="1"/>
      <c r="P194" s="1"/>
      <c r="Q194" s="1"/>
      <c r="R194" s="1"/>
    </row>
    <row r="195" spans="1:18" ht="12.75" customHeight="1" x14ac:dyDescent="0.2">
      <c r="A195" s="227"/>
      <c r="B195" s="134"/>
      <c r="C195" s="224"/>
      <c r="D195" s="38"/>
      <c r="E195" s="24"/>
      <c r="F195" s="24"/>
      <c r="G195" s="24"/>
      <c r="H195" s="24"/>
      <c r="I195" s="24"/>
      <c r="J195" s="24"/>
      <c r="K195" s="24"/>
      <c r="L195" s="24"/>
      <c r="M195" s="91"/>
      <c r="O195" s="1"/>
      <c r="P195" s="1"/>
      <c r="Q195" s="1"/>
      <c r="R195" s="1"/>
    </row>
    <row r="196" spans="1:18" ht="12.75" customHeight="1" x14ac:dyDescent="0.2">
      <c r="A196" s="227"/>
      <c r="B196" s="134"/>
      <c r="C196" s="224"/>
      <c r="D196" s="38"/>
      <c r="E196" s="24"/>
      <c r="F196" s="24"/>
      <c r="G196" s="24"/>
      <c r="H196" s="24"/>
      <c r="I196" s="24"/>
      <c r="J196" s="24"/>
      <c r="K196" s="24"/>
      <c r="L196" s="24"/>
      <c r="M196" s="91"/>
    </row>
    <row r="197" spans="1:18" ht="12.75" customHeight="1" x14ac:dyDescent="0.2">
      <c r="A197" s="227"/>
      <c r="B197" s="134"/>
      <c r="C197" s="224"/>
      <c r="D197" s="38"/>
      <c r="E197" s="24"/>
      <c r="F197" s="24"/>
      <c r="G197" s="24"/>
      <c r="H197" s="24"/>
      <c r="I197" s="24"/>
      <c r="J197" s="24"/>
      <c r="K197" s="24"/>
      <c r="L197" s="24"/>
      <c r="M197" s="91"/>
    </row>
    <row r="198" spans="1:18" ht="12.75" customHeight="1" x14ac:dyDescent="0.2">
      <c r="A198" s="227"/>
      <c r="B198" s="134"/>
      <c r="C198" s="224"/>
      <c r="D198" s="38"/>
      <c r="E198" s="24"/>
      <c r="F198" s="24"/>
      <c r="G198" s="24"/>
      <c r="H198" s="24"/>
      <c r="I198" s="24"/>
      <c r="J198" s="24"/>
      <c r="K198" s="24"/>
      <c r="L198" s="24"/>
      <c r="M198" s="91"/>
    </row>
    <row r="199" spans="1:18" ht="12.75" customHeight="1" x14ac:dyDescent="0.2">
      <c r="A199" s="227"/>
      <c r="B199" s="134"/>
      <c r="C199" s="224"/>
      <c r="D199" s="38"/>
      <c r="E199" s="24"/>
      <c r="F199" s="24"/>
      <c r="G199" s="24"/>
      <c r="H199" s="24"/>
      <c r="I199" s="24"/>
      <c r="J199" s="24"/>
      <c r="K199" s="24"/>
      <c r="L199" s="24"/>
      <c r="M199" s="91"/>
    </row>
    <row r="200" spans="1:18" ht="12.75" customHeight="1" x14ac:dyDescent="0.2">
      <c r="A200" s="227"/>
      <c r="B200" s="134"/>
      <c r="C200" s="224"/>
      <c r="D200" s="38"/>
      <c r="E200" s="24"/>
      <c r="F200" s="24"/>
      <c r="G200" s="24"/>
      <c r="H200" s="24"/>
      <c r="I200" s="24"/>
      <c r="J200" s="24"/>
      <c r="K200" s="24"/>
      <c r="L200" s="24"/>
      <c r="M200" s="91"/>
    </row>
    <row r="201" spans="1:18" ht="12.75" customHeight="1" x14ac:dyDescent="0.2">
      <c r="A201" s="90"/>
      <c r="B201" s="134"/>
      <c r="C201" s="224"/>
      <c r="D201" s="38"/>
      <c r="E201" s="24"/>
      <c r="F201" s="24"/>
      <c r="G201" s="24"/>
      <c r="H201" s="24"/>
      <c r="I201" s="24"/>
      <c r="J201" s="24"/>
      <c r="K201" s="24"/>
      <c r="L201" s="24"/>
      <c r="M201" s="91"/>
    </row>
    <row r="202" spans="1:18" ht="12.75" customHeight="1" x14ac:dyDescent="0.2">
      <c r="A202" s="90"/>
      <c r="B202" s="134"/>
      <c r="C202" s="224"/>
      <c r="D202" s="38"/>
      <c r="E202" s="24"/>
      <c r="F202" s="24"/>
      <c r="G202" s="24"/>
      <c r="H202" s="24"/>
      <c r="I202" s="24"/>
      <c r="J202" s="24"/>
      <c r="K202" s="24"/>
      <c r="L202" s="24"/>
      <c r="M202" s="91"/>
    </row>
    <row r="203" spans="1:18" ht="12.75" customHeight="1" x14ac:dyDescent="0.2">
      <c r="A203" s="90"/>
      <c r="B203" s="134"/>
      <c r="C203" s="224"/>
      <c r="D203" s="38"/>
      <c r="E203" s="24"/>
      <c r="F203" s="24"/>
      <c r="G203" s="24"/>
      <c r="H203" s="24"/>
      <c r="I203" s="24"/>
      <c r="J203" s="24"/>
      <c r="K203" s="24"/>
      <c r="L203" s="24"/>
      <c r="M203" s="91"/>
    </row>
    <row r="204" spans="1:18" ht="12.75" customHeight="1" x14ac:dyDescent="0.2">
      <c r="A204" s="90"/>
      <c r="B204" s="134"/>
      <c r="C204" s="224"/>
      <c r="D204" s="38"/>
      <c r="E204" s="24"/>
      <c r="F204" s="24"/>
      <c r="G204" s="24"/>
      <c r="H204" s="24"/>
      <c r="I204" s="24"/>
      <c r="J204" s="24"/>
      <c r="K204" s="24"/>
      <c r="L204" s="24"/>
      <c r="M204" s="91"/>
    </row>
    <row r="205" spans="1:18" ht="12.75" customHeight="1" x14ac:dyDescent="0.2">
      <c r="A205" s="90"/>
      <c r="B205" s="134"/>
      <c r="C205" s="226"/>
      <c r="D205" s="38"/>
      <c r="E205" s="24"/>
      <c r="F205" s="24"/>
      <c r="G205" s="24"/>
      <c r="H205" s="24"/>
      <c r="I205" s="24"/>
      <c r="J205" s="24"/>
      <c r="K205" s="24"/>
      <c r="L205" s="24"/>
      <c r="M205" s="91"/>
    </row>
    <row r="206" spans="1:18" ht="12.75" customHeight="1" x14ac:dyDescent="0.2">
      <c r="A206" s="90"/>
      <c r="B206" s="134"/>
      <c r="C206" s="226"/>
      <c r="D206" s="38"/>
      <c r="E206" s="24"/>
      <c r="F206" s="24"/>
      <c r="G206" s="24"/>
      <c r="H206" s="24"/>
      <c r="I206" s="24"/>
      <c r="J206" s="24"/>
      <c r="K206" s="24"/>
      <c r="L206" s="24"/>
      <c r="M206" s="91"/>
    </row>
    <row r="207" spans="1:18" ht="12.75" customHeight="1" x14ac:dyDescent="0.2">
      <c r="A207" s="90"/>
      <c r="B207" s="134"/>
      <c r="C207" s="226"/>
      <c r="D207" s="38"/>
      <c r="E207" s="24"/>
      <c r="F207" s="24"/>
      <c r="G207" s="24"/>
      <c r="H207" s="24"/>
      <c r="I207" s="24"/>
      <c r="J207" s="24"/>
      <c r="K207" s="24"/>
      <c r="L207" s="24"/>
      <c r="M207" s="91"/>
    </row>
    <row r="208" spans="1:18" ht="12.75" customHeight="1" x14ac:dyDescent="0.2">
      <c r="A208" s="90"/>
      <c r="B208" s="134"/>
      <c r="C208" s="225"/>
      <c r="D208" s="38"/>
      <c r="E208" s="24"/>
      <c r="F208" s="24"/>
      <c r="G208" s="24"/>
      <c r="H208" s="24"/>
      <c r="I208" s="24"/>
      <c r="J208" s="24"/>
      <c r="K208" s="24"/>
      <c r="L208" s="24"/>
      <c r="M208" s="91"/>
    </row>
    <row r="209" spans="1:14" ht="12.75" customHeight="1" x14ac:dyDescent="0.2">
      <c r="A209" s="90"/>
      <c r="B209" s="134"/>
      <c r="C209" s="225"/>
      <c r="D209" s="38"/>
      <c r="E209" s="24"/>
      <c r="F209" s="24"/>
      <c r="G209" s="24"/>
      <c r="H209" s="24"/>
      <c r="I209" s="24"/>
      <c r="J209" s="24"/>
      <c r="K209" s="24"/>
      <c r="L209" s="24"/>
      <c r="M209" s="91"/>
    </row>
    <row r="210" spans="1:14" ht="12.75" customHeight="1" x14ac:dyDescent="0.2">
      <c r="A210" s="90"/>
      <c r="B210" s="134"/>
      <c r="C210" s="225"/>
      <c r="D210" s="38"/>
      <c r="E210" s="24"/>
      <c r="F210" s="24"/>
      <c r="G210" s="24"/>
      <c r="H210" s="24"/>
      <c r="I210" s="24"/>
      <c r="J210" s="24"/>
      <c r="K210" s="24"/>
      <c r="L210" s="24"/>
      <c r="M210" s="91"/>
    </row>
    <row r="211" spans="1:14" ht="12.75" customHeight="1" x14ac:dyDescent="0.2">
      <c r="A211" s="90"/>
      <c r="B211" s="134"/>
      <c r="C211" s="225"/>
      <c r="D211" s="38"/>
      <c r="E211" s="24"/>
      <c r="F211" s="24"/>
      <c r="G211" s="24"/>
      <c r="H211" s="24"/>
      <c r="I211" s="24"/>
      <c r="J211" s="24"/>
      <c r="K211" s="24"/>
      <c r="L211" s="24"/>
      <c r="M211" s="91"/>
    </row>
    <row r="212" spans="1:14" ht="12.75" customHeight="1" x14ac:dyDescent="0.2">
      <c r="A212" s="90"/>
      <c r="B212" s="134"/>
      <c r="C212" s="225"/>
      <c r="D212" s="38"/>
      <c r="E212" s="24"/>
      <c r="F212" s="24"/>
      <c r="G212" s="24"/>
      <c r="H212" s="24"/>
      <c r="I212" s="24"/>
      <c r="J212" s="24"/>
      <c r="K212" s="24"/>
      <c r="L212" s="24"/>
      <c r="M212" s="91"/>
    </row>
    <row r="213" spans="1:14" ht="12.75" customHeight="1" x14ac:dyDescent="0.2">
      <c r="A213" s="90"/>
      <c r="B213" s="134"/>
      <c r="C213" s="225"/>
      <c r="D213" s="38"/>
      <c r="E213" s="24"/>
      <c r="F213" s="24"/>
      <c r="G213" s="24"/>
      <c r="H213" s="24"/>
      <c r="I213" s="24"/>
      <c r="J213" s="24"/>
      <c r="K213" s="24"/>
      <c r="L213" s="24"/>
      <c r="M213" s="91"/>
    </row>
    <row r="214" spans="1:14" ht="12.75" customHeight="1" thickBot="1" x14ac:dyDescent="0.25">
      <c r="A214" s="90"/>
      <c r="B214" s="134"/>
      <c r="C214" s="223"/>
      <c r="D214" s="38"/>
      <c r="E214" s="24"/>
      <c r="F214" s="24"/>
      <c r="G214" s="24"/>
      <c r="H214" s="24"/>
      <c r="I214" s="24"/>
      <c r="J214" s="24"/>
      <c r="K214" s="24"/>
      <c r="L214" s="24"/>
      <c r="M214" s="92">
        <f>SUM(M191:M213)</f>
        <v>0</v>
      </c>
    </row>
    <row r="215" spans="1:14" ht="12.75" customHeight="1" thickTop="1" thickBot="1" x14ac:dyDescent="0.25">
      <c r="A215" s="93"/>
      <c r="B215" s="151"/>
      <c r="C215" s="72"/>
      <c r="D215" s="72"/>
      <c r="E215" s="72"/>
      <c r="F215" s="72"/>
      <c r="G215" s="24"/>
      <c r="H215" s="24"/>
      <c r="I215" s="24"/>
      <c r="J215" s="24"/>
      <c r="K215" s="24"/>
      <c r="L215" s="145" t="s">
        <v>249</v>
      </c>
      <c r="M215" s="73"/>
    </row>
    <row r="216" spans="1:14" ht="12.75" customHeight="1" thickTop="1" thickBot="1" x14ac:dyDescent="0.25">
      <c r="G216" s="72"/>
      <c r="H216" s="72"/>
      <c r="I216" s="72"/>
      <c r="J216" s="72"/>
      <c r="K216" s="72"/>
      <c r="L216" s="72"/>
    </row>
    <row r="217" spans="1:14" ht="12.75" customHeight="1" thickTop="1" thickBot="1" x14ac:dyDescent="0.25"/>
    <row r="218" spans="1:14" ht="12.75" customHeight="1" thickTop="1" thickBot="1" x14ac:dyDescent="0.25">
      <c r="A218" s="155" t="s">
        <v>250</v>
      </c>
      <c r="B218" s="154"/>
      <c r="C218" s="154"/>
      <c r="D218" s="154"/>
      <c r="E218" s="154"/>
      <c r="F218" s="157"/>
      <c r="M218" s="94"/>
      <c r="N218" s="94"/>
    </row>
    <row r="219" spans="1:14" ht="12.75" customHeight="1" thickBot="1" x14ac:dyDescent="0.25">
      <c r="A219" s="156" t="s">
        <v>246</v>
      </c>
      <c r="B219" s="95" t="s">
        <v>219</v>
      </c>
      <c r="C219" s="96" t="s">
        <v>247</v>
      </c>
      <c r="D219" s="165" t="s">
        <v>248</v>
      </c>
      <c r="E219" s="166"/>
      <c r="F219" s="158" t="s">
        <v>221</v>
      </c>
      <c r="G219" s="94"/>
      <c r="H219" s="94"/>
      <c r="I219" s="94"/>
      <c r="J219" s="94"/>
      <c r="K219" s="94"/>
      <c r="L219" s="94"/>
      <c r="M219" s="94"/>
      <c r="N219" s="94"/>
    </row>
    <row r="220" spans="1:14" ht="12.75" customHeight="1" x14ac:dyDescent="0.2">
      <c r="A220" s="231"/>
      <c r="B220" s="134"/>
      <c r="C220" s="97"/>
      <c r="D220" s="24"/>
      <c r="E220" s="167"/>
      <c r="F220" s="232"/>
      <c r="G220" s="94"/>
      <c r="H220" s="94"/>
      <c r="I220" s="94"/>
      <c r="J220" s="94"/>
      <c r="K220" s="94"/>
      <c r="L220" s="94"/>
      <c r="M220" s="98"/>
      <c r="N220" s="98"/>
    </row>
    <row r="221" spans="1:14" ht="12.75" customHeight="1" x14ac:dyDescent="0.2">
      <c r="A221" s="231"/>
      <c r="B221" s="134"/>
      <c r="C221" s="94" t="s">
        <v>528</v>
      </c>
      <c r="D221" s="233" t="s">
        <v>530</v>
      </c>
      <c r="E221" s="167"/>
      <c r="F221" s="159">
        <v>72424</v>
      </c>
      <c r="G221" s="98"/>
      <c r="H221" s="98"/>
      <c r="I221" s="98"/>
      <c r="J221" s="98"/>
      <c r="K221" s="98"/>
      <c r="L221" s="98"/>
      <c r="M221" s="98"/>
      <c r="N221" s="98"/>
    </row>
    <row r="222" spans="1:14" ht="12.75" customHeight="1" x14ac:dyDescent="0.2">
      <c r="A222" s="231"/>
      <c r="B222" s="134"/>
      <c r="C222" s="94" t="s">
        <v>529</v>
      </c>
      <c r="D222" s="233" t="s">
        <v>531</v>
      </c>
      <c r="E222" s="167"/>
      <c r="F222" s="160">
        <v>-67706</v>
      </c>
      <c r="G222" s="98"/>
      <c r="H222" s="98"/>
      <c r="I222" s="98"/>
      <c r="J222" s="98"/>
      <c r="K222" s="98"/>
      <c r="L222" s="98"/>
      <c r="M222" s="94"/>
      <c r="N222" s="94"/>
    </row>
    <row r="223" spans="1:14" ht="12.75" customHeight="1" x14ac:dyDescent="0.2">
      <c r="A223" s="231"/>
      <c r="B223" s="134"/>
      <c r="C223" s="94"/>
      <c r="D223" s="233"/>
      <c r="E223" s="167"/>
      <c r="F223" s="160"/>
      <c r="G223" s="94"/>
      <c r="H223" s="94"/>
      <c r="I223" s="94"/>
      <c r="J223" s="94"/>
      <c r="K223" s="94"/>
      <c r="L223" s="94"/>
      <c r="M223" s="94"/>
      <c r="N223" s="94"/>
    </row>
    <row r="224" spans="1:14" ht="12.75" customHeight="1" x14ac:dyDescent="0.2">
      <c r="A224" s="231"/>
      <c r="B224" s="134"/>
      <c r="C224" s="94"/>
      <c r="D224" s="233"/>
      <c r="E224" s="167"/>
      <c r="F224" s="160"/>
      <c r="G224" s="94"/>
      <c r="H224" s="94"/>
      <c r="I224" s="94"/>
      <c r="J224" s="94"/>
      <c r="K224" s="94"/>
      <c r="L224" s="94"/>
      <c r="M224" s="94"/>
      <c r="N224" s="94"/>
    </row>
    <row r="225" spans="1:14" ht="12.75" customHeight="1" x14ac:dyDescent="0.2">
      <c r="A225" s="231"/>
      <c r="B225" s="134"/>
      <c r="C225" s="94"/>
      <c r="D225" s="233"/>
      <c r="E225" s="167"/>
      <c r="F225" s="160"/>
      <c r="G225" s="94"/>
      <c r="H225" s="94"/>
      <c r="I225" s="94"/>
      <c r="J225" s="94"/>
      <c r="K225" s="94"/>
      <c r="L225" s="94"/>
      <c r="M225" s="94"/>
      <c r="N225" s="94"/>
    </row>
    <row r="226" spans="1:14" ht="12.75" customHeight="1" x14ac:dyDescent="0.2">
      <c r="A226" s="231"/>
      <c r="B226" s="134"/>
      <c r="C226" s="94"/>
      <c r="D226" s="233"/>
      <c r="E226" s="167"/>
      <c r="F226" s="160"/>
      <c r="G226" s="94"/>
      <c r="H226" s="94"/>
      <c r="I226" s="94"/>
      <c r="J226" s="94"/>
      <c r="K226" s="94"/>
      <c r="L226" s="94"/>
      <c r="M226" s="94"/>
      <c r="N226" s="94"/>
    </row>
    <row r="227" spans="1:14" ht="12.75" customHeight="1" x14ac:dyDescent="0.2">
      <c r="A227" s="231"/>
      <c r="B227" s="134"/>
      <c r="C227" s="94"/>
      <c r="D227" s="233"/>
      <c r="E227" s="167"/>
      <c r="F227" s="160"/>
      <c r="G227" s="94"/>
      <c r="H227" s="94"/>
      <c r="I227" s="94"/>
      <c r="J227" s="94"/>
      <c r="K227" s="94"/>
      <c r="L227" s="94"/>
      <c r="M227" s="94"/>
      <c r="N227" s="94"/>
    </row>
    <row r="228" spans="1:14" ht="12.75" customHeight="1" x14ac:dyDescent="0.2">
      <c r="A228" s="231"/>
      <c r="B228" s="134"/>
      <c r="C228" s="94"/>
      <c r="D228" s="233"/>
      <c r="E228" s="167"/>
      <c r="F228" s="160"/>
      <c r="G228" s="94"/>
      <c r="H228" s="94"/>
      <c r="I228" s="94"/>
      <c r="J228" s="94"/>
      <c r="K228" s="94"/>
      <c r="L228" s="94"/>
      <c r="M228" s="94"/>
      <c r="N228" s="94"/>
    </row>
    <row r="229" spans="1:14" ht="12.75" customHeight="1" x14ac:dyDescent="0.2">
      <c r="A229" s="231"/>
      <c r="B229" s="134"/>
      <c r="C229" s="94"/>
      <c r="D229" s="233"/>
      <c r="E229" s="167"/>
      <c r="F229" s="160"/>
      <c r="G229" s="94"/>
      <c r="H229" s="94"/>
      <c r="I229" s="94"/>
      <c r="J229" s="94"/>
      <c r="K229" s="94"/>
      <c r="L229" s="94"/>
      <c r="M229" s="94"/>
      <c r="N229" s="94"/>
    </row>
    <row r="230" spans="1:14" ht="12.75" customHeight="1" x14ac:dyDescent="0.2">
      <c r="A230" s="231"/>
      <c r="B230" s="134"/>
      <c r="C230" s="94"/>
      <c r="D230" s="233"/>
      <c r="E230" s="167"/>
      <c r="F230" s="160"/>
      <c r="G230" s="94"/>
      <c r="H230" s="94"/>
      <c r="I230" s="94"/>
      <c r="J230" s="94"/>
      <c r="K230" s="94"/>
      <c r="L230" s="94"/>
      <c r="M230" s="94"/>
      <c r="N230" s="94"/>
    </row>
    <row r="231" spans="1:14" ht="12.75" customHeight="1" x14ac:dyDescent="0.2">
      <c r="A231" s="231"/>
      <c r="B231" s="134"/>
      <c r="C231" s="94"/>
      <c r="D231" s="233"/>
      <c r="E231" s="167"/>
      <c r="F231" s="160"/>
      <c r="G231" s="94"/>
      <c r="H231" s="94"/>
      <c r="I231" s="94"/>
      <c r="J231" s="94"/>
      <c r="K231" s="94"/>
      <c r="L231" s="94"/>
      <c r="M231" s="94"/>
      <c r="N231" s="94"/>
    </row>
    <row r="232" spans="1:14" ht="12.75" customHeight="1" x14ac:dyDescent="0.2">
      <c r="A232" s="231"/>
      <c r="B232" s="134"/>
      <c r="C232" s="94"/>
      <c r="D232" s="233"/>
      <c r="E232" s="167"/>
      <c r="F232" s="160"/>
      <c r="G232" s="94"/>
      <c r="H232" s="94"/>
      <c r="I232" s="94"/>
      <c r="J232" s="94"/>
      <c r="K232" s="94"/>
      <c r="L232" s="94"/>
      <c r="M232" s="94"/>
      <c r="N232" s="94"/>
    </row>
    <row r="233" spans="1:14" ht="12.75" customHeight="1" x14ac:dyDescent="0.2">
      <c r="A233" s="231"/>
      <c r="B233" s="134"/>
      <c r="C233" s="94"/>
      <c r="D233" s="233"/>
      <c r="E233" s="167"/>
      <c r="F233" s="160"/>
      <c r="G233" s="94"/>
      <c r="H233" s="94"/>
      <c r="I233" s="94"/>
      <c r="J233" s="94"/>
      <c r="K233" s="94"/>
      <c r="L233" s="94"/>
      <c r="M233" s="94"/>
      <c r="N233" s="94"/>
    </row>
    <row r="234" spans="1:14" ht="12.75" customHeight="1" x14ac:dyDescent="0.2">
      <c r="A234" s="231"/>
      <c r="B234" s="134"/>
      <c r="C234" s="94"/>
      <c r="D234" s="233"/>
      <c r="E234" s="167"/>
      <c r="F234" s="160"/>
      <c r="G234" s="94"/>
      <c r="H234" s="94"/>
      <c r="I234" s="94"/>
      <c r="J234" s="94"/>
      <c r="K234" s="94"/>
      <c r="L234" s="94"/>
      <c r="M234" s="94"/>
      <c r="N234" s="94"/>
    </row>
    <row r="235" spans="1:14" ht="12.75" customHeight="1" x14ac:dyDescent="0.2">
      <c r="A235" s="231"/>
      <c r="B235" s="134"/>
      <c r="C235" s="94"/>
      <c r="D235" s="233"/>
      <c r="E235" s="167"/>
      <c r="F235" s="160"/>
      <c r="G235" s="94"/>
      <c r="H235" s="94"/>
      <c r="I235" s="94"/>
      <c r="J235" s="94"/>
      <c r="K235" s="94"/>
      <c r="L235" s="94"/>
      <c r="M235" s="94"/>
      <c r="N235" s="94"/>
    </row>
    <row r="236" spans="1:14" ht="12.75" customHeight="1" x14ac:dyDescent="0.2">
      <c r="A236" s="231"/>
      <c r="B236" s="134"/>
      <c r="C236" s="94"/>
      <c r="D236" s="233"/>
      <c r="E236" s="167"/>
      <c r="F236" s="160"/>
      <c r="G236" s="94"/>
      <c r="H236" s="94"/>
      <c r="I236" s="94"/>
      <c r="J236" s="94"/>
      <c r="K236" s="94"/>
      <c r="L236" s="94"/>
      <c r="M236" s="94"/>
      <c r="N236" s="94"/>
    </row>
    <row r="237" spans="1:14" ht="12.75" customHeight="1" x14ac:dyDescent="0.2">
      <c r="A237" s="231"/>
      <c r="B237" s="134"/>
      <c r="C237" s="94"/>
      <c r="D237" s="233"/>
      <c r="E237" s="167"/>
      <c r="F237" s="160"/>
      <c r="G237" s="94"/>
      <c r="H237" s="94"/>
      <c r="I237" s="94"/>
      <c r="J237" s="94"/>
      <c r="K237" s="94"/>
      <c r="L237" s="94"/>
      <c r="M237" s="94"/>
      <c r="N237" s="94"/>
    </row>
    <row r="238" spans="1:14" ht="12.75" customHeight="1" thickBot="1" x14ac:dyDescent="0.25">
      <c r="A238" s="231"/>
      <c r="B238" s="134"/>
      <c r="C238" s="94"/>
      <c r="D238" s="94"/>
      <c r="E238" s="145" t="s">
        <v>251</v>
      </c>
      <c r="F238" s="168">
        <f>SUM(F219:F237)</f>
        <v>4718</v>
      </c>
      <c r="G238" s="94"/>
      <c r="H238" s="94"/>
      <c r="I238" s="94"/>
      <c r="J238" s="94"/>
      <c r="K238" s="94"/>
      <c r="L238" s="94"/>
      <c r="M238" s="94"/>
      <c r="N238" s="94"/>
    </row>
    <row r="239" spans="1:14" ht="12.75" customHeight="1" thickTop="1" thickBot="1" x14ac:dyDescent="0.25">
      <c r="A239" s="161"/>
      <c r="B239" s="162"/>
      <c r="C239" s="163"/>
      <c r="D239" s="163"/>
      <c r="E239" s="212"/>
      <c r="F239" s="164"/>
      <c r="G239" s="94"/>
      <c r="H239" s="94"/>
      <c r="I239" s="94"/>
      <c r="J239" s="94"/>
      <c r="K239" s="94"/>
      <c r="L239" s="94"/>
      <c r="M239" s="94"/>
      <c r="N239" s="94"/>
    </row>
    <row r="240" spans="1:14" ht="12.75" customHeight="1" thickTop="1" x14ac:dyDescent="0.2">
      <c r="G240" s="94"/>
      <c r="H240" s="94"/>
      <c r="I240" s="94"/>
      <c r="J240" s="94"/>
      <c r="K240" s="94"/>
      <c r="L240" s="94"/>
    </row>
  </sheetData>
  <customSheetViews>
    <customSheetView guid="{535643D5-B9EE-11D2-A857-00805F2505DF}"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C-B9EE-11D2-A857-00805F2505DF}"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3-B9EE-11D2-A857-00805F2505DF}"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BQ240"/>
  <sheetViews>
    <sheetView zoomScale="75" workbookViewId="0">
      <pane xSplit="2" ySplit="6" topLeftCell="C7" activePane="bottomRight" state="frozen"/>
      <selection activeCell="D9" sqref="D9:D13"/>
      <selection pane="topRight" activeCell="D9" sqref="D9:D13"/>
      <selection pane="bottomLeft" activeCell="D9" sqref="D9:D13"/>
      <selection pane="bottomRight" activeCell="D9" sqref="D9:D13"/>
    </sheetView>
  </sheetViews>
  <sheetFormatPr defaultRowHeight="12.75" x14ac:dyDescent="0.2"/>
  <cols>
    <col min="1" max="1" width="23.85546875" style="13" customWidth="1"/>
    <col min="2" max="2" width="23.7109375" style="13" customWidth="1"/>
    <col min="3"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B1" s="815">
        <f>M38</f>
        <v>0</v>
      </c>
      <c r="D1" s="1"/>
      <c r="E1" s="1"/>
      <c r="F1" s="1"/>
      <c r="G1" s="1"/>
      <c r="H1" s="1"/>
      <c r="I1" s="1"/>
      <c r="J1" s="1"/>
      <c r="K1" s="1"/>
      <c r="L1" s="1"/>
      <c r="M1" s="1"/>
      <c r="N1" s="1"/>
      <c r="O1" s="1"/>
    </row>
    <row r="2" spans="1:37" ht="12.75" customHeight="1" x14ac:dyDescent="0.25">
      <c r="A2" s="101" t="s">
        <v>75</v>
      </c>
      <c r="D2" s="1"/>
      <c r="E2" s="1"/>
      <c r="F2" s="1"/>
      <c r="G2" s="1"/>
      <c r="H2" s="1"/>
      <c r="I2" s="1"/>
      <c r="J2" s="1"/>
      <c r="K2" s="1"/>
      <c r="L2" s="1"/>
      <c r="M2" s="1"/>
      <c r="N2" s="1"/>
      <c r="O2" s="1"/>
    </row>
    <row r="3" spans="1:37" ht="12.75" customHeight="1" x14ac:dyDescent="0.25">
      <c r="A3" s="257" t="s">
        <v>76</v>
      </c>
      <c r="B3" s="255" t="s">
        <v>444</v>
      </c>
      <c r="C3" s="255" t="s">
        <v>78</v>
      </c>
      <c r="D3" s="1"/>
      <c r="E3" s="1"/>
      <c r="F3" s="1"/>
      <c r="G3" s="1"/>
      <c r="H3" s="1"/>
      <c r="I3" s="1"/>
      <c r="J3" s="1"/>
      <c r="K3" s="1"/>
      <c r="L3" s="1"/>
      <c r="M3" s="1"/>
      <c r="N3" s="1"/>
      <c r="O3" s="1"/>
    </row>
    <row r="4" spans="1:37" ht="12.75" customHeight="1" x14ac:dyDescent="0.25">
      <c r="A4" s="257" t="s">
        <v>79</v>
      </c>
      <c r="B4" s="323">
        <f>Front!B4</f>
        <v>36831</v>
      </c>
      <c r="D4" s="1"/>
      <c r="E4" s="1"/>
      <c r="F4" s="1"/>
      <c r="G4" s="1"/>
      <c r="H4" s="1"/>
      <c r="I4" s="1"/>
      <c r="J4" s="1"/>
      <c r="K4" s="1"/>
      <c r="L4" s="1"/>
      <c r="M4" s="1"/>
      <c r="N4" s="1"/>
      <c r="O4" s="1"/>
    </row>
    <row r="5" spans="1:37" ht="12.75" customHeight="1" thickBot="1" x14ac:dyDescent="0.3">
      <c r="A5" s="257" t="s">
        <v>80</v>
      </c>
      <c r="B5" s="570">
        <f>Front!B5</f>
        <v>36847</v>
      </c>
      <c r="C5" s="15"/>
      <c r="V5" s="24"/>
      <c r="W5" s="24"/>
      <c r="X5" s="24"/>
      <c r="Y5" s="24"/>
      <c r="Z5" s="24"/>
      <c r="AA5" s="24"/>
    </row>
    <row r="6" spans="1:37" ht="12.75" customHeight="1" x14ac:dyDescent="0.25">
      <c r="A6" s="257" t="s">
        <v>81</v>
      </c>
      <c r="B6" s="776">
        <v>894200</v>
      </c>
      <c r="C6" s="15"/>
      <c r="K6" s="123" t="s">
        <v>82</v>
      </c>
      <c r="L6" s="62"/>
      <c r="M6" s="62"/>
      <c r="N6" s="62"/>
      <c r="O6" s="62"/>
      <c r="P6" s="62"/>
      <c r="Q6" s="62"/>
      <c r="R6" s="7"/>
      <c r="S6" s="102" t="s">
        <v>83</v>
      </c>
      <c r="T6" s="102"/>
      <c r="V6" s="123" t="s">
        <v>84</v>
      </c>
      <c r="W6" s="62"/>
      <c r="X6" s="62"/>
      <c r="Y6" s="62"/>
      <c r="Z6" s="62"/>
      <c r="AA6" s="7"/>
    </row>
    <row r="7" spans="1:37" ht="12.75" customHeight="1" x14ac:dyDescent="0.2">
      <c r="B7" s="506"/>
      <c r="D7" s="103" t="s">
        <v>93</v>
      </c>
      <c r="E7" s="103" t="s">
        <v>94</v>
      </c>
      <c r="K7" s="64"/>
      <c r="L7" s="65" t="s">
        <v>88</v>
      </c>
      <c r="M7" s="65" t="s">
        <v>88</v>
      </c>
      <c r="N7" s="65" t="s">
        <v>88</v>
      </c>
      <c r="O7" s="65" t="s">
        <v>88</v>
      </c>
      <c r="P7" s="65" t="s">
        <v>88</v>
      </c>
      <c r="Q7" s="65" t="s">
        <v>88</v>
      </c>
      <c r="R7" s="66" t="s">
        <v>4</v>
      </c>
      <c r="S7" s="103" t="s">
        <v>89</v>
      </c>
      <c r="T7" s="103" t="s">
        <v>90</v>
      </c>
      <c r="V7" s="67" t="s">
        <v>91</v>
      </c>
      <c r="W7" s="24"/>
      <c r="X7" s="24"/>
      <c r="Y7" s="24"/>
      <c r="Z7" s="24"/>
      <c r="AA7" s="68"/>
    </row>
    <row r="8" spans="1:37" ht="12.75" customHeight="1" x14ac:dyDescent="0.2">
      <c r="A8" s="16" t="s">
        <v>92</v>
      </c>
      <c r="G8" s="17" t="s">
        <v>95</v>
      </c>
      <c r="H8" s="17"/>
      <c r="K8" s="124" t="s">
        <v>96</v>
      </c>
      <c r="L8" s="24"/>
      <c r="M8" s="24"/>
      <c r="N8" s="24"/>
      <c r="O8" s="24"/>
      <c r="P8" s="24"/>
      <c r="Q8" s="9"/>
      <c r="R8" s="68"/>
      <c r="V8" s="67" t="s">
        <v>97</v>
      </c>
      <c r="W8" s="24"/>
      <c r="X8" s="24"/>
      <c r="Y8" s="24"/>
      <c r="Z8" s="24"/>
      <c r="AA8" s="68"/>
    </row>
    <row r="9" spans="1:37" ht="12.75" customHeight="1" x14ac:dyDescent="0.2">
      <c r="A9" s="13" t="s">
        <v>98</v>
      </c>
      <c r="D9" s="18">
        <v>0</v>
      </c>
      <c r="E9" s="18">
        <v>0</v>
      </c>
      <c r="F9" s="1" t="s">
        <v>99</v>
      </c>
      <c r="G9" s="19" t="s">
        <v>100</v>
      </c>
      <c r="H9" s="19"/>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
      <c r="A10" s="13" t="s">
        <v>102</v>
      </c>
      <c r="D10" s="21">
        <v>0</v>
      </c>
      <c r="E10" s="21">
        <v>0</v>
      </c>
      <c r="F10" s="1" t="s">
        <v>99</v>
      </c>
      <c r="G10" s="19" t="s">
        <v>100</v>
      </c>
      <c r="H10" s="19"/>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
      <c r="A11" s="13" t="s">
        <v>368</v>
      </c>
      <c r="D11" s="21">
        <v>0</v>
      </c>
      <c r="E11" s="21">
        <v>0</v>
      </c>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
      <c r="A12" s="13" t="s">
        <v>109</v>
      </c>
      <c r="D12" s="21">
        <v>0</v>
      </c>
      <c r="E12" s="21">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
      <c r="A13" s="13" t="s">
        <v>112</v>
      </c>
      <c r="D13" s="21">
        <v>0</v>
      </c>
      <c r="E13" s="21">
        <v>0</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25">
      <c r="A14" s="13" t="s">
        <v>115</v>
      </c>
      <c r="E14" s="22">
        <f>E159</f>
        <v>280546</v>
      </c>
      <c r="F14" s="13" t="s">
        <v>116</v>
      </c>
      <c r="K14" s="67" t="s">
        <v>117</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118</v>
      </c>
      <c r="Z14" s="24"/>
      <c r="AA14" s="68"/>
    </row>
    <row r="15" spans="1:37" ht="12.75" customHeight="1" thickTop="1" x14ac:dyDescent="0.2">
      <c r="A15" s="13" t="s">
        <v>119</v>
      </c>
      <c r="E15" s="22">
        <v>0</v>
      </c>
      <c r="F15" s="13" t="s">
        <v>116</v>
      </c>
      <c r="K15" s="67" t="s">
        <v>120</v>
      </c>
      <c r="L15" s="249">
        <v>0</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2">
      <c r="A16" s="13" t="s">
        <v>124</v>
      </c>
      <c r="E16" s="22">
        <f>+E185</f>
        <v>0</v>
      </c>
      <c r="F16" s="13" t="s">
        <v>116</v>
      </c>
      <c r="I16" s="23"/>
      <c r="J16" s="23"/>
      <c r="K16" s="67" t="s">
        <v>125</v>
      </c>
      <c r="L16" s="248">
        <v>0</v>
      </c>
      <c r="M16" s="248">
        <v>0</v>
      </c>
      <c r="N16" s="248">
        <v>0</v>
      </c>
      <c r="O16" s="248">
        <v>0</v>
      </c>
      <c r="P16" s="248">
        <v>0</v>
      </c>
      <c r="Q16" s="248">
        <v>0</v>
      </c>
      <c r="R16" s="251">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2"/>
      <c r="L17" s="122">
        <f t="shared" ref="L17:Q17" si="1">SUM(L15*L16)</f>
        <v>0</v>
      </c>
      <c r="M17" s="122">
        <f t="shared" si="1"/>
        <v>0</v>
      </c>
      <c r="N17" s="122">
        <f t="shared" si="1"/>
        <v>0</v>
      </c>
      <c r="O17" s="122">
        <f t="shared" si="1"/>
        <v>0</v>
      </c>
      <c r="P17" s="122">
        <f t="shared" si="1"/>
        <v>0</v>
      </c>
      <c r="Q17" s="122">
        <f t="shared" si="1"/>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8">
        <f>SUM(E9:E16)</f>
        <v>280546</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f>
        <v>280546</v>
      </c>
      <c r="AA20" s="68"/>
      <c r="AB20" s="24"/>
      <c r="AC20" s="24"/>
      <c r="AD20" s="24"/>
      <c r="AE20" s="24"/>
      <c r="AF20" s="24"/>
      <c r="AG20" s="24"/>
      <c r="AH20" s="24"/>
      <c r="AI20" s="26"/>
      <c r="AJ20" s="24"/>
      <c r="AK20" s="24"/>
    </row>
    <row r="21" spans="1:37" ht="12.75" customHeight="1" thickBot="1" x14ac:dyDescent="0.25">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75" customHeight="1" x14ac:dyDescent="0.2">
      <c r="A22" s="13" t="s">
        <v>132</v>
      </c>
      <c r="E22" s="18">
        <v>0</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133</v>
      </c>
      <c r="E23" s="28">
        <f>B63</f>
        <v>0</v>
      </c>
      <c r="F23" s="1" t="s">
        <v>99</v>
      </c>
      <c r="G23" s="24"/>
      <c r="I23" s="24"/>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134</v>
      </c>
      <c r="E24" s="229">
        <f>E22+E23</f>
        <v>0</v>
      </c>
      <c r="F24" s="13" t="s">
        <v>116</v>
      </c>
      <c r="I24" s="24"/>
      <c r="J24" s="24"/>
      <c r="K24" s="67" t="s">
        <v>117</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135</v>
      </c>
      <c r="E25" s="22">
        <f>-M214</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136</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141</v>
      </c>
      <c r="E29" s="18">
        <v>-2577247</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143</v>
      </c>
      <c r="E30" s="29">
        <f>B61</f>
        <v>0</v>
      </c>
      <c r="F30" s="13" t="s">
        <v>144</v>
      </c>
      <c r="I30" s="24"/>
      <c r="J30" s="24"/>
      <c r="K30" s="67" t="s">
        <v>145</v>
      </c>
      <c r="L30" s="24"/>
      <c r="M30" s="26">
        <v>280546</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146</v>
      </c>
      <c r="E31" s="22">
        <f>B102</f>
        <v>0</v>
      </c>
      <c r="F31" s="13" t="s">
        <v>144</v>
      </c>
      <c r="I31" s="24"/>
      <c r="J31" s="24"/>
      <c r="K31" s="67" t="s">
        <v>147</v>
      </c>
      <c r="L31" s="24"/>
      <c r="M31" s="26">
        <v>0</v>
      </c>
      <c r="N31" s="27">
        <f>M31</f>
        <v>0</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148</v>
      </c>
      <c r="E32" s="29">
        <f>B118</f>
        <v>0</v>
      </c>
      <c r="F32" s="13" t="s">
        <v>144</v>
      </c>
      <c r="G32" s="19"/>
      <c r="K32" s="67" t="s">
        <v>149</v>
      </c>
      <c r="L32" s="24"/>
      <c r="M32" s="26">
        <v>-2577247</v>
      </c>
      <c r="N32" s="27"/>
      <c r="O32" s="24" t="s">
        <v>142</v>
      </c>
      <c r="P32" s="24"/>
      <c r="Q32" s="24"/>
      <c r="R32" s="68"/>
      <c r="AI32" s="1"/>
    </row>
    <row r="33" spans="1:69" ht="12.75" customHeight="1" x14ac:dyDescent="0.2">
      <c r="A33" s="13" t="s">
        <v>268</v>
      </c>
      <c r="E33" s="22">
        <f>B68</f>
        <v>0</v>
      </c>
      <c r="F33" s="13" t="s">
        <v>144</v>
      </c>
      <c r="K33" s="67"/>
      <c r="L33" s="9"/>
      <c r="M33" s="27"/>
      <c r="N33" s="27"/>
      <c r="O33" s="24"/>
      <c r="P33" s="24"/>
      <c r="Q33" s="24"/>
      <c r="R33" s="68"/>
    </row>
    <row r="34" spans="1:69" ht="12.75" customHeight="1" x14ac:dyDescent="0.2">
      <c r="A34" s="13" t="s">
        <v>151</v>
      </c>
      <c r="E34" s="22">
        <f>B69</f>
        <v>0</v>
      </c>
      <c r="F34" s="13" t="s">
        <v>144</v>
      </c>
      <c r="K34" s="67" t="s">
        <v>152</v>
      </c>
      <c r="L34" s="24"/>
      <c r="M34" s="27">
        <f>B76</f>
        <v>0</v>
      </c>
      <c r="N34" s="27">
        <f>B63</f>
        <v>0</v>
      </c>
      <c r="O34" s="24" t="s">
        <v>153</v>
      </c>
      <c r="P34" s="24"/>
      <c r="Q34" s="24"/>
      <c r="R34" s="68"/>
    </row>
    <row r="35" spans="1:69" ht="12.75" customHeight="1" x14ac:dyDescent="0.2">
      <c r="A35" s="13" t="s">
        <v>154</v>
      </c>
      <c r="E35" s="22">
        <f>F238</f>
        <v>0</v>
      </c>
      <c r="F35" s="13" t="s">
        <v>144</v>
      </c>
      <c r="K35" s="67"/>
      <c r="L35" s="24"/>
      <c r="M35" s="27"/>
      <c r="N35" s="27"/>
      <c r="O35" s="24"/>
      <c r="P35" s="24"/>
      <c r="Q35" s="24"/>
      <c r="R35" s="68"/>
    </row>
    <row r="36" spans="1:69" ht="12.75" customHeight="1" thickBot="1" x14ac:dyDescent="0.25">
      <c r="A36" s="17" t="s">
        <v>155</v>
      </c>
      <c r="E36" s="228">
        <f>SUM(E29:E35)</f>
        <v>-2577247</v>
      </c>
      <c r="K36" s="67" t="s">
        <v>156</v>
      </c>
      <c r="L36" s="9"/>
      <c r="M36" s="27">
        <f>SUM(M30:M34)</f>
        <v>-2296701</v>
      </c>
      <c r="N36" s="27">
        <f>SUM(N30:N34)</f>
        <v>0</v>
      </c>
      <c r="O36" s="24"/>
      <c r="P36" s="24"/>
      <c r="Q36" s="24"/>
      <c r="R36" s="68"/>
    </row>
    <row r="37" spans="1:69" ht="12.75" customHeight="1" thickTop="1" x14ac:dyDescent="0.2">
      <c r="K37" s="206"/>
      <c r="L37" s="9"/>
      <c r="M37" s="9"/>
      <c r="N37" s="9"/>
      <c r="O37" s="24"/>
      <c r="P37" s="24"/>
      <c r="Q37" s="24"/>
      <c r="R37" s="68"/>
    </row>
    <row r="38" spans="1:69" ht="12.75" customHeight="1" thickBot="1" x14ac:dyDescent="0.3">
      <c r="A38" s="16" t="s">
        <v>157</v>
      </c>
      <c r="C38" s="20"/>
      <c r="E38" s="228">
        <f>+E36+E26+E19</f>
        <v>-2296701</v>
      </c>
      <c r="K38" s="67"/>
      <c r="L38" s="207" t="s">
        <v>158</v>
      </c>
      <c r="M38" s="208">
        <f>M36-E38</f>
        <v>0</v>
      </c>
      <c r="N38" s="209">
        <f>+N36-E26</f>
        <v>0</v>
      </c>
      <c r="O38" s="24"/>
      <c r="P38" s="24"/>
      <c r="Q38" s="24"/>
      <c r="R38" s="68"/>
      <c r="AN38" s="1"/>
      <c r="AO38" s="1"/>
      <c r="AP38" s="1"/>
      <c r="AQ38" s="1"/>
      <c r="AR38" s="1"/>
      <c r="AS38" s="1"/>
    </row>
    <row r="39" spans="1:69" ht="12.75" customHeight="1" thickTop="1" thickBot="1" x14ac:dyDescent="0.25">
      <c r="K39" s="74"/>
      <c r="L39" s="131"/>
      <c r="M39" s="131"/>
      <c r="N39" s="133"/>
      <c r="O39" s="131"/>
      <c r="P39" s="131"/>
      <c r="Q39" s="131"/>
      <c r="R39" s="132"/>
      <c r="AJ39" s="1"/>
      <c r="AK39" s="1"/>
      <c r="AN39" s="1"/>
      <c r="AO39" s="1"/>
      <c r="AP39" s="1"/>
      <c r="AQ39" s="1"/>
      <c r="AR39" s="1"/>
      <c r="AS39" s="1"/>
    </row>
    <row r="40" spans="1:69" ht="12.75" customHeight="1" x14ac:dyDescent="0.2">
      <c r="K40" s="24"/>
      <c r="L40" s="24"/>
      <c r="M40" s="24"/>
      <c r="N40" s="24"/>
      <c r="O40" s="24"/>
      <c r="P40" s="24"/>
      <c r="AJ40" s="1"/>
      <c r="AK40" s="1"/>
      <c r="AN40" s="1"/>
      <c r="AO40" s="1"/>
      <c r="AP40" s="1"/>
      <c r="AQ40" s="1"/>
      <c r="AR40" s="1"/>
      <c r="AS40" s="1"/>
    </row>
    <row r="41" spans="1:69" ht="12.75" customHeight="1" x14ac:dyDescent="0.25">
      <c r="A41" s="56" t="s">
        <v>159</v>
      </c>
      <c r="B41" s="57"/>
      <c r="K41" s="1"/>
      <c r="L41" s="1"/>
      <c r="M41" s="43"/>
      <c r="N41" s="1"/>
      <c r="O41" s="1"/>
      <c r="P41" s="1"/>
      <c r="AJ41" s="1"/>
      <c r="AK41" s="1"/>
      <c r="AN41" s="1"/>
      <c r="AO41" s="1"/>
      <c r="AP41" s="1"/>
      <c r="AQ41" s="1"/>
      <c r="AR41" s="1"/>
      <c r="AS41" s="1"/>
    </row>
    <row r="42" spans="1:69" ht="12.75" customHeight="1" x14ac:dyDescent="0.2">
      <c r="B42" s="1"/>
      <c r="C42" s="19"/>
      <c r="AI42" s="106" t="s">
        <v>160</v>
      </c>
      <c r="AJ42" s="107"/>
      <c r="AK42" s="1"/>
      <c r="AN42" s="1"/>
      <c r="AO42" s="1"/>
      <c r="AP42" s="1"/>
      <c r="AQ42" s="1"/>
      <c r="AR42" s="1"/>
      <c r="AS42" s="1"/>
    </row>
    <row r="43" spans="1:69" ht="12.75" customHeight="1" x14ac:dyDescent="0.2">
      <c r="A43" s="30"/>
      <c r="B43" s="31" t="s">
        <v>161</v>
      </c>
      <c r="C43" s="32">
        <f>SUM(C47:C71)-C61-C68-C69</f>
        <v>0</v>
      </c>
      <c r="D43" s="32">
        <f>SUM(D47:D71)-D61-D68-D69</f>
        <v>0</v>
      </c>
      <c r="E43" s="32">
        <f>SUM(E47:E71)-E61-E68-E69</f>
        <v>0</v>
      </c>
      <c r="F43" s="32">
        <f>SUM(F47:F71)-F61-F68-F69</f>
        <v>0</v>
      </c>
      <c r="G43" s="32">
        <f>SUM(G47:G71)-G61-G68-G69</f>
        <v>0</v>
      </c>
      <c r="H43" s="32">
        <f>SUM(H47:H71)-I61-H68-H69</f>
        <v>0</v>
      </c>
      <c r="I43" s="32">
        <f>SUM(I47:I71)-J61-I68-I69</f>
        <v>0</v>
      </c>
      <c r="J43" s="32">
        <f>SUM(J47:J71)-K61-J68-J69</f>
        <v>0</v>
      </c>
      <c r="K43" s="32">
        <f t="shared" ref="K43:W43" si="3">SUM(K47:K71)-K61-K68-K69</f>
        <v>0</v>
      </c>
      <c r="L43" s="32">
        <f t="shared" si="3"/>
        <v>0</v>
      </c>
      <c r="M43" s="32">
        <f t="shared" si="3"/>
        <v>0</v>
      </c>
      <c r="N43" s="32">
        <f t="shared" si="3"/>
        <v>0</v>
      </c>
      <c r="O43" s="32">
        <f t="shared" si="3"/>
        <v>0</v>
      </c>
      <c r="P43" s="32">
        <f t="shared" si="3"/>
        <v>0</v>
      </c>
      <c r="Q43" s="32">
        <f t="shared" si="3"/>
        <v>0</v>
      </c>
      <c r="R43" s="32">
        <f t="shared" si="3"/>
        <v>0</v>
      </c>
      <c r="S43" s="32">
        <f>SUM(S47:S71)-T61-S68-S69</f>
        <v>0</v>
      </c>
      <c r="T43" s="32" t="e">
        <f>SUM(T47:T71)-#REF!-T68-T69</f>
        <v>#REF!</v>
      </c>
      <c r="U43" s="32">
        <f t="shared" si="3"/>
        <v>0</v>
      </c>
      <c r="V43" s="32">
        <f t="shared" si="3"/>
        <v>0</v>
      </c>
      <c r="W43" s="32">
        <f t="shared" si="3"/>
        <v>0</v>
      </c>
      <c r="X43" s="32">
        <f>SUM(X47:X71)-Y61-X68-X69</f>
        <v>0</v>
      </c>
      <c r="Y43" s="32">
        <f>SUM(Y47:Y71)-Z61-Y68-Y69</f>
        <v>0</v>
      </c>
      <c r="Z43" s="32">
        <f>SUM(Z47:Z71)-AA61-Z68-Z69</f>
        <v>0</v>
      </c>
      <c r="AA43" s="32">
        <f t="shared" ref="AA43:AG43" si="4">SUM(AA47:AA71)-AA61-AA68-AA69</f>
        <v>0</v>
      </c>
      <c r="AB43" s="32">
        <f t="shared" si="4"/>
        <v>0</v>
      </c>
      <c r="AC43" s="32">
        <f t="shared" si="4"/>
        <v>0</v>
      </c>
      <c r="AD43" s="32">
        <f t="shared" si="4"/>
        <v>0</v>
      </c>
      <c r="AE43" s="32">
        <f t="shared" si="4"/>
        <v>0</v>
      </c>
      <c r="AF43" s="32">
        <f t="shared" si="4"/>
        <v>0</v>
      </c>
      <c r="AG43" s="32">
        <f t="shared" si="4"/>
        <v>0</v>
      </c>
      <c r="AH43" s="1"/>
      <c r="AI43" s="108" t="s">
        <v>162</v>
      </c>
      <c r="AJ43" s="109" t="s">
        <v>163</v>
      </c>
      <c r="AK43" s="1"/>
      <c r="AL43" s="33"/>
      <c r="AN43" s="1"/>
      <c r="AO43" s="1"/>
      <c r="AP43" s="1"/>
      <c r="AQ43" s="1"/>
      <c r="AR43" s="1"/>
      <c r="AS43" s="1"/>
    </row>
    <row r="44" spans="1:69" s="99" customFormat="1" ht="12.75" customHeight="1" x14ac:dyDescent="0.25">
      <c r="A44" s="216" t="s">
        <v>164</v>
      </c>
      <c r="B44" s="116">
        <f>B4</f>
        <v>36831</v>
      </c>
      <c r="C44" s="104">
        <f>B44</f>
        <v>36831</v>
      </c>
      <c r="D44" s="104">
        <f t="shared" ref="D44:AG44" si="5">C44+1</f>
        <v>36832</v>
      </c>
      <c r="E44" s="104">
        <f t="shared" si="5"/>
        <v>36833</v>
      </c>
      <c r="F44" s="104">
        <f t="shared" si="5"/>
        <v>36834</v>
      </c>
      <c r="G44" s="104">
        <f t="shared" si="5"/>
        <v>36835</v>
      </c>
      <c r="H44" s="104">
        <f t="shared" si="5"/>
        <v>36836</v>
      </c>
      <c r="I44" s="104">
        <f t="shared" si="5"/>
        <v>36837</v>
      </c>
      <c r="J44" s="104">
        <f t="shared" si="5"/>
        <v>36838</v>
      </c>
      <c r="K44" s="104">
        <f t="shared" si="5"/>
        <v>36839</v>
      </c>
      <c r="L44" s="104">
        <f t="shared" si="5"/>
        <v>36840</v>
      </c>
      <c r="M44" s="104">
        <f t="shared" si="5"/>
        <v>36841</v>
      </c>
      <c r="N44" s="104">
        <f t="shared" si="5"/>
        <v>36842</v>
      </c>
      <c r="O44" s="104">
        <f t="shared" si="5"/>
        <v>36843</v>
      </c>
      <c r="P44" s="104">
        <f t="shared" si="5"/>
        <v>36844</v>
      </c>
      <c r="Q44" s="104">
        <f t="shared" si="5"/>
        <v>36845</v>
      </c>
      <c r="R44" s="104">
        <f t="shared" si="5"/>
        <v>36846</v>
      </c>
      <c r="S44" s="104">
        <f t="shared" si="5"/>
        <v>36847</v>
      </c>
      <c r="T44" s="104">
        <f t="shared" si="5"/>
        <v>36848</v>
      </c>
      <c r="U44" s="104">
        <f t="shared" si="5"/>
        <v>36849</v>
      </c>
      <c r="V44" s="104">
        <f t="shared" si="5"/>
        <v>36850</v>
      </c>
      <c r="W44" s="104">
        <f t="shared" si="5"/>
        <v>36851</v>
      </c>
      <c r="X44" s="104">
        <f t="shared" si="5"/>
        <v>36852</v>
      </c>
      <c r="Y44" s="104">
        <f t="shared" si="5"/>
        <v>36853</v>
      </c>
      <c r="Z44" s="104">
        <f t="shared" si="5"/>
        <v>36854</v>
      </c>
      <c r="AA44" s="104">
        <f t="shared" si="5"/>
        <v>36855</v>
      </c>
      <c r="AB44" s="104">
        <f t="shared" si="5"/>
        <v>36856</v>
      </c>
      <c r="AC44" s="104">
        <f t="shared" si="5"/>
        <v>36857</v>
      </c>
      <c r="AD44" s="104">
        <f t="shared" si="5"/>
        <v>36858</v>
      </c>
      <c r="AE44" s="104">
        <f t="shared" si="5"/>
        <v>36859</v>
      </c>
      <c r="AF44" s="104">
        <f t="shared" si="5"/>
        <v>36860</v>
      </c>
      <c r="AG44" s="104">
        <f t="shared" si="5"/>
        <v>36861</v>
      </c>
      <c r="AI44" s="110">
        <v>1</v>
      </c>
      <c r="AJ44" s="111" t="s">
        <v>165</v>
      </c>
      <c r="AL44" s="100"/>
    </row>
    <row r="45" spans="1:69" ht="12.75" customHeight="1" x14ac:dyDescent="0.25">
      <c r="A45" s="34"/>
      <c r="B45" s="34"/>
      <c r="C45" s="105" t="str">
        <f t="shared" ref="C45:AG45" si="6">LOOKUP((WEEKDAY(C44,1)),$AI$44:$AI$50,$AJ$44:$AJ$50)</f>
        <v>W</v>
      </c>
      <c r="D45" s="105" t="str">
        <f t="shared" si="6"/>
        <v>R</v>
      </c>
      <c r="E45" s="105" t="str">
        <f t="shared" si="6"/>
        <v>F</v>
      </c>
      <c r="F45" s="105" t="str">
        <f t="shared" si="6"/>
        <v>S</v>
      </c>
      <c r="G45" s="105" t="str">
        <f t="shared" si="6"/>
        <v>S</v>
      </c>
      <c r="H45" s="105" t="str">
        <f t="shared" si="6"/>
        <v>M</v>
      </c>
      <c r="I45" s="105" t="str">
        <f t="shared" si="6"/>
        <v>T</v>
      </c>
      <c r="J45" s="105" t="str">
        <f t="shared" si="6"/>
        <v>W</v>
      </c>
      <c r="K45" s="105" t="str">
        <f t="shared" si="6"/>
        <v>R</v>
      </c>
      <c r="L45" s="105" t="str">
        <f t="shared" si="6"/>
        <v>F</v>
      </c>
      <c r="M45" s="105" t="str">
        <f t="shared" si="6"/>
        <v>S</v>
      </c>
      <c r="N45" s="105" t="str">
        <f t="shared" si="6"/>
        <v>S</v>
      </c>
      <c r="O45" s="105" t="str">
        <f t="shared" si="6"/>
        <v>M</v>
      </c>
      <c r="P45" s="105" t="str">
        <f t="shared" si="6"/>
        <v>T</v>
      </c>
      <c r="Q45" s="105" t="str">
        <f t="shared" si="6"/>
        <v>W</v>
      </c>
      <c r="R45" s="105" t="str">
        <f t="shared" si="6"/>
        <v>R</v>
      </c>
      <c r="S45" s="105" t="str">
        <f t="shared" si="6"/>
        <v>F</v>
      </c>
      <c r="T45" s="105" t="str">
        <f t="shared" si="6"/>
        <v>S</v>
      </c>
      <c r="U45" s="105" t="str">
        <f t="shared" si="6"/>
        <v>S</v>
      </c>
      <c r="V45" s="105" t="str">
        <f t="shared" si="6"/>
        <v>M</v>
      </c>
      <c r="W45" s="105" t="str">
        <f t="shared" si="6"/>
        <v>T</v>
      </c>
      <c r="X45" s="105" t="str">
        <f t="shared" si="6"/>
        <v>W</v>
      </c>
      <c r="Y45" s="105" t="str">
        <f t="shared" si="6"/>
        <v>R</v>
      </c>
      <c r="Z45" s="105" t="str">
        <f t="shared" si="6"/>
        <v>F</v>
      </c>
      <c r="AA45" s="105" t="str">
        <f t="shared" si="6"/>
        <v>S</v>
      </c>
      <c r="AB45" s="105" t="str">
        <f t="shared" si="6"/>
        <v>S</v>
      </c>
      <c r="AC45" s="105" t="str">
        <f t="shared" si="6"/>
        <v>M</v>
      </c>
      <c r="AD45" s="105" t="str">
        <f t="shared" si="6"/>
        <v>T</v>
      </c>
      <c r="AE45" s="105" t="str">
        <f t="shared" si="6"/>
        <v>W</v>
      </c>
      <c r="AF45" s="105" t="str">
        <f t="shared" si="6"/>
        <v>R</v>
      </c>
      <c r="AG45" s="105" t="str">
        <f t="shared" si="6"/>
        <v>F</v>
      </c>
      <c r="AH45" s="1"/>
      <c r="AI45" s="112">
        <v>2</v>
      </c>
      <c r="AJ45" s="113" t="s">
        <v>166</v>
      </c>
      <c r="AK45" s="1"/>
      <c r="AL45" s="24"/>
      <c r="AN45" s="1"/>
      <c r="AO45" s="1"/>
      <c r="AP45" s="1"/>
      <c r="AQ45" s="1"/>
      <c r="AR45" s="1"/>
      <c r="AS45" s="1"/>
    </row>
    <row r="46" spans="1:69" ht="12.75" customHeight="1" thickBot="1" x14ac:dyDescent="0.3">
      <c r="A46" s="217"/>
      <c r="B46" s="35" t="s">
        <v>167</v>
      </c>
      <c r="C46" s="36"/>
      <c r="D46" s="36"/>
      <c r="E46" s="36"/>
      <c r="F46" s="36"/>
      <c r="G46" s="36"/>
      <c r="H46" s="36"/>
      <c r="I46" s="36"/>
      <c r="J46" s="36"/>
      <c r="K46" s="36"/>
      <c r="L46" s="36"/>
      <c r="M46" s="36"/>
      <c r="N46" s="36"/>
      <c r="O46" s="36"/>
      <c r="P46" s="36"/>
      <c r="Q46" s="36"/>
      <c r="R46" s="36"/>
      <c r="S46" s="36"/>
      <c r="T46" s="36"/>
      <c r="U46" s="36"/>
      <c r="V46" s="36"/>
      <c r="W46" s="36"/>
      <c r="X46" s="842" t="s">
        <v>515</v>
      </c>
      <c r="Y46" s="844"/>
      <c r="Z46" s="844"/>
      <c r="AA46" s="844"/>
      <c r="AB46" s="36"/>
      <c r="AC46" s="36"/>
      <c r="AD46" s="36"/>
      <c r="AE46" s="36"/>
      <c r="AF46" s="36"/>
      <c r="AG46" s="37"/>
      <c r="AH46" s="1"/>
      <c r="AI46" s="112">
        <v>3</v>
      </c>
      <c r="AJ46" s="113" t="s">
        <v>168</v>
      </c>
      <c r="AK46" s="1"/>
      <c r="AL46" s="24"/>
      <c r="AN46" s="1"/>
      <c r="AO46" s="1"/>
      <c r="AP46" s="1"/>
      <c r="AQ46" s="1"/>
      <c r="AR46" s="1"/>
      <c r="AS46" s="1"/>
    </row>
    <row r="47" spans="1:69" ht="12.75" customHeight="1" thickTop="1" x14ac:dyDescent="0.2">
      <c r="A47" s="22" t="s">
        <v>169</v>
      </c>
      <c r="B47" s="39">
        <f t="shared" ref="B47:B70" si="7">SUM(C47:AG47)</f>
        <v>0</v>
      </c>
      <c r="C47" s="20"/>
      <c r="D47" s="20"/>
      <c r="E47" s="20"/>
      <c r="F47" s="20"/>
      <c r="G47" s="20"/>
      <c r="H47" s="20"/>
      <c r="I47" s="20"/>
      <c r="J47" s="20"/>
      <c r="K47" s="20"/>
      <c r="L47" s="20"/>
      <c r="M47" s="20"/>
      <c r="N47" s="20"/>
      <c r="O47" s="20"/>
      <c r="P47" s="20"/>
      <c r="Q47" s="20"/>
      <c r="R47" s="20"/>
      <c r="T47" s="20"/>
      <c r="U47" s="20"/>
      <c r="V47" s="20"/>
      <c r="W47" s="20"/>
      <c r="X47" s="500"/>
      <c r="Y47" s="45"/>
      <c r="Z47" s="45"/>
      <c r="AA47" s="45"/>
      <c r="AB47" s="20"/>
      <c r="AC47" s="20"/>
      <c r="AD47" s="20"/>
      <c r="AE47" s="20"/>
      <c r="AF47" s="20"/>
      <c r="AG47" s="20"/>
      <c r="AH47" s="20"/>
      <c r="AI47" s="20">
        <v>4</v>
      </c>
      <c r="AJ47" s="20" t="s">
        <v>170</v>
      </c>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row>
    <row r="48" spans="1:69" ht="12.75" customHeight="1" x14ac:dyDescent="0.2">
      <c r="A48" s="44" t="s">
        <v>171</v>
      </c>
      <c r="B48" s="39">
        <f t="shared" si="7"/>
        <v>0</v>
      </c>
      <c r="C48" s="20"/>
      <c r="D48" s="20"/>
      <c r="E48" s="20"/>
      <c r="F48" s="20"/>
      <c r="G48" s="20"/>
      <c r="H48" s="20"/>
      <c r="I48" s="20"/>
      <c r="J48" s="20"/>
      <c r="K48" s="20"/>
      <c r="L48" s="20"/>
      <c r="M48" s="20"/>
      <c r="N48" s="20"/>
      <c r="O48" s="20"/>
      <c r="P48" s="20"/>
      <c r="Q48" s="20"/>
      <c r="R48" s="20"/>
      <c r="T48" s="20"/>
      <c r="U48" s="20"/>
      <c r="V48" s="20"/>
      <c r="W48" s="20"/>
      <c r="X48" s="20"/>
      <c r="Y48" s="20"/>
      <c r="Z48" s="20"/>
      <c r="AA48" s="20"/>
      <c r="AB48" s="20"/>
      <c r="AC48" s="20"/>
      <c r="AD48" s="20"/>
      <c r="AE48" s="20"/>
      <c r="AF48" s="20"/>
      <c r="AG48" s="20"/>
      <c r="AH48" s="20"/>
      <c r="AI48" s="20">
        <v>5</v>
      </c>
      <c r="AJ48" s="20" t="s">
        <v>172</v>
      </c>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row>
    <row r="49" spans="1:69" ht="12.75" hidden="1" customHeight="1" x14ac:dyDescent="0.2">
      <c r="A49" s="44" t="s">
        <v>173</v>
      </c>
      <c r="B49" s="39">
        <f t="shared" si="7"/>
        <v>0</v>
      </c>
      <c r="C49" s="20"/>
      <c r="D49" s="20"/>
      <c r="E49" s="20"/>
      <c r="F49" s="20"/>
      <c r="G49" s="20"/>
      <c r="H49" s="20"/>
      <c r="I49" s="20"/>
      <c r="J49" s="20"/>
      <c r="K49" s="20"/>
      <c r="L49" s="20"/>
      <c r="M49" s="20"/>
      <c r="N49" s="20"/>
      <c r="O49" s="20"/>
      <c r="P49" s="20"/>
      <c r="Q49" s="20"/>
      <c r="R49" s="20"/>
      <c r="T49" s="20"/>
      <c r="U49" s="20"/>
      <c r="V49" s="20"/>
      <c r="W49" s="20"/>
      <c r="X49" s="20"/>
      <c r="Y49" s="20"/>
      <c r="Z49" s="20"/>
      <c r="AA49" s="20"/>
      <c r="AB49" s="20"/>
      <c r="AC49" s="20"/>
      <c r="AD49" s="20"/>
      <c r="AE49" s="20"/>
      <c r="AF49" s="20"/>
      <c r="AG49" s="20"/>
      <c r="AH49" s="20"/>
      <c r="AI49" s="20">
        <v>6</v>
      </c>
      <c r="AJ49" s="20" t="s">
        <v>174</v>
      </c>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row>
    <row r="50" spans="1:69" ht="12.75" hidden="1" customHeight="1" x14ac:dyDescent="0.2">
      <c r="A50" s="44" t="s">
        <v>175</v>
      </c>
      <c r="B50" s="39">
        <f t="shared" si="7"/>
        <v>0</v>
      </c>
      <c r="C50" s="20"/>
      <c r="D50" s="20"/>
      <c r="E50" s="20"/>
      <c r="F50" s="20"/>
      <c r="G50" s="20"/>
      <c r="H50" s="20"/>
      <c r="I50" s="20"/>
      <c r="J50" s="20"/>
      <c r="K50" s="20"/>
      <c r="L50" s="20"/>
      <c r="M50" s="20"/>
      <c r="N50" s="20"/>
      <c r="O50" s="20"/>
      <c r="P50" s="20"/>
      <c r="Q50" s="20"/>
      <c r="R50" s="20"/>
      <c r="T50" s="20"/>
      <c r="U50" s="20"/>
      <c r="V50" s="20"/>
      <c r="W50" s="20"/>
      <c r="X50" s="20"/>
      <c r="Y50" s="20"/>
      <c r="Z50" s="20"/>
      <c r="AA50" s="20"/>
      <c r="AB50" s="20"/>
      <c r="AC50" s="20"/>
      <c r="AD50" s="20"/>
      <c r="AE50" s="20"/>
      <c r="AF50" s="20"/>
      <c r="AG50" s="20"/>
      <c r="AH50" s="20"/>
      <c r="AI50" s="20">
        <v>7</v>
      </c>
      <c r="AJ50" s="20" t="s">
        <v>165</v>
      </c>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row>
    <row r="51" spans="1:69" ht="12.75" customHeight="1" x14ac:dyDescent="0.2">
      <c r="A51" s="44" t="s">
        <v>176</v>
      </c>
      <c r="B51" s="39">
        <f t="shared" si="7"/>
        <v>0</v>
      </c>
      <c r="C51" s="20"/>
      <c r="D51" s="20"/>
      <c r="E51" s="20"/>
      <c r="F51" s="20"/>
      <c r="G51" s="20"/>
      <c r="H51" s="20"/>
      <c r="I51" s="20"/>
      <c r="J51" s="20"/>
      <c r="K51" s="20"/>
      <c r="L51" s="20"/>
      <c r="M51" s="20"/>
      <c r="N51" s="20"/>
      <c r="O51" s="20"/>
      <c r="P51" s="20"/>
      <c r="Q51" s="20"/>
      <c r="R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row>
    <row r="52" spans="1:69" ht="12.75" hidden="1" customHeight="1" x14ac:dyDescent="0.2">
      <c r="A52" s="44" t="s">
        <v>177</v>
      </c>
      <c r="B52" s="39">
        <f t="shared" si="7"/>
        <v>0</v>
      </c>
      <c r="C52" s="20"/>
      <c r="D52" s="20"/>
      <c r="E52" s="20"/>
      <c r="F52" s="20"/>
      <c r="G52" s="20"/>
      <c r="H52" s="20"/>
      <c r="I52" s="20"/>
      <c r="J52" s="20"/>
      <c r="K52" s="20"/>
      <c r="L52" s="20"/>
      <c r="M52" s="20"/>
      <c r="N52" s="20"/>
      <c r="O52" s="20"/>
      <c r="P52" s="20"/>
      <c r="Q52" s="20"/>
      <c r="R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row>
    <row r="53" spans="1:69" ht="12.75" customHeight="1" x14ac:dyDescent="0.2">
      <c r="A53" s="22" t="s">
        <v>178</v>
      </c>
      <c r="B53" s="39">
        <f t="shared" si="7"/>
        <v>0</v>
      </c>
      <c r="C53" s="20"/>
      <c r="D53" s="20"/>
      <c r="E53" s="20"/>
      <c r="F53" s="20"/>
      <c r="G53" s="20"/>
      <c r="H53" s="20"/>
      <c r="I53" s="20"/>
      <c r="J53" s="20"/>
      <c r="K53" s="20"/>
      <c r="L53" s="20"/>
      <c r="M53" s="20"/>
      <c r="N53" s="20"/>
      <c r="O53" s="20"/>
      <c r="P53" s="20"/>
      <c r="Q53" s="20"/>
      <c r="R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row>
    <row r="54" spans="1:69" ht="12.75" hidden="1" customHeight="1" x14ac:dyDescent="0.2">
      <c r="A54" s="22" t="s">
        <v>269</v>
      </c>
      <c r="B54" s="39">
        <f t="shared" si="7"/>
        <v>0</v>
      </c>
      <c r="C54" s="20"/>
      <c r="D54" s="20"/>
      <c r="E54" s="20"/>
      <c r="F54" s="20"/>
      <c r="G54" s="20"/>
      <c r="H54" s="20"/>
      <c r="I54" s="20"/>
      <c r="J54" s="20"/>
      <c r="K54" s="20"/>
      <c r="L54" s="20"/>
      <c r="M54" s="20"/>
      <c r="N54" s="20"/>
      <c r="O54" s="20"/>
      <c r="P54" s="20"/>
      <c r="Q54" s="20"/>
      <c r="R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row>
    <row r="55" spans="1:69" ht="12.75" customHeight="1" x14ac:dyDescent="0.2">
      <c r="A55" s="22" t="s">
        <v>180</v>
      </c>
      <c r="B55" s="39">
        <f t="shared" si="7"/>
        <v>0</v>
      </c>
      <c r="C55" s="20"/>
      <c r="D55" s="20"/>
      <c r="E55" s="20"/>
      <c r="F55" s="20"/>
      <c r="G55" s="20"/>
      <c r="H55" s="20"/>
      <c r="I55" s="20"/>
      <c r="J55" s="20"/>
      <c r="K55" s="20"/>
      <c r="L55" s="20"/>
      <c r="M55" s="20"/>
      <c r="N55" s="20"/>
      <c r="O55" s="20"/>
      <c r="P55" s="20"/>
      <c r="Q55" s="20"/>
      <c r="R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row>
    <row r="56" spans="1:69" ht="12.75" customHeight="1" x14ac:dyDescent="0.2">
      <c r="A56" s="22" t="s">
        <v>181</v>
      </c>
      <c r="B56" s="39">
        <f t="shared" si="7"/>
        <v>0</v>
      </c>
      <c r="C56" s="20"/>
      <c r="D56" s="20"/>
      <c r="E56" s="20"/>
      <c r="F56" s="20"/>
      <c r="G56" s="20"/>
      <c r="H56" s="20"/>
      <c r="I56" s="20"/>
      <c r="J56" s="20"/>
      <c r="K56" s="20"/>
      <c r="L56" s="20"/>
      <c r="M56" s="20"/>
      <c r="N56" s="20"/>
      <c r="O56" s="20"/>
      <c r="P56" s="20"/>
      <c r="Q56" s="20"/>
      <c r="R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row>
    <row r="57" spans="1:69" ht="12.75" customHeight="1" x14ac:dyDescent="0.2">
      <c r="A57" s="44" t="s">
        <v>182</v>
      </c>
      <c r="B57" s="39">
        <f t="shared" si="7"/>
        <v>0</v>
      </c>
      <c r="C57" s="20"/>
      <c r="D57" s="20"/>
      <c r="E57" s="20"/>
      <c r="F57" s="20"/>
      <c r="G57" s="20"/>
      <c r="H57" s="20"/>
      <c r="I57" s="20"/>
      <c r="J57" s="20"/>
      <c r="K57" s="20"/>
      <c r="L57" s="20"/>
      <c r="M57" s="20"/>
      <c r="N57" s="20"/>
      <c r="O57" s="20"/>
      <c r="P57" s="20"/>
      <c r="Q57" s="20"/>
      <c r="R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row>
    <row r="58" spans="1:69" ht="12.75" customHeight="1" x14ac:dyDescent="0.2">
      <c r="A58" s="44" t="s">
        <v>183</v>
      </c>
      <c r="B58" s="39">
        <f t="shared" si="7"/>
        <v>0</v>
      </c>
      <c r="C58" s="20"/>
      <c r="D58" s="20"/>
      <c r="E58" s="20"/>
      <c r="F58" s="20"/>
      <c r="G58" s="20"/>
      <c r="H58" s="20"/>
      <c r="I58" s="20"/>
      <c r="J58" s="20"/>
      <c r="K58" s="20"/>
      <c r="L58" s="20"/>
      <c r="M58" s="20"/>
      <c r="N58" s="20"/>
      <c r="O58" s="20"/>
      <c r="P58" s="20"/>
      <c r="Q58" s="20"/>
      <c r="R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row>
    <row r="59" spans="1:69" ht="12.75" customHeight="1" x14ac:dyDescent="0.2">
      <c r="A59" s="44" t="s">
        <v>184</v>
      </c>
      <c r="B59" s="39">
        <f t="shared" si="7"/>
        <v>0</v>
      </c>
      <c r="C59" s="20"/>
      <c r="D59" s="20"/>
      <c r="E59" s="20"/>
      <c r="F59" s="20"/>
      <c r="G59" s="20"/>
      <c r="H59" s="20"/>
      <c r="I59" s="20"/>
      <c r="J59" s="20"/>
      <c r="K59" s="20"/>
      <c r="L59" s="20"/>
      <c r="M59" s="20"/>
      <c r="N59" s="20"/>
      <c r="O59" s="20"/>
      <c r="P59" s="20"/>
      <c r="Q59" s="20"/>
      <c r="R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row>
    <row r="60" spans="1:69" ht="12.75" customHeight="1" x14ac:dyDescent="0.2">
      <c r="A60" s="44" t="s">
        <v>185</v>
      </c>
      <c r="B60" s="39">
        <f t="shared" si="7"/>
        <v>0</v>
      </c>
      <c r="C60" s="20"/>
      <c r="D60" s="20"/>
      <c r="E60" s="20"/>
      <c r="F60" s="20"/>
      <c r="G60" s="20"/>
      <c r="H60" s="20"/>
      <c r="I60" s="20"/>
      <c r="J60" s="20"/>
      <c r="K60" s="20"/>
      <c r="L60" s="20"/>
      <c r="M60" s="20"/>
      <c r="N60" s="20"/>
      <c r="O60" s="20"/>
      <c r="P60" s="20"/>
      <c r="Q60" s="20"/>
      <c r="R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row>
    <row r="61" spans="1:69" ht="12.75" customHeight="1" x14ac:dyDescent="0.2">
      <c r="A61" s="44" t="s">
        <v>186</v>
      </c>
      <c r="B61" s="39">
        <f t="shared" si="7"/>
        <v>0</v>
      </c>
      <c r="C61" s="20"/>
      <c r="D61" s="20"/>
      <c r="E61" s="20"/>
      <c r="F61" s="20"/>
      <c r="G61" s="20"/>
      <c r="H61" s="20"/>
      <c r="I61" s="20"/>
      <c r="J61" s="20"/>
      <c r="K61" s="20"/>
      <c r="L61" s="20"/>
      <c r="M61" s="20"/>
      <c r="N61" s="20"/>
      <c r="O61" s="20"/>
      <c r="P61" s="20"/>
      <c r="Q61" s="20"/>
      <c r="R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row>
    <row r="62" spans="1:69" ht="12.75" customHeight="1" x14ac:dyDescent="0.2">
      <c r="A62" s="44" t="s">
        <v>187</v>
      </c>
      <c r="B62" s="39">
        <f t="shared" si="7"/>
        <v>0</v>
      </c>
      <c r="C62" s="20"/>
      <c r="D62" s="20"/>
      <c r="E62" s="20"/>
      <c r="F62" s="20"/>
      <c r="G62" s="20"/>
      <c r="H62" s="20"/>
      <c r="I62" s="20"/>
      <c r="J62" s="20"/>
      <c r="K62" s="20"/>
      <c r="L62" s="20"/>
      <c r="M62" s="20"/>
      <c r="N62" s="20"/>
      <c r="O62" s="20"/>
      <c r="P62" s="20"/>
      <c r="Q62" s="20"/>
      <c r="R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row>
    <row r="63" spans="1:69" ht="12.75" hidden="1" customHeight="1" x14ac:dyDescent="0.2">
      <c r="A63" s="44" t="s">
        <v>140</v>
      </c>
      <c r="B63" s="39">
        <f t="shared" si="7"/>
        <v>0</v>
      </c>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row>
    <row r="64" spans="1:69" ht="12.75" hidden="1" customHeight="1" x14ac:dyDescent="0.2">
      <c r="A64" s="44" t="s">
        <v>188</v>
      </c>
      <c r="B64" s="39">
        <f t="shared" si="7"/>
        <v>0</v>
      </c>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row>
    <row r="65" spans="1:69" ht="12.75" hidden="1" customHeight="1" x14ac:dyDescent="0.2">
      <c r="A65" s="22" t="s">
        <v>189</v>
      </c>
      <c r="B65" s="39">
        <f t="shared" si="7"/>
        <v>0</v>
      </c>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row>
    <row r="66" spans="1:69" ht="12.75" hidden="1" customHeight="1" x14ac:dyDescent="0.2">
      <c r="A66" s="22" t="s">
        <v>190</v>
      </c>
      <c r="B66" s="39">
        <f t="shared" si="7"/>
        <v>0</v>
      </c>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row>
    <row r="67" spans="1:69" ht="12.75" hidden="1" customHeight="1" x14ac:dyDescent="0.2">
      <c r="A67" s="22" t="s">
        <v>191</v>
      </c>
      <c r="B67" s="39">
        <f t="shared" si="7"/>
        <v>0</v>
      </c>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row>
    <row r="68" spans="1:69" ht="12.75" hidden="1" customHeight="1" x14ac:dyDescent="0.2">
      <c r="A68" s="22" t="s">
        <v>192</v>
      </c>
      <c r="B68" s="39">
        <f t="shared" si="7"/>
        <v>0</v>
      </c>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row>
    <row r="69" spans="1:69" ht="12.75" hidden="1" customHeight="1" x14ac:dyDescent="0.2">
      <c r="A69" s="44" t="s">
        <v>193</v>
      </c>
      <c r="B69" s="39">
        <f t="shared" si="7"/>
        <v>0</v>
      </c>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row>
    <row r="70" spans="1:69" ht="12.75" hidden="1" customHeight="1" x14ac:dyDescent="0.2">
      <c r="A70" s="22" t="s">
        <v>194</v>
      </c>
      <c r="B70" s="39">
        <f t="shared" si="7"/>
        <v>0</v>
      </c>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row>
    <row r="71" spans="1:69" ht="12.75" customHeight="1" x14ac:dyDescent="0.2">
      <c r="A71" s="22" t="s">
        <v>195</v>
      </c>
      <c r="B71" s="39" t="s">
        <v>196</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row>
    <row r="72" spans="1:69" ht="12.75" customHeight="1" x14ac:dyDescent="0.2">
      <c r="A72" s="22"/>
      <c r="B72" s="276" t="s">
        <v>270</v>
      </c>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69" ht="12.75" customHeight="1" x14ac:dyDescent="0.2">
      <c r="A73" s="22" t="s">
        <v>271</v>
      </c>
      <c r="B73" s="277">
        <f>E22</f>
        <v>0</v>
      </c>
      <c r="C73" s="278"/>
      <c r="D73" s="278"/>
      <c r="E73" s="278"/>
      <c r="F73" s="278"/>
      <c r="G73" s="278"/>
      <c r="H73" s="278"/>
      <c r="I73" s="278"/>
      <c r="J73" s="278"/>
      <c r="K73" s="278"/>
      <c r="L73" s="278"/>
      <c r="M73" s="278"/>
      <c r="N73" s="278"/>
      <c r="O73" s="278"/>
      <c r="P73" s="278"/>
      <c r="Q73" s="278"/>
      <c r="R73" s="278"/>
      <c r="S73" s="278"/>
      <c r="T73" s="278"/>
      <c r="U73" s="278"/>
      <c r="V73" s="278"/>
      <c r="W73" s="278"/>
      <c r="X73" s="278"/>
      <c r="Y73" s="278"/>
      <c r="Z73" s="278"/>
      <c r="AA73" s="278"/>
      <c r="AB73" s="278"/>
      <c r="AC73" s="278"/>
      <c r="AD73" s="278"/>
      <c r="AE73" s="278"/>
      <c r="AF73" s="278"/>
      <c r="AG73" s="278"/>
      <c r="AH73" s="1"/>
      <c r="AJ73" s="1"/>
      <c r="AK73" s="1"/>
      <c r="AL73" s="41"/>
      <c r="AM73" s="42"/>
    </row>
    <row r="74" spans="1:69" ht="12.75" customHeight="1" x14ac:dyDescent="0.2">
      <c r="A74" s="22" t="s">
        <v>272</v>
      </c>
      <c r="B74" s="39">
        <f>SUM(C74:AG74)</f>
        <v>0</v>
      </c>
      <c r="C74" s="278"/>
      <c r="D74" s="278"/>
      <c r="E74" s="278"/>
      <c r="F74" s="278"/>
      <c r="G74" s="278"/>
      <c r="H74" s="278"/>
      <c r="I74" s="278"/>
      <c r="J74" s="278"/>
      <c r="K74" s="278"/>
      <c r="L74" s="278"/>
      <c r="M74" s="278"/>
      <c r="N74" s="278"/>
      <c r="O74" s="278"/>
      <c r="P74" s="278"/>
      <c r="Q74" s="278"/>
      <c r="R74" s="278"/>
      <c r="S74" s="278"/>
      <c r="T74" s="278"/>
      <c r="U74" s="278"/>
      <c r="V74" s="278"/>
      <c r="W74" s="278"/>
      <c r="X74" s="278"/>
      <c r="Y74" s="278"/>
      <c r="Z74" s="278"/>
      <c r="AA74" s="278"/>
      <c r="AB74" s="278"/>
      <c r="AC74" s="278"/>
      <c r="AD74" s="278"/>
      <c r="AE74" s="278"/>
      <c r="AF74" s="278"/>
      <c r="AG74" s="279"/>
      <c r="AH74" s="1"/>
      <c r="AJ74" s="1"/>
      <c r="AK74" s="1"/>
      <c r="AL74" s="41"/>
      <c r="AM74" s="42"/>
    </row>
    <row r="75" spans="1:69"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69" ht="12.75" customHeight="1" x14ac:dyDescent="0.2">
      <c r="A76" s="51" t="s">
        <v>197</v>
      </c>
      <c r="B76" s="52">
        <f>SUM(B47:B75)-B61-B67-B68-B69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69"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69" ht="12.75" customHeight="1" x14ac:dyDescent="0.2">
      <c r="A78" s="24"/>
      <c r="B78" s="55"/>
      <c r="AH78" s="24"/>
      <c r="AJ78" s="24"/>
      <c r="AK78" s="20"/>
      <c r="AL78" s="41"/>
      <c r="AM78" s="42"/>
    </row>
    <row r="79" spans="1:69" ht="12.75" customHeight="1" x14ac:dyDescent="0.25">
      <c r="A79" s="56" t="s">
        <v>273</v>
      </c>
      <c r="B79" s="57"/>
      <c r="AH79" s="24"/>
      <c r="AJ79" s="24"/>
      <c r="AK79" s="20"/>
      <c r="AL79" s="41"/>
      <c r="AM79" s="42"/>
    </row>
    <row r="80" spans="1:69" ht="12.75" customHeight="1" x14ac:dyDescent="0.2">
      <c r="A80" s="24"/>
      <c r="B80" s="55"/>
      <c r="AH80" s="24"/>
      <c r="AJ80" s="24"/>
      <c r="AK80" s="20"/>
      <c r="AL80" s="41"/>
      <c r="AM80" s="42"/>
    </row>
    <row r="81" spans="1:45" ht="12.75" customHeight="1" x14ac:dyDescent="0.2">
      <c r="A81" s="30"/>
      <c r="B81" s="31" t="s">
        <v>161</v>
      </c>
      <c r="C81" s="32">
        <f t="shared" ref="C81:AG81" si="8">SUM(C85:C101)</f>
        <v>0</v>
      </c>
      <c r="D81" s="32">
        <f t="shared" si="8"/>
        <v>0</v>
      </c>
      <c r="E81" s="32">
        <f t="shared" si="8"/>
        <v>0</v>
      </c>
      <c r="F81" s="32">
        <f t="shared" si="8"/>
        <v>0</v>
      </c>
      <c r="G81" s="32">
        <f t="shared" si="8"/>
        <v>0</v>
      </c>
      <c r="H81" s="32">
        <f t="shared" si="8"/>
        <v>0</v>
      </c>
      <c r="I81" s="32">
        <f t="shared" si="8"/>
        <v>0</v>
      </c>
      <c r="J81" s="32">
        <f t="shared" si="8"/>
        <v>0</v>
      </c>
      <c r="K81" s="32">
        <f t="shared" si="8"/>
        <v>0</v>
      </c>
      <c r="L81" s="32">
        <f t="shared" si="8"/>
        <v>0</v>
      </c>
      <c r="M81" s="32">
        <f t="shared" si="8"/>
        <v>0</v>
      </c>
      <c r="N81" s="32">
        <f t="shared" si="8"/>
        <v>0</v>
      </c>
      <c r="O81" s="32">
        <f t="shared" si="8"/>
        <v>0</v>
      </c>
      <c r="P81" s="32">
        <f t="shared" si="8"/>
        <v>0</v>
      </c>
      <c r="Q81" s="32">
        <f t="shared" si="8"/>
        <v>0</v>
      </c>
      <c r="R81" s="32">
        <f t="shared" si="8"/>
        <v>0</v>
      </c>
      <c r="S81" s="32">
        <f t="shared" si="8"/>
        <v>0</v>
      </c>
      <c r="T81" s="32">
        <f t="shared" si="8"/>
        <v>0</v>
      </c>
      <c r="U81" s="32">
        <f t="shared" si="8"/>
        <v>0</v>
      </c>
      <c r="V81" s="32">
        <f t="shared" si="8"/>
        <v>0</v>
      </c>
      <c r="W81" s="32">
        <f t="shared" si="8"/>
        <v>0</v>
      </c>
      <c r="X81" s="32">
        <f t="shared" si="8"/>
        <v>0</v>
      </c>
      <c r="Y81" s="32">
        <f t="shared" si="8"/>
        <v>0</v>
      </c>
      <c r="Z81" s="32">
        <f t="shared" si="8"/>
        <v>0</v>
      </c>
      <c r="AA81" s="32">
        <f t="shared" si="8"/>
        <v>0</v>
      </c>
      <c r="AB81" s="32">
        <f t="shared" si="8"/>
        <v>0</v>
      </c>
      <c r="AC81" s="32">
        <f t="shared" si="8"/>
        <v>0</v>
      </c>
      <c r="AD81" s="32">
        <f t="shared" si="8"/>
        <v>0</v>
      </c>
      <c r="AE81" s="32">
        <f t="shared" si="8"/>
        <v>0</v>
      </c>
      <c r="AF81" s="32">
        <f t="shared" si="8"/>
        <v>0</v>
      </c>
      <c r="AG81" s="32">
        <f t="shared" si="8"/>
        <v>0</v>
      </c>
      <c r="AH81" s="1"/>
      <c r="AI81" s="117"/>
      <c r="AJ81" s="118"/>
      <c r="AK81" s="1"/>
      <c r="AL81" s="33"/>
      <c r="AN81" s="1"/>
      <c r="AO81" s="1"/>
      <c r="AP81" s="1"/>
      <c r="AQ81" s="1"/>
      <c r="AR81" s="1"/>
      <c r="AS81" s="1"/>
    </row>
    <row r="82" spans="1:45" s="99" customFormat="1" ht="12.75" customHeight="1" x14ac:dyDescent="0.25">
      <c r="A82" s="216" t="s">
        <v>199</v>
      </c>
      <c r="B82" s="116">
        <f t="shared" ref="B82:AG82" si="9">B44</f>
        <v>36831</v>
      </c>
      <c r="C82" s="104">
        <f t="shared" si="9"/>
        <v>36831</v>
      </c>
      <c r="D82" s="104">
        <f t="shared" si="9"/>
        <v>36832</v>
      </c>
      <c r="E82" s="104">
        <f t="shared" si="9"/>
        <v>36833</v>
      </c>
      <c r="F82" s="104">
        <f t="shared" si="9"/>
        <v>36834</v>
      </c>
      <c r="G82" s="104">
        <f t="shared" si="9"/>
        <v>36835</v>
      </c>
      <c r="H82" s="104">
        <f t="shared" si="9"/>
        <v>36836</v>
      </c>
      <c r="I82" s="104">
        <f t="shared" si="9"/>
        <v>36837</v>
      </c>
      <c r="J82" s="104">
        <f t="shared" si="9"/>
        <v>36838</v>
      </c>
      <c r="K82" s="104">
        <f t="shared" si="9"/>
        <v>36839</v>
      </c>
      <c r="L82" s="104">
        <f t="shared" si="9"/>
        <v>36840</v>
      </c>
      <c r="M82" s="104">
        <f t="shared" si="9"/>
        <v>36841</v>
      </c>
      <c r="N82" s="104">
        <f t="shared" si="9"/>
        <v>36842</v>
      </c>
      <c r="O82" s="104">
        <f t="shared" si="9"/>
        <v>36843</v>
      </c>
      <c r="P82" s="104">
        <f t="shared" si="9"/>
        <v>36844</v>
      </c>
      <c r="Q82" s="104">
        <f t="shared" si="9"/>
        <v>36845</v>
      </c>
      <c r="R82" s="104">
        <f t="shared" si="9"/>
        <v>36846</v>
      </c>
      <c r="S82" s="104">
        <f t="shared" si="9"/>
        <v>36847</v>
      </c>
      <c r="T82" s="104">
        <f t="shared" si="9"/>
        <v>36848</v>
      </c>
      <c r="U82" s="104">
        <f t="shared" si="9"/>
        <v>36849</v>
      </c>
      <c r="V82" s="104">
        <f t="shared" si="9"/>
        <v>36850</v>
      </c>
      <c r="W82" s="104">
        <f t="shared" si="9"/>
        <v>36851</v>
      </c>
      <c r="X82" s="104">
        <f t="shared" si="9"/>
        <v>36852</v>
      </c>
      <c r="Y82" s="104">
        <f t="shared" si="9"/>
        <v>36853</v>
      </c>
      <c r="Z82" s="104">
        <f t="shared" si="9"/>
        <v>36854</v>
      </c>
      <c r="AA82" s="104">
        <f t="shared" si="9"/>
        <v>36855</v>
      </c>
      <c r="AB82" s="104">
        <f t="shared" si="9"/>
        <v>36856</v>
      </c>
      <c r="AC82" s="104">
        <f t="shared" si="9"/>
        <v>36857</v>
      </c>
      <c r="AD82" s="104">
        <f t="shared" si="9"/>
        <v>36858</v>
      </c>
      <c r="AE82" s="104">
        <f t="shared" si="9"/>
        <v>36859</v>
      </c>
      <c r="AF82" s="104">
        <f t="shared" si="9"/>
        <v>36860</v>
      </c>
      <c r="AG82" s="104">
        <f t="shared" si="9"/>
        <v>36861</v>
      </c>
      <c r="AI82" s="117"/>
      <c r="AJ82" s="119"/>
      <c r="AL82" s="100"/>
    </row>
    <row r="83" spans="1:45" ht="12.75" customHeight="1" x14ac:dyDescent="0.25">
      <c r="A83" s="34"/>
      <c r="B83" s="34"/>
      <c r="C83" s="105" t="str">
        <f t="shared" ref="C83:AG83" si="10">C45</f>
        <v>W</v>
      </c>
      <c r="D83" s="105" t="str">
        <f t="shared" si="10"/>
        <v>R</v>
      </c>
      <c r="E83" s="105" t="str">
        <f t="shared" si="10"/>
        <v>F</v>
      </c>
      <c r="F83" s="105" t="str">
        <f t="shared" si="10"/>
        <v>S</v>
      </c>
      <c r="G83" s="105" t="str">
        <f t="shared" si="10"/>
        <v>S</v>
      </c>
      <c r="H83" s="105" t="str">
        <f t="shared" si="10"/>
        <v>M</v>
      </c>
      <c r="I83" s="105" t="str">
        <f t="shared" si="10"/>
        <v>T</v>
      </c>
      <c r="J83" s="105" t="str">
        <f t="shared" si="10"/>
        <v>W</v>
      </c>
      <c r="K83" s="105" t="str">
        <f t="shared" si="10"/>
        <v>R</v>
      </c>
      <c r="L83" s="105" t="str">
        <f t="shared" si="10"/>
        <v>F</v>
      </c>
      <c r="M83" s="105" t="str">
        <f t="shared" si="10"/>
        <v>S</v>
      </c>
      <c r="N83" s="105" t="str">
        <f t="shared" si="10"/>
        <v>S</v>
      </c>
      <c r="O83" s="105" t="str">
        <f t="shared" si="10"/>
        <v>M</v>
      </c>
      <c r="P83" s="105" t="str">
        <f t="shared" si="10"/>
        <v>T</v>
      </c>
      <c r="Q83" s="105" t="str">
        <f t="shared" si="10"/>
        <v>W</v>
      </c>
      <c r="R83" s="105" t="str">
        <f t="shared" si="10"/>
        <v>R</v>
      </c>
      <c r="S83" s="105" t="str">
        <f t="shared" si="10"/>
        <v>F</v>
      </c>
      <c r="T83" s="105" t="str">
        <f t="shared" si="10"/>
        <v>S</v>
      </c>
      <c r="U83" s="105" t="str">
        <f t="shared" si="10"/>
        <v>S</v>
      </c>
      <c r="V83" s="105" t="str">
        <f t="shared" si="10"/>
        <v>M</v>
      </c>
      <c r="W83" s="105" t="str">
        <f t="shared" si="10"/>
        <v>T</v>
      </c>
      <c r="X83" s="105" t="str">
        <f t="shared" si="10"/>
        <v>W</v>
      </c>
      <c r="Y83" s="105" t="str">
        <f t="shared" si="10"/>
        <v>R</v>
      </c>
      <c r="Z83" s="105" t="str">
        <f t="shared" si="10"/>
        <v>F</v>
      </c>
      <c r="AA83" s="105" t="str">
        <f t="shared" si="10"/>
        <v>S</v>
      </c>
      <c r="AB83" s="105" t="str">
        <f t="shared" si="10"/>
        <v>S</v>
      </c>
      <c r="AC83" s="105" t="str">
        <f t="shared" si="10"/>
        <v>M</v>
      </c>
      <c r="AD83" s="105" t="str">
        <f t="shared" si="10"/>
        <v>T</v>
      </c>
      <c r="AE83" s="105" t="str">
        <f t="shared" si="10"/>
        <v>W</v>
      </c>
      <c r="AF83" s="105" t="str">
        <f t="shared" si="10"/>
        <v>R</v>
      </c>
      <c r="AG83" s="105" t="str">
        <f t="shared" si="10"/>
        <v>F</v>
      </c>
      <c r="AH83" s="1"/>
      <c r="AI83" s="117"/>
      <c r="AJ83" s="118"/>
      <c r="AK83" s="1"/>
      <c r="AL83" s="24"/>
      <c r="AN83" s="1"/>
      <c r="AO83" s="1"/>
      <c r="AP83" s="1"/>
      <c r="AQ83" s="1"/>
      <c r="AR83" s="1"/>
      <c r="AS83" s="1"/>
    </row>
    <row r="84" spans="1:45" ht="12.75" customHeight="1" thickBot="1" x14ac:dyDescent="0.3">
      <c r="A84" s="217"/>
      <c r="B84" s="35" t="s">
        <v>167</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200</v>
      </c>
      <c r="B85" s="39">
        <f t="shared" ref="B85:B97" si="11">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201</v>
      </c>
      <c r="B86" s="39">
        <f t="shared" si="11"/>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202</v>
      </c>
      <c r="B87" s="39">
        <f t="shared" si="11"/>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203</v>
      </c>
      <c r="B88" s="39">
        <f t="shared" si="11"/>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204</v>
      </c>
      <c r="B89" s="39">
        <f t="shared" si="11"/>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205</v>
      </c>
      <c r="B90" s="39">
        <f t="shared" si="11"/>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206</v>
      </c>
      <c r="B91" s="39">
        <f t="shared" si="11"/>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207</v>
      </c>
      <c r="B92" s="39">
        <f t="shared" si="11"/>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208</v>
      </c>
      <c r="B93" s="39">
        <f t="shared" si="11"/>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209</v>
      </c>
      <c r="B94" s="39">
        <f t="shared" si="11"/>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210</v>
      </c>
      <c r="B95" s="39">
        <f t="shared" si="11"/>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211</v>
      </c>
      <c r="B96" s="39">
        <f t="shared" si="11"/>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212</v>
      </c>
      <c r="B97" s="39">
        <f t="shared" si="11"/>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19" t="s">
        <v>213</v>
      </c>
      <c r="B102" s="51">
        <f>SUM(B87:B101)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161</v>
      </c>
      <c r="C104" s="32">
        <f t="shared" ref="C104:AG104" si="12">SUM(C108:C117)</f>
        <v>0</v>
      </c>
      <c r="D104" s="32">
        <f t="shared" si="12"/>
        <v>0</v>
      </c>
      <c r="E104" s="32">
        <f t="shared" si="12"/>
        <v>0</v>
      </c>
      <c r="F104" s="32">
        <f t="shared" si="12"/>
        <v>0</v>
      </c>
      <c r="G104" s="32">
        <f t="shared" si="12"/>
        <v>0</v>
      </c>
      <c r="H104" s="32">
        <f t="shared" si="12"/>
        <v>0</v>
      </c>
      <c r="I104" s="32">
        <f t="shared" si="12"/>
        <v>0</v>
      </c>
      <c r="J104" s="32">
        <f t="shared" si="12"/>
        <v>0</v>
      </c>
      <c r="K104" s="32">
        <f t="shared" si="12"/>
        <v>0</v>
      </c>
      <c r="L104" s="32">
        <f t="shared" si="12"/>
        <v>0</v>
      </c>
      <c r="M104" s="32">
        <f t="shared" si="12"/>
        <v>0</v>
      </c>
      <c r="N104" s="32">
        <f t="shared" si="12"/>
        <v>0</v>
      </c>
      <c r="O104" s="32">
        <f t="shared" si="12"/>
        <v>0</v>
      </c>
      <c r="P104" s="32">
        <f t="shared" si="12"/>
        <v>0</v>
      </c>
      <c r="Q104" s="32">
        <f t="shared" si="12"/>
        <v>0</v>
      </c>
      <c r="R104" s="32">
        <f t="shared" si="12"/>
        <v>0</v>
      </c>
      <c r="S104" s="32">
        <f t="shared" si="12"/>
        <v>0</v>
      </c>
      <c r="T104" s="32">
        <f t="shared" si="12"/>
        <v>0</v>
      </c>
      <c r="U104" s="32">
        <f t="shared" si="12"/>
        <v>0</v>
      </c>
      <c r="V104" s="32">
        <f t="shared" si="12"/>
        <v>0</v>
      </c>
      <c r="W104" s="32">
        <f t="shared" si="12"/>
        <v>0</v>
      </c>
      <c r="X104" s="32">
        <f t="shared" si="12"/>
        <v>0</v>
      </c>
      <c r="Y104" s="32">
        <f t="shared" si="12"/>
        <v>0</v>
      </c>
      <c r="Z104" s="32">
        <f t="shared" si="12"/>
        <v>0</v>
      </c>
      <c r="AA104" s="32">
        <f t="shared" si="12"/>
        <v>0</v>
      </c>
      <c r="AB104" s="32">
        <f t="shared" si="12"/>
        <v>0</v>
      </c>
      <c r="AC104" s="32">
        <f t="shared" si="12"/>
        <v>0</v>
      </c>
      <c r="AD104" s="32">
        <f t="shared" si="12"/>
        <v>0</v>
      </c>
      <c r="AE104" s="32">
        <f t="shared" si="12"/>
        <v>0</v>
      </c>
      <c r="AF104" s="32">
        <f t="shared" si="12"/>
        <v>0</v>
      </c>
      <c r="AG104" s="32">
        <f t="shared" si="12"/>
        <v>0</v>
      </c>
      <c r="AH104" s="1"/>
      <c r="AI104" s="117"/>
      <c r="AJ104" s="118"/>
      <c r="AK104" s="1"/>
      <c r="AL104" s="33"/>
      <c r="AN104" s="1"/>
      <c r="AO104" s="1"/>
      <c r="AP104" s="1"/>
      <c r="AQ104" s="1"/>
      <c r="AR104" s="1"/>
      <c r="AS104" s="1"/>
    </row>
    <row r="105" spans="1:45" s="99" customFormat="1" ht="12.75" customHeight="1" x14ac:dyDescent="0.25">
      <c r="A105" s="216" t="s">
        <v>214</v>
      </c>
      <c r="B105" s="116">
        <f t="shared" ref="B105:AG105" si="13">B44</f>
        <v>36831</v>
      </c>
      <c r="C105" s="104">
        <f t="shared" si="13"/>
        <v>36831</v>
      </c>
      <c r="D105" s="104">
        <f t="shared" si="13"/>
        <v>36832</v>
      </c>
      <c r="E105" s="104">
        <f t="shared" si="13"/>
        <v>36833</v>
      </c>
      <c r="F105" s="104">
        <f t="shared" si="13"/>
        <v>36834</v>
      </c>
      <c r="G105" s="104">
        <f t="shared" si="13"/>
        <v>36835</v>
      </c>
      <c r="H105" s="104">
        <f t="shared" si="13"/>
        <v>36836</v>
      </c>
      <c r="I105" s="104">
        <f t="shared" si="13"/>
        <v>36837</v>
      </c>
      <c r="J105" s="104">
        <f t="shared" si="13"/>
        <v>36838</v>
      </c>
      <c r="K105" s="104">
        <f t="shared" si="13"/>
        <v>36839</v>
      </c>
      <c r="L105" s="104">
        <f t="shared" si="13"/>
        <v>36840</v>
      </c>
      <c r="M105" s="104">
        <f t="shared" si="13"/>
        <v>36841</v>
      </c>
      <c r="N105" s="104">
        <f t="shared" si="13"/>
        <v>36842</v>
      </c>
      <c r="O105" s="104">
        <f t="shared" si="13"/>
        <v>36843</v>
      </c>
      <c r="P105" s="104">
        <f t="shared" si="13"/>
        <v>36844</v>
      </c>
      <c r="Q105" s="104">
        <f t="shared" si="13"/>
        <v>36845</v>
      </c>
      <c r="R105" s="104">
        <f t="shared" si="13"/>
        <v>36846</v>
      </c>
      <c r="S105" s="104">
        <f t="shared" si="13"/>
        <v>36847</v>
      </c>
      <c r="T105" s="104">
        <f t="shared" si="13"/>
        <v>36848</v>
      </c>
      <c r="U105" s="104">
        <f t="shared" si="13"/>
        <v>36849</v>
      </c>
      <c r="V105" s="104">
        <f t="shared" si="13"/>
        <v>36850</v>
      </c>
      <c r="W105" s="104">
        <f t="shared" si="13"/>
        <v>36851</v>
      </c>
      <c r="X105" s="104">
        <f t="shared" si="13"/>
        <v>36852</v>
      </c>
      <c r="Y105" s="104">
        <f t="shared" si="13"/>
        <v>36853</v>
      </c>
      <c r="Z105" s="104">
        <f t="shared" si="13"/>
        <v>36854</v>
      </c>
      <c r="AA105" s="104">
        <f t="shared" si="13"/>
        <v>36855</v>
      </c>
      <c r="AB105" s="104">
        <f t="shared" si="13"/>
        <v>36856</v>
      </c>
      <c r="AC105" s="104">
        <f t="shared" si="13"/>
        <v>36857</v>
      </c>
      <c r="AD105" s="104">
        <f t="shared" si="13"/>
        <v>36858</v>
      </c>
      <c r="AE105" s="104">
        <f t="shared" si="13"/>
        <v>36859</v>
      </c>
      <c r="AF105" s="104">
        <f t="shared" si="13"/>
        <v>36860</v>
      </c>
      <c r="AG105" s="104">
        <f t="shared" si="13"/>
        <v>36861</v>
      </c>
      <c r="AI105" s="117"/>
      <c r="AJ105" s="119"/>
      <c r="AL105" s="100"/>
    </row>
    <row r="106" spans="1:45" ht="12.75" customHeight="1" x14ac:dyDescent="0.25">
      <c r="A106" s="34"/>
      <c r="B106" s="34"/>
      <c r="C106" s="105" t="str">
        <f t="shared" ref="C106:AG106" si="14">C45</f>
        <v>W</v>
      </c>
      <c r="D106" s="105" t="str">
        <f t="shared" si="14"/>
        <v>R</v>
      </c>
      <c r="E106" s="105" t="str">
        <f t="shared" si="14"/>
        <v>F</v>
      </c>
      <c r="F106" s="105" t="str">
        <f t="shared" si="14"/>
        <v>S</v>
      </c>
      <c r="G106" s="105" t="str">
        <f t="shared" si="14"/>
        <v>S</v>
      </c>
      <c r="H106" s="105" t="str">
        <f t="shared" si="14"/>
        <v>M</v>
      </c>
      <c r="I106" s="105" t="str">
        <f t="shared" si="14"/>
        <v>T</v>
      </c>
      <c r="J106" s="105" t="str">
        <f t="shared" si="14"/>
        <v>W</v>
      </c>
      <c r="K106" s="105" t="str">
        <f t="shared" si="14"/>
        <v>R</v>
      </c>
      <c r="L106" s="105" t="str">
        <f t="shared" si="14"/>
        <v>F</v>
      </c>
      <c r="M106" s="105" t="str">
        <f t="shared" si="14"/>
        <v>S</v>
      </c>
      <c r="N106" s="105" t="str">
        <f t="shared" si="14"/>
        <v>S</v>
      </c>
      <c r="O106" s="105" t="str">
        <f t="shared" si="14"/>
        <v>M</v>
      </c>
      <c r="P106" s="105" t="str">
        <f t="shared" si="14"/>
        <v>T</v>
      </c>
      <c r="Q106" s="105" t="str">
        <f t="shared" si="14"/>
        <v>W</v>
      </c>
      <c r="R106" s="105" t="str">
        <f t="shared" si="14"/>
        <v>R</v>
      </c>
      <c r="S106" s="105" t="str">
        <f t="shared" si="14"/>
        <v>F</v>
      </c>
      <c r="T106" s="105" t="str">
        <f t="shared" si="14"/>
        <v>S</v>
      </c>
      <c r="U106" s="105" t="str">
        <f t="shared" si="14"/>
        <v>S</v>
      </c>
      <c r="V106" s="105" t="str">
        <f t="shared" si="14"/>
        <v>M</v>
      </c>
      <c r="W106" s="105" t="str">
        <f t="shared" si="14"/>
        <v>T</v>
      </c>
      <c r="X106" s="105" t="str">
        <f t="shared" si="14"/>
        <v>W</v>
      </c>
      <c r="Y106" s="105" t="str">
        <f t="shared" si="14"/>
        <v>R</v>
      </c>
      <c r="Z106" s="105" t="str">
        <f t="shared" si="14"/>
        <v>F</v>
      </c>
      <c r="AA106" s="105" t="str">
        <f t="shared" si="14"/>
        <v>S</v>
      </c>
      <c r="AB106" s="105" t="str">
        <f t="shared" si="14"/>
        <v>S</v>
      </c>
      <c r="AC106" s="105" t="str">
        <f t="shared" si="14"/>
        <v>M</v>
      </c>
      <c r="AD106" s="105" t="str">
        <f t="shared" si="14"/>
        <v>T</v>
      </c>
      <c r="AE106" s="105" t="str">
        <f t="shared" si="14"/>
        <v>W</v>
      </c>
      <c r="AF106" s="105" t="str">
        <f t="shared" si="14"/>
        <v>R</v>
      </c>
      <c r="AG106" s="105" t="str">
        <f t="shared" si="14"/>
        <v>F</v>
      </c>
      <c r="AH106" s="1"/>
      <c r="AI106" s="117"/>
      <c r="AJ106" s="118"/>
      <c r="AK106" s="1"/>
      <c r="AL106" s="24"/>
      <c r="AN106" s="1"/>
      <c r="AO106" s="1"/>
      <c r="AP106" s="1"/>
      <c r="AQ106" s="1"/>
      <c r="AR106" s="1"/>
      <c r="AS106" s="1"/>
    </row>
    <row r="107" spans="1:45" ht="12.75" customHeight="1" thickBot="1" x14ac:dyDescent="0.3">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205</v>
      </c>
      <c r="B108" s="39">
        <f t="shared" ref="B108:B113" si="15">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207</v>
      </c>
      <c r="B109" s="39">
        <f t="shared" si="15"/>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208</v>
      </c>
      <c r="B110" s="39">
        <f t="shared" si="15"/>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209</v>
      </c>
      <c r="B111" s="39">
        <f t="shared" si="15"/>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210</v>
      </c>
      <c r="B112" s="39">
        <f t="shared" si="15"/>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212</v>
      </c>
      <c r="B113" s="39">
        <f t="shared" si="15"/>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216</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217</v>
      </c>
      <c r="B124" s="76"/>
      <c r="C124" s="77"/>
      <c r="D124" s="77"/>
      <c r="E124" s="78"/>
      <c r="G124" s="75" t="s">
        <v>218</v>
      </c>
      <c r="H124" s="75"/>
      <c r="I124" s="76"/>
      <c r="J124" s="77"/>
      <c r="K124" s="77"/>
      <c r="L124" s="78"/>
      <c r="M124" s="9"/>
      <c r="N124" s="9"/>
      <c r="O124" s="1"/>
      <c r="P124" s="1"/>
    </row>
    <row r="125" spans="1:39" ht="12.75" customHeight="1" thickTop="1" x14ac:dyDescent="0.2">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
      <c r="A126" s="152" t="s">
        <v>274</v>
      </c>
      <c r="B126" s="24" t="s">
        <v>275</v>
      </c>
      <c r="C126" s="24"/>
      <c r="D126" s="38"/>
      <c r="E126" s="141"/>
      <c r="G126" s="79"/>
      <c r="H126" s="80"/>
      <c r="I126" s="24"/>
      <c r="J126" s="501"/>
      <c r="K126" s="149"/>
      <c r="L126" s="141"/>
      <c r="M126" s="1"/>
      <c r="N126" s="1"/>
      <c r="O126" s="1"/>
      <c r="P126" s="1"/>
    </row>
    <row r="127" spans="1:39" ht="12.75" customHeight="1" x14ac:dyDescent="0.2">
      <c r="A127" s="152" t="s">
        <v>276</v>
      </c>
      <c r="B127" s="24" t="s">
        <v>277</v>
      </c>
      <c r="C127" s="24"/>
      <c r="D127" s="38"/>
      <c r="E127" s="141"/>
      <c r="G127" s="466"/>
      <c r="H127" s="24"/>
      <c r="I127" s="1"/>
      <c r="J127" s="1"/>
      <c r="K127" s="38"/>
      <c r="L127" s="141"/>
      <c r="M127" s="1"/>
      <c r="N127" s="1"/>
      <c r="O127" s="1"/>
      <c r="P127" s="1"/>
    </row>
    <row r="128" spans="1:39" ht="12.75" customHeight="1" x14ac:dyDescent="0.2">
      <c r="A128" s="153">
        <v>36161</v>
      </c>
      <c r="B128" s="24" t="s">
        <v>226</v>
      </c>
      <c r="C128" s="24"/>
      <c r="D128" s="38"/>
      <c r="E128" s="141"/>
      <c r="G128" s="81"/>
      <c r="H128" s="1"/>
      <c r="I128" s="1"/>
      <c r="J128" s="437"/>
      <c r="K128" s="149"/>
      <c r="L128" s="142"/>
      <c r="M128" s="1"/>
      <c r="N128" s="1"/>
      <c r="O128" s="1"/>
      <c r="P128" s="1"/>
    </row>
    <row r="129" spans="1:16" ht="12.75" customHeight="1" x14ac:dyDescent="0.2">
      <c r="A129" s="153">
        <v>36192</v>
      </c>
      <c r="B129" s="24" t="s">
        <v>227</v>
      </c>
      <c r="C129" s="24"/>
      <c r="D129" s="38"/>
      <c r="E129" s="142"/>
      <c r="G129" s="81"/>
      <c r="H129" s="24"/>
      <c r="I129" s="1"/>
      <c r="J129" s="437"/>
      <c r="K129" s="38"/>
      <c r="L129" s="142"/>
      <c r="M129" s="1"/>
      <c r="N129" s="1"/>
      <c r="O129" s="1"/>
      <c r="P129" s="1"/>
    </row>
    <row r="130" spans="1:16" ht="12.75" customHeight="1" x14ac:dyDescent="0.2">
      <c r="A130" s="153">
        <v>36220</v>
      </c>
      <c r="B130" s="24" t="s">
        <v>228</v>
      </c>
      <c r="C130" s="24"/>
      <c r="D130" s="38"/>
      <c r="E130" s="141"/>
      <c r="G130" s="81"/>
      <c r="H130" s="24"/>
      <c r="I130" s="1"/>
      <c r="J130" s="502"/>
      <c r="K130" s="38"/>
      <c r="L130" s="141"/>
      <c r="M130" s="1"/>
      <c r="N130" s="1"/>
      <c r="O130" s="1"/>
      <c r="P130" s="1"/>
    </row>
    <row r="131" spans="1:16" ht="12.75" customHeight="1" x14ac:dyDescent="0.2">
      <c r="A131" s="153">
        <v>36251</v>
      </c>
      <c r="B131" s="24" t="s">
        <v>229</v>
      </c>
      <c r="C131" s="24"/>
      <c r="D131" s="38"/>
      <c r="E131" s="141"/>
      <c r="G131" s="81"/>
      <c r="H131" s="24"/>
      <c r="I131" s="1"/>
      <c r="J131" s="503"/>
      <c r="K131" s="38"/>
      <c r="L131" s="141"/>
      <c r="M131" s="1"/>
      <c r="N131" s="1"/>
      <c r="O131" s="1"/>
      <c r="P131" s="1"/>
    </row>
    <row r="132" spans="1:16" ht="12.75" customHeight="1" x14ac:dyDescent="0.2">
      <c r="A132" s="153">
        <v>36281</v>
      </c>
      <c r="B132" s="24" t="s">
        <v>230</v>
      </c>
      <c r="C132" s="82"/>
      <c r="D132" s="140"/>
      <c r="E132" s="142"/>
      <c r="G132" s="466"/>
      <c r="H132" s="24"/>
      <c r="I132" s="1"/>
      <c r="J132" s="1"/>
      <c r="K132" s="38"/>
      <c r="L132" s="142"/>
      <c r="M132" s="1"/>
      <c r="N132" s="1"/>
      <c r="O132" s="1"/>
      <c r="P132" s="1"/>
    </row>
    <row r="133" spans="1:16" ht="12.75" customHeight="1" x14ac:dyDescent="0.2">
      <c r="A133" s="153">
        <v>36312</v>
      </c>
      <c r="B133" s="24" t="s">
        <v>231</v>
      </c>
      <c r="C133" s="82"/>
      <c r="D133" s="140"/>
      <c r="E133" s="142"/>
      <c r="G133" s="81"/>
      <c r="H133" s="24"/>
      <c r="I133" s="1"/>
      <c r="J133" s="345"/>
      <c r="K133" s="38"/>
      <c r="L133" s="142"/>
      <c r="M133" s="1"/>
      <c r="N133" s="1"/>
      <c r="O133" s="1"/>
      <c r="P133" s="1"/>
    </row>
    <row r="134" spans="1:16" ht="12.75" customHeight="1" x14ac:dyDescent="0.2">
      <c r="A134" s="153">
        <v>36342</v>
      </c>
      <c r="B134" s="24" t="s">
        <v>232</v>
      </c>
      <c r="C134" s="82"/>
      <c r="D134" s="140"/>
      <c r="E134" s="141"/>
      <c r="G134" s="81"/>
      <c r="H134" s="24"/>
      <c r="I134" s="1"/>
      <c r="J134" s="1"/>
      <c r="K134" s="38"/>
      <c r="L134" s="141"/>
      <c r="M134" s="43"/>
      <c r="N134" s="42"/>
      <c r="O134" s="1"/>
      <c r="P134" s="1"/>
    </row>
    <row r="135" spans="1:16" ht="12.75" customHeight="1" x14ac:dyDescent="0.2">
      <c r="A135" s="153">
        <v>36373</v>
      </c>
      <c r="B135" s="24" t="s">
        <v>233</v>
      </c>
      <c r="C135" s="24"/>
      <c r="D135" s="38"/>
      <c r="E135" s="141"/>
      <c r="G135" s="81"/>
      <c r="H135" s="24"/>
      <c r="I135" s="1"/>
      <c r="J135" s="1"/>
      <c r="K135" s="38"/>
      <c r="L135" s="141"/>
      <c r="M135" s="43"/>
      <c r="N135" s="1"/>
      <c r="O135" s="1"/>
      <c r="P135" s="1"/>
    </row>
    <row r="136" spans="1:16" ht="12.75" customHeight="1" x14ac:dyDescent="0.2">
      <c r="A136" s="153">
        <v>36404</v>
      </c>
      <c r="B136" s="24" t="s">
        <v>234</v>
      </c>
      <c r="C136" s="24"/>
      <c r="D136" s="38"/>
      <c r="E136" s="141"/>
      <c r="G136" s="81"/>
      <c r="H136" s="24"/>
      <c r="I136" s="1"/>
      <c r="J136" s="1"/>
      <c r="K136" s="38"/>
      <c r="L136" s="141"/>
      <c r="M136" s="1"/>
      <c r="N136" s="43"/>
      <c r="O136" s="1"/>
      <c r="P136" s="1"/>
    </row>
    <row r="137" spans="1:16" ht="12.75" customHeight="1" x14ac:dyDescent="0.2">
      <c r="A137" s="153">
        <v>36434</v>
      </c>
      <c r="B137" s="24" t="s">
        <v>235</v>
      </c>
      <c r="C137" s="24"/>
      <c r="D137" s="38"/>
      <c r="E137" s="141"/>
      <c r="G137" s="81"/>
      <c r="H137" s="24"/>
      <c r="I137" s="9"/>
      <c r="J137" s="9"/>
      <c r="K137" s="38"/>
      <c r="L137" s="141"/>
      <c r="M137" s="1"/>
      <c r="N137" s="43"/>
      <c r="O137" s="1"/>
      <c r="P137" s="1"/>
    </row>
    <row r="138" spans="1:16" ht="12.75" customHeight="1" x14ac:dyDescent="0.2">
      <c r="A138" s="153">
        <v>36465</v>
      </c>
      <c r="B138" s="24" t="s">
        <v>236</v>
      </c>
      <c r="C138" s="83"/>
      <c r="D138" s="38"/>
      <c r="E138" s="141"/>
      <c r="G138" s="81"/>
      <c r="H138" s="24"/>
      <c r="I138" s="502"/>
      <c r="J138" s="9"/>
      <c r="K138" s="38"/>
      <c r="L138" s="141"/>
      <c r="M138" s="1"/>
      <c r="N138" s="1"/>
      <c r="O138" s="1"/>
      <c r="P138" s="1"/>
    </row>
    <row r="139" spans="1:16" ht="12.75" customHeight="1" x14ac:dyDescent="0.2">
      <c r="A139" s="153">
        <v>36495</v>
      </c>
      <c r="B139" s="24" t="s">
        <v>237</v>
      </c>
      <c r="C139" s="1"/>
      <c r="D139" s="49"/>
      <c r="E139" s="141"/>
      <c r="G139" s="81"/>
      <c r="H139" s="24"/>
      <c r="I139" s="1"/>
      <c r="J139" s="1"/>
      <c r="K139" s="38"/>
      <c r="L139" s="141"/>
      <c r="M139" s="1"/>
      <c r="N139" s="1"/>
      <c r="O139" s="1"/>
      <c r="P139" s="1"/>
    </row>
    <row r="140" spans="1:16" ht="12.75" customHeight="1" x14ac:dyDescent="0.2">
      <c r="A140" s="153">
        <v>36526</v>
      </c>
      <c r="B140" s="24" t="s">
        <v>238</v>
      </c>
      <c r="C140" s="1"/>
      <c r="D140" s="38"/>
      <c r="E140" s="141">
        <f>2398-15140</f>
        <v>-12742</v>
      </c>
      <c r="G140" s="81"/>
      <c r="H140" s="24"/>
      <c r="I140" s="1"/>
      <c r="J140" s="1"/>
      <c r="K140" s="38"/>
      <c r="L140" s="141"/>
      <c r="M140" s="1"/>
      <c r="N140" s="1"/>
      <c r="O140" s="1"/>
      <c r="P140" s="1"/>
    </row>
    <row r="141" spans="1:16" ht="12.75" customHeight="1" x14ac:dyDescent="0.2">
      <c r="A141" s="153">
        <v>36557</v>
      </c>
      <c r="B141" s="24" t="s">
        <v>239</v>
      </c>
      <c r="C141" s="1"/>
      <c r="D141" s="38"/>
      <c r="E141" s="141">
        <v>-38040</v>
      </c>
      <c r="G141" s="505"/>
      <c r="H141" s="24"/>
      <c r="I141" s="1"/>
      <c r="J141" s="1"/>
      <c r="K141" s="38"/>
      <c r="L141" s="504"/>
      <c r="M141" s="1"/>
      <c r="N141" s="1"/>
      <c r="O141" s="1"/>
      <c r="P141" s="1"/>
    </row>
    <row r="142" spans="1:16" ht="12.75" customHeight="1" x14ac:dyDescent="0.2">
      <c r="A142" s="153">
        <v>36586</v>
      </c>
      <c r="B142" s="24" t="s">
        <v>240</v>
      </c>
      <c r="C142" s="24"/>
      <c r="D142" s="38"/>
      <c r="E142" s="141">
        <v>-31368</v>
      </c>
      <c r="G142" s="81"/>
      <c r="H142" s="24"/>
      <c r="I142" s="1"/>
      <c r="J142" s="1"/>
      <c r="K142" s="38"/>
      <c r="L142" s="141"/>
      <c r="M142" s="1"/>
      <c r="N142" s="1"/>
      <c r="O142" s="1"/>
      <c r="P142" s="1"/>
    </row>
    <row r="143" spans="1:16" ht="12.75" customHeight="1" x14ac:dyDescent="0.2">
      <c r="A143" s="153">
        <v>36617</v>
      </c>
      <c r="B143" s="24" t="s">
        <v>479</v>
      </c>
      <c r="C143" s="24"/>
      <c r="D143" s="38"/>
      <c r="E143" s="141">
        <v>-3234</v>
      </c>
      <c r="G143" s="81"/>
      <c r="H143" s="24"/>
      <c r="I143" s="1"/>
      <c r="J143" s="1"/>
      <c r="K143" s="38"/>
      <c r="L143" s="141"/>
      <c r="M143" s="1"/>
      <c r="N143" s="1"/>
      <c r="O143" s="1"/>
      <c r="P143" s="1"/>
    </row>
    <row r="144" spans="1:16" ht="12.75" customHeight="1" x14ac:dyDescent="0.2">
      <c r="A144" s="153">
        <v>36647</v>
      </c>
      <c r="B144" s="24" t="s">
        <v>487</v>
      </c>
      <c r="C144" s="24"/>
      <c r="D144" s="38"/>
      <c r="E144" s="141">
        <v>-15730</v>
      </c>
      <c r="G144" s="81"/>
      <c r="H144" s="24"/>
      <c r="I144" s="9"/>
      <c r="J144" s="502"/>
      <c r="K144" s="38"/>
      <c r="L144" s="141"/>
      <c r="M144" s="1"/>
      <c r="N144" s="1"/>
      <c r="O144" s="1"/>
      <c r="P144" s="1"/>
    </row>
    <row r="145" spans="1:16" ht="12.75" customHeight="1" x14ac:dyDescent="0.2">
      <c r="A145" s="153">
        <v>36678</v>
      </c>
      <c r="B145" s="24" t="s">
        <v>493</v>
      </c>
      <c r="C145" s="24"/>
      <c r="D145" s="38"/>
      <c r="E145" s="141">
        <v>-42401</v>
      </c>
      <c r="G145" s="81"/>
      <c r="H145" s="24"/>
      <c r="I145" s="9"/>
      <c r="J145" s="502"/>
      <c r="K145" s="38"/>
      <c r="L145" s="141"/>
      <c r="M145" s="1"/>
      <c r="N145" s="1"/>
      <c r="O145" s="1"/>
      <c r="P145" s="1"/>
    </row>
    <row r="146" spans="1:16" ht="12.75" customHeight="1" x14ac:dyDescent="0.2">
      <c r="A146" s="153">
        <v>36708</v>
      </c>
      <c r="B146" s="24" t="s">
        <v>494</v>
      </c>
      <c r="C146" s="24"/>
      <c r="D146" s="38"/>
      <c r="E146" s="141">
        <v>-2005</v>
      </c>
      <c r="G146" s="81"/>
      <c r="H146" s="24"/>
      <c r="I146" s="1"/>
      <c r="J146" s="345"/>
      <c r="K146" s="38"/>
      <c r="L146" s="141"/>
      <c r="M146" s="1"/>
      <c r="N146" s="1"/>
      <c r="O146" s="1"/>
      <c r="P146" s="1"/>
    </row>
    <row r="147" spans="1:16" ht="12.75" customHeight="1" x14ac:dyDescent="0.2">
      <c r="A147" s="153">
        <v>36739</v>
      </c>
      <c r="B147" s="24" t="s">
        <v>499</v>
      </c>
      <c r="C147" s="24"/>
      <c r="D147" s="38"/>
      <c r="E147" s="141">
        <v>160980</v>
      </c>
      <c r="G147" s="81"/>
      <c r="H147" s="24"/>
      <c r="I147" s="1"/>
      <c r="J147" s="1"/>
      <c r="K147" s="38"/>
      <c r="L147" s="141"/>
      <c r="M147" s="1"/>
      <c r="N147" s="1"/>
      <c r="O147" s="1"/>
      <c r="P147" s="1"/>
    </row>
    <row r="148" spans="1:16" ht="12.75" customHeight="1" x14ac:dyDescent="0.2">
      <c r="A148" s="153">
        <v>36770</v>
      </c>
      <c r="B148" s="24" t="s">
        <v>510</v>
      </c>
      <c r="C148" s="24"/>
      <c r="D148" s="38"/>
      <c r="E148" s="141">
        <v>172343</v>
      </c>
      <c r="G148" s="81"/>
      <c r="H148" s="24"/>
      <c r="I148" s="1"/>
      <c r="J148" s="1"/>
      <c r="K148" s="38"/>
      <c r="L148" s="141"/>
      <c r="M148" s="1"/>
      <c r="N148" s="1"/>
      <c r="O148" s="1"/>
      <c r="P148" s="1"/>
    </row>
    <row r="149" spans="1:16" ht="12.75" customHeight="1" x14ac:dyDescent="0.2">
      <c r="A149" s="153">
        <v>36800</v>
      </c>
      <c r="B149" s="24" t="s">
        <v>519</v>
      </c>
      <c r="C149" s="24"/>
      <c r="D149" s="38"/>
      <c r="E149" s="141">
        <v>92743</v>
      </c>
      <c r="G149" s="81"/>
      <c r="H149" s="24"/>
      <c r="I149" s="1"/>
      <c r="J149" s="1"/>
      <c r="K149" s="38"/>
      <c r="L149" s="141"/>
      <c r="M149" s="1"/>
      <c r="N149" s="1"/>
      <c r="O149" s="1"/>
      <c r="P149" s="1"/>
    </row>
    <row r="150" spans="1:16" ht="12.75" customHeight="1" x14ac:dyDescent="0.2">
      <c r="A150" s="153"/>
      <c r="B150" s="24"/>
      <c r="C150" s="24"/>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1"/>
      <c r="M158" s="1"/>
      <c r="N158" s="1"/>
      <c r="O158" s="1"/>
      <c r="P158" s="1"/>
    </row>
    <row r="159" spans="1:16" ht="12.75" customHeight="1" thickBot="1" x14ac:dyDescent="0.25">
      <c r="A159" s="63"/>
      <c r="B159" s="24"/>
      <c r="C159" s="24"/>
      <c r="D159" s="145" t="s">
        <v>241</v>
      </c>
      <c r="E159" s="144">
        <f>SUM(E126:E158)</f>
        <v>280546</v>
      </c>
      <c r="G159" s="81"/>
      <c r="H159" s="24"/>
      <c r="I159" s="1"/>
      <c r="J159" s="1"/>
      <c r="K159" s="38"/>
      <c r="L159" s="143"/>
      <c r="M159" s="1"/>
      <c r="N159" s="1"/>
      <c r="O159" s="1"/>
      <c r="P159" s="1"/>
    </row>
    <row r="160" spans="1:16" ht="12.75" customHeight="1" thickTop="1" thickBot="1" x14ac:dyDescent="0.25">
      <c r="A160" s="71"/>
      <c r="B160" s="72"/>
      <c r="C160" s="72"/>
      <c r="D160" s="72"/>
      <c r="E160" s="73"/>
      <c r="G160" s="63"/>
      <c r="H160" s="24"/>
      <c r="I160" s="1"/>
      <c r="J160" s="1"/>
      <c r="K160" s="145" t="s">
        <v>242</v>
      </c>
      <c r="L160" s="144">
        <f>SUM(L126:L159)</f>
        <v>0</v>
      </c>
      <c r="M160" s="1"/>
      <c r="N160" s="1"/>
      <c r="O160" s="1"/>
      <c r="P160" s="1"/>
    </row>
    <row r="161" spans="1:39" ht="12.75" customHeight="1" thickTop="1" thickBot="1" x14ac:dyDescent="0.25">
      <c r="G161" s="71"/>
      <c r="H161" s="72"/>
      <c r="I161" s="72"/>
      <c r="J161" s="72"/>
      <c r="K161" s="72"/>
      <c r="L161" s="73"/>
      <c r="AJ161" s="1"/>
      <c r="AK161" s="1"/>
      <c r="AL161" s="1"/>
      <c r="AM161" s="1"/>
    </row>
    <row r="162" spans="1:39" ht="12.75" customHeight="1" thickTop="1" thickBot="1" x14ac:dyDescent="0.25">
      <c r="AJ162" s="1"/>
      <c r="AK162" s="1"/>
      <c r="AL162" s="1"/>
      <c r="AM162" s="1"/>
    </row>
    <row r="163" spans="1:39" ht="12.75" customHeight="1" thickTop="1" thickBot="1" x14ac:dyDescent="0.25">
      <c r="A163" s="75" t="s">
        <v>243</v>
      </c>
      <c r="B163" s="77"/>
      <c r="C163" s="77"/>
      <c r="D163" s="77"/>
      <c r="E163" s="78"/>
      <c r="AJ163" s="1"/>
      <c r="AK163" s="1"/>
      <c r="AL163" s="1"/>
      <c r="AM163" s="1"/>
    </row>
    <row r="164" spans="1:39" ht="12.75" customHeight="1" thickTop="1" x14ac:dyDescent="0.2">
      <c r="A164" s="136" t="s">
        <v>219</v>
      </c>
      <c r="B164" s="24" t="s">
        <v>510</v>
      </c>
      <c r="C164" s="138"/>
      <c r="D164" s="139"/>
      <c r="E164" s="210" t="s">
        <v>221</v>
      </c>
      <c r="AJ164" s="1"/>
      <c r="AK164" s="1"/>
      <c r="AL164" s="1"/>
      <c r="AM164" s="1"/>
    </row>
    <row r="165" spans="1:39" ht="12.75" customHeight="1" x14ac:dyDescent="0.2">
      <c r="A165" s="221"/>
      <c r="B165" s="24" t="s">
        <v>510</v>
      </c>
      <c r="C165" s="24"/>
      <c r="D165" s="38"/>
      <c r="E165" s="141"/>
      <c r="AJ165" s="1"/>
      <c r="AK165" s="1"/>
      <c r="AL165" s="1"/>
      <c r="AM165" s="1"/>
    </row>
    <row r="166" spans="1:39" ht="12.75" customHeight="1" x14ac:dyDescent="0.2">
      <c r="A166" s="221"/>
      <c r="B166" s="24"/>
      <c r="C166" s="24"/>
      <c r="D166" s="38"/>
      <c r="E166" s="141"/>
      <c r="AJ166" s="1"/>
      <c r="AK166" s="1"/>
      <c r="AL166" s="1"/>
      <c r="AM166" s="1"/>
    </row>
    <row r="167" spans="1:39" ht="12.75" customHeight="1" x14ac:dyDescent="0.2">
      <c r="A167" s="221"/>
      <c r="B167" s="24"/>
      <c r="C167" s="24"/>
      <c r="D167" s="38"/>
      <c r="E167" s="141"/>
      <c r="AJ167" s="1"/>
      <c r="AK167" s="1"/>
      <c r="AL167" s="1"/>
      <c r="AM167" s="1"/>
    </row>
    <row r="168" spans="1:39" ht="12.75" customHeight="1" x14ac:dyDescent="0.2">
      <c r="A168" s="221"/>
      <c r="B168" s="24"/>
      <c r="C168" s="24"/>
      <c r="D168" s="38"/>
      <c r="E168" s="142"/>
      <c r="AJ168" s="1"/>
      <c r="AK168" s="1"/>
      <c r="AL168" s="1"/>
      <c r="AM168" s="1"/>
    </row>
    <row r="169" spans="1:39" ht="12.75" customHeight="1" x14ac:dyDescent="0.2">
      <c r="A169" s="221"/>
      <c r="B169" s="24"/>
      <c r="C169" s="24"/>
      <c r="D169" s="38"/>
      <c r="E169" s="141"/>
      <c r="AJ169" s="1"/>
      <c r="AK169" s="1"/>
      <c r="AL169" s="1"/>
      <c r="AM169" s="1"/>
    </row>
    <row r="170" spans="1:39" ht="12.75" customHeight="1" x14ac:dyDescent="0.2">
      <c r="A170" s="221"/>
      <c r="B170" s="24"/>
      <c r="C170" s="24"/>
      <c r="D170" s="38"/>
      <c r="E170" s="141"/>
      <c r="AJ170" s="1"/>
      <c r="AK170" s="1"/>
      <c r="AL170" s="1"/>
      <c r="AM170" s="1"/>
    </row>
    <row r="171" spans="1:39" ht="12.75" customHeight="1" x14ac:dyDescent="0.2">
      <c r="A171" s="221"/>
      <c r="B171" s="24"/>
      <c r="C171" s="82"/>
      <c r="D171" s="140"/>
      <c r="E171" s="142"/>
      <c r="AJ171" s="1"/>
      <c r="AK171" s="1"/>
      <c r="AL171" s="1"/>
      <c r="AM171" s="1"/>
    </row>
    <row r="172" spans="1:39" ht="12.75" customHeight="1" x14ac:dyDescent="0.2">
      <c r="A172" s="221"/>
      <c r="B172" s="80"/>
      <c r="C172" s="82"/>
      <c r="D172" s="140"/>
      <c r="E172" s="142"/>
      <c r="AJ172" s="1"/>
      <c r="AK172" s="1"/>
      <c r="AL172" s="1"/>
      <c r="AM172" s="1"/>
    </row>
    <row r="173" spans="1:39" ht="12.75" customHeight="1" x14ac:dyDescent="0.2">
      <c r="A173" s="221"/>
      <c r="B173" s="80"/>
      <c r="C173" s="24"/>
      <c r="D173" s="38"/>
      <c r="E173" s="141"/>
      <c r="AJ173" s="1"/>
      <c r="AK173" s="1"/>
      <c r="AL173" s="1"/>
      <c r="AM173" s="1"/>
    </row>
    <row r="174" spans="1:39" ht="12.75" customHeight="1" x14ac:dyDescent="0.2">
      <c r="A174" s="221"/>
      <c r="B174" s="24"/>
      <c r="C174" s="24"/>
      <c r="D174" s="38"/>
      <c r="E174" s="141"/>
      <c r="AJ174" s="1"/>
      <c r="AK174" s="1"/>
      <c r="AL174" s="1"/>
      <c r="AM174" s="1"/>
    </row>
    <row r="175" spans="1:39" ht="12.75" customHeight="1" x14ac:dyDescent="0.2">
      <c r="A175" s="221"/>
      <c r="B175" s="24"/>
      <c r="C175" s="24"/>
      <c r="D175" s="38"/>
      <c r="E175" s="142"/>
      <c r="AJ175" s="1"/>
      <c r="AK175" s="1"/>
      <c r="AL175" s="1"/>
      <c r="AM175" s="1"/>
    </row>
    <row r="176" spans="1:39" ht="12.75" customHeight="1" x14ac:dyDescent="0.2">
      <c r="A176" s="221"/>
      <c r="B176" s="24"/>
      <c r="C176" s="24"/>
      <c r="D176" s="38"/>
      <c r="E176" s="141"/>
      <c r="AJ176" s="1"/>
      <c r="AK176" s="1"/>
      <c r="AL176" s="1"/>
      <c r="AM176" s="1"/>
    </row>
    <row r="177" spans="1:39" ht="12.75" customHeight="1" x14ac:dyDescent="0.2">
      <c r="A177" s="221"/>
      <c r="B177" s="24"/>
      <c r="C177" s="24"/>
      <c r="D177" s="38"/>
      <c r="E177" s="141"/>
      <c r="AJ177" s="1"/>
      <c r="AK177" s="1"/>
      <c r="AL177" s="1"/>
      <c r="AM177" s="1"/>
    </row>
    <row r="178" spans="1:39" ht="12.75" customHeight="1" x14ac:dyDescent="0.2">
      <c r="A178" s="221"/>
      <c r="B178" s="9"/>
      <c r="C178" s="82"/>
      <c r="D178" s="140"/>
      <c r="E178" s="142"/>
      <c r="AJ178" s="1"/>
      <c r="AK178" s="1"/>
      <c r="AL178" s="1"/>
      <c r="AM178" s="1"/>
    </row>
    <row r="179" spans="1:39" ht="12.75" customHeight="1" x14ac:dyDescent="0.2">
      <c r="A179" s="221"/>
      <c r="B179" s="9"/>
      <c r="C179" s="82"/>
      <c r="D179" s="140"/>
      <c r="E179" s="142"/>
      <c r="AJ179" s="1"/>
      <c r="AK179" s="1"/>
      <c r="AL179" s="1"/>
      <c r="AM179" s="1"/>
    </row>
    <row r="180" spans="1:39" ht="12.75" customHeight="1" x14ac:dyDescent="0.2">
      <c r="A180" s="221"/>
      <c r="B180" s="9"/>
      <c r="C180" s="82"/>
      <c r="D180" s="140"/>
      <c r="E180" s="141"/>
      <c r="AJ180" s="1"/>
      <c r="AK180" s="1"/>
      <c r="AL180" s="1"/>
      <c r="AM180" s="1"/>
    </row>
    <row r="181" spans="1:39" ht="12.75" customHeight="1" x14ac:dyDescent="0.2">
      <c r="A181" s="221"/>
      <c r="B181" s="24"/>
      <c r="C181" s="24"/>
      <c r="D181" s="38"/>
      <c r="E181" s="141"/>
      <c r="AJ181" s="1"/>
      <c r="AK181" s="1"/>
      <c r="AL181" s="1"/>
      <c r="AM181" s="1"/>
    </row>
    <row r="182" spans="1:39" ht="12.75" customHeight="1" x14ac:dyDescent="0.2">
      <c r="A182" s="221"/>
      <c r="B182" s="24"/>
      <c r="C182" s="24"/>
      <c r="D182" s="38"/>
      <c r="E182" s="141"/>
      <c r="AJ182" s="1"/>
      <c r="AK182" s="1"/>
      <c r="AL182" s="1"/>
      <c r="AM182" s="1"/>
    </row>
    <row r="183" spans="1:39" ht="12.75" customHeight="1" x14ac:dyDescent="0.2">
      <c r="A183" s="221"/>
      <c r="B183" s="24"/>
      <c r="C183" s="24"/>
      <c r="D183" s="38"/>
      <c r="E183" s="141"/>
      <c r="AJ183" s="1"/>
      <c r="AK183" s="1"/>
      <c r="AL183" s="1"/>
      <c r="AM183" s="1"/>
    </row>
    <row r="184" spans="1:39" ht="12.75" customHeight="1" x14ac:dyDescent="0.2">
      <c r="A184" s="221"/>
      <c r="B184" s="24"/>
      <c r="C184" s="24"/>
      <c r="D184" s="38"/>
      <c r="E184" s="143"/>
      <c r="AJ184" s="1"/>
      <c r="AK184" s="1"/>
      <c r="AL184" s="1"/>
      <c r="AM184" s="1"/>
    </row>
    <row r="185" spans="1:39" ht="12.75" customHeight="1" thickBot="1" x14ac:dyDescent="0.25">
      <c r="A185" s="222"/>
      <c r="B185" s="24"/>
      <c r="C185" s="24"/>
      <c r="D185" s="145" t="s">
        <v>244</v>
      </c>
      <c r="E185" s="144">
        <f>SUM(E165:E184)</f>
        <v>0</v>
      </c>
      <c r="AJ185" s="1"/>
      <c r="AK185" s="1"/>
      <c r="AL185" s="1"/>
      <c r="AM185" s="1"/>
    </row>
    <row r="186" spans="1:39" ht="12.75" customHeight="1" thickTop="1" thickBot="1" x14ac:dyDescent="0.25">
      <c r="A186" s="220"/>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thickBot="1" x14ac:dyDescent="0.25">
      <c r="A189" s="84" t="s">
        <v>245</v>
      </c>
      <c r="B189" s="59"/>
      <c r="C189" s="59"/>
      <c r="D189" s="59"/>
      <c r="E189" s="59"/>
      <c r="F189" s="59"/>
      <c r="M189" s="60"/>
      <c r="O189" s="1"/>
      <c r="P189" s="1"/>
      <c r="Q189" s="1"/>
      <c r="R189" s="1"/>
    </row>
    <row r="190" spans="1:39" ht="12.75" customHeight="1" thickTop="1" x14ac:dyDescent="0.2">
      <c r="A190" s="85" t="s">
        <v>246</v>
      </c>
      <c r="B190" s="86" t="s">
        <v>219</v>
      </c>
      <c r="C190" s="87" t="s">
        <v>247</v>
      </c>
      <c r="D190" s="88" t="s">
        <v>248</v>
      </c>
      <c r="E190" s="135" t="s">
        <v>220</v>
      </c>
      <c r="F190" s="89"/>
      <c r="G190" s="59"/>
      <c r="H190" s="59"/>
      <c r="I190" s="59"/>
      <c r="J190" s="59"/>
      <c r="K190" s="59"/>
      <c r="L190" s="59"/>
      <c r="M190" s="211" t="s">
        <v>221</v>
      </c>
      <c r="O190" s="1"/>
      <c r="P190" s="1"/>
      <c r="Q190" s="1"/>
      <c r="R190" s="1"/>
    </row>
    <row r="191" spans="1:39" ht="12.75" customHeight="1" x14ac:dyDescent="0.2">
      <c r="A191" s="227"/>
      <c r="B191" s="134"/>
      <c r="C191" s="224"/>
      <c r="D191" s="38"/>
      <c r="E191" s="24"/>
      <c r="F191" s="24"/>
      <c r="G191" s="89"/>
      <c r="H191" s="89"/>
      <c r="I191" s="89"/>
      <c r="J191" s="89"/>
      <c r="K191" s="89"/>
      <c r="L191" s="89"/>
      <c r="M191" s="91"/>
      <c r="O191" s="1"/>
      <c r="P191" s="1"/>
      <c r="Q191" s="1"/>
      <c r="R191" s="1"/>
    </row>
    <row r="192" spans="1:39" ht="12.75" customHeight="1" x14ac:dyDescent="0.2">
      <c r="A192" s="227"/>
      <c r="B192" s="134"/>
      <c r="C192" s="224"/>
      <c r="D192" s="38"/>
      <c r="E192" s="24"/>
      <c r="F192" s="24"/>
      <c r="G192" s="24"/>
      <c r="H192" s="24"/>
      <c r="I192" s="24"/>
      <c r="J192" s="24"/>
      <c r="K192" s="24"/>
      <c r="L192" s="24"/>
      <c r="M192" s="91"/>
      <c r="O192" s="1"/>
      <c r="P192" s="1"/>
      <c r="Q192" s="1"/>
      <c r="R192" s="1"/>
    </row>
    <row r="193" spans="1:18" ht="12.75" customHeight="1" x14ac:dyDescent="0.2">
      <c r="A193" s="227"/>
      <c r="B193" s="134"/>
      <c r="C193" s="224"/>
      <c r="D193" s="38"/>
      <c r="E193" s="24"/>
      <c r="F193" s="24"/>
      <c r="G193" s="24"/>
      <c r="H193" s="24"/>
      <c r="I193" s="24"/>
      <c r="J193" s="24"/>
      <c r="K193" s="24"/>
      <c r="L193" s="24"/>
      <c r="M193" s="91"/>
      <c r="O193" s="1"/>
      <c r="P193" s="1"/>
      <c r="Q193" s="1"/>
      <c r="R193" s="1"/>
    </row>
    <row r="194" spans="1:18" ht="12.75" customHeight="1" x14ac:dyDescent="0.2">
      <c r="A194" s="227"/>
      <c r="B194" s="134"/>
      <c r="C194" s="224"/>
      <c r="D194" s="38"/>
      <c r="E194" s="24"/>
      <c r="F194" s="24"/>
      <c r="G194" s="24"/>
      <c r="H194" s="24"/>
      <c r="I194" s="24"/>
      <c r="J194" s="24"/>
      <c r="K194" s="24"/>
      <c r="L194" s="24"/>
      <c r="M194" s="91"/>
      <c r="O194" s="1"/>
      <c r="P194" s="1"/>
      <c r="Q194" s="1"/>
      <c r="R194" s="1"/>
    </row>
    <row r="195" spans="1:18" ht="12.75" customHeight="1" x14ac:dyDescent="0.2">
      <c r="A195" s="227"/>
      <c r="B195" s="134"/>
      <c r="C195" s="224"/>
      <c r="D195" s="38"/>
      <c r="E195" s="24"/>
      <c r="F195" s="24"/>
      <c r="G195" s="24"/>
      <c r="H195" s="24"/>
      <c r="I195" s="24"/>
      <c r="J195" s="24"/>
      <c r="K195" s="24"/>
      <c r="L195" s="24"/>
      <c r="M195" s="91"/>
      <c r="O195" s="1"/>
      <c r="P195" s="1"/>
      <c r="Q195" s="1"/>
      <c r="R195" s="1"/>
    </row>
    <row r="196" spans="1:18" ht="12.75" customHeight="1" x14ac:dyDescent="0.2">
      <c r="A196" s="227"/>
      <c r="B196" s="134"/>
      <c r="C196" s="224"/>
      <c r="D196" s="38"/>
      <c r="E196" s="24"/>
      <c r="F196" s="24"/>
      <c r="G196" s="24"/>
      <c r="H196" s="24"/>
      <c r="I196" s="24"/>
      <c r="J196" s="24"/>
      <c r="K196" s="24"/>
      <c r="L196" s="24"/>
      <c r="M196" s="91"/>
    </row>
    <row r="197" spans="1:18" ht="12.75" customHeight="1" x14ac:dyDescent="0.2">
      <c r="A197" s="227"/>
      <c r="B197" s="134"/>
      <c r="C197" s="224"/>
      <c r="D197" s="38"/>
      <c r="E197" s="24"/>
      <c r="F197" s="24"/>
      <c r="G197" s="24"/>
      <c r="H197" s="24"/>
      <c r="I197" s="24"/>
      <c r="J197" s="24"/>
      <c r="K197" s="24"/>
      <c r="L197" s="24"/>
      <c r="M197" s="91"/>
    </row>
    <row r="198" spans="1:18" ht="12.75" customHeight="1" x14ac:dyDescent="0.2">
      <c r="A198" s="227"/>
      <c r="B198" s="134"/>
      <c r="C198" s="224"/>
      <c r="D198" s="38"/>
      <c r="E198" s="24"/>
      <c r="F198" s="24"/>
      <c r="G198" s="24"/>
      <c r="H198" s="24"/>
      <c r="I198" s="24"/>
      <c r="J198" s="24"/>
      <c r="K198" s="24"/>
      <c r="L198" s="24"/>
      <c r="M198" s="91"/>
    </row>
    <row r="199" spans="1:18" ht="12.75" customHeight="1" x14ac:dyDescent="0.2">
      <c r="A199" s="227"/>
      <c r="B199" s="134"/>
      <c r="C199" s="224"/>
      <c r="D199" s="38"/>
      <c r="E199" s="24"/>
      <c r="F199" s="24"/>
      <c r="G199" s="24"/>
      <c r="H199" s="24"/>
      <c r="I199" s="24"/>
      <c r="J199" s="24"/>
      <c r="K199" s="24"/>
      <c r="L199" s="24"/>
      <c r="M199" s="91"/>
    </row>
    <row r="200" spans="1:18" ht="12.75" customHeight="1" x14ac:dyDescent="0.2">
      <c r="A200" s="227"/>
      <c r="B200" s="134"/>
      <c r="C200" s="224"/>
      <c r="D200" s="38"/>
      <c r="E200" s="24"/>
      <c r="F200" s="24"/>
      <c r="G200" s="24"/>
      <c r="H200" s="24"/>
      <c r="I200" s="24"/>
      <c r="J200" s="24"/>
      <c r="K200" s="24"/>
      <c r="L200" s="24"/>
      <c r="M200" s="91"/>
    </row>
    <row r="201" spans="1:18" ht="12.75" customHeight="1" x14ac:dyDescent="0.2">
      <c r="A201" s="90"/>
      <c r="B201" s="134"/>
      <c r="C201" s="224"/>
      <c r="D201" s="38"/>
      <c r="E201" s="24"/>
      <c r="F201" s="24"/>
      <c r="G201" s="24"/>
      <c r="H201" s="24"/>
      <c r="I201" s="24"/>
      <c r="J201" s="24"/>
      <c r="K201" s="24"/>
      <c r="L201" s="24"/>
      <c r="M201" s="91"/>
    </row>
    <row r="202" spans="1:18" ht="12.75" customHeight="1" x14ac:dyDescent="0.2">
      <c r="A202" s="90"/>
      <c r="B202" s="134"/>
      <c r="C202" s="224"/>
      <c r="D202" s="38"/>
      <c r="E202" s="24"/>
      <c r="F202" s="24"/>
      <c r="G202" s="24"/>
      <c r="H202" s="24"/>
      <c r="I202" s="24"/>
      <c r="J202" s="24"/>
      <c r="K202" s="24"/>
      <c r="L202" s="24"/>
      <c r="M202" s="91"/>
    </row>
    <row r="203" spans="1:18" ht="12.75" customHeight="1" x14ac:dyDescent="0.2">
      <c r="A203" s="90"/>
      <c r="B203" s="134"/>
      <c r="C203" s="224"/>
      <c r="D203" s="38"/>
      <c r="E203" s="24"/>
      <c r="F203" s="24"/>
      <c r="G203" s="24"/>
      <c r="H203" s="24"/>
      <c r="I203" s="24"/>
      <c r="J203" s="24"/>
      <c r="K203" s="24"/>
      <c r="L203" s="24"/>
      <c r="M203" s="91"/>
    </row>
    <row r="204" spans="1:18" ht="12.75" customHeight="1" x14ac:dyDescent="0.2">
      <c r="A204" s="90"/>
      <c r="B204" s="134"/>
      <c r="C204" s="224"/>
      <c r="D204" s="38"/>
      <c r="E204" s="24"/>
      <c r="F204" s="24"/>
      <c r="G204" s="24"/>
      <c r="H204" s="24"/>
      <c r="I204" s="24"/>
      <c r="J204" s="24"/>
      <c r="K204" s="24"/>
      <c r="L204" s="24"/>
      <c r="M204" s="91"/>
    </row>
    <row r="205" spans="1:18" ht="12.75" customHeight="1" x14ac:dyDescent="0.2">
      <c r="A205" s="90"/>
      <c r="B205" s="134"/>
      <c r="C205" s="226"/>
      <c r="D205" s="38"/>
      <c r="E205" s="24"/>
      <c r="F205" s="24"/>
      <c r="G205" s="24"/>
      <c r="H205" s="24"/>
      <c r="I205" s="24"/>
      <c r="J205" s="24"/>
      <c r="K205" s="24"/>
      <c r="L205" s="24"/>
      <c r="M205" s="91"/>
    </row>
    <row r="206" spans="1:18" ht="12.75" customHeight="1" x14ac:dyDescent="0.2">
      <c r="A206" s="90"/>
      <c r="B206" s="134"/>
      <c r="C206" s="226"/>
      <c r="D206" s="38"/>
      <c r="E206" s="24"/>
      <c r="F206" s="24"/>
      <c r="G206" s="24"/>
      <c r="H206" s="24"/>
      <c r="I206" s="24"/>
      <c r="J206" s="24"/>
      <c r="K206" s="24"/>
      <c r="L206" s="24"/>
      <c r="M206" s="91"/>
    </row>
    <row r="207" spans="1:18" ht="12.75" customHeight="1" x14ac:dyDescent="0.2">
      <c r="A207" s="90"/>
      <c r="B207" s="134"/>
      <c r="C207" s="226"/>
      <c r="D207" s="38"/>
      <c r="E207" s="24"/>
      <c r="F207" s="24"/>
      <c r="G207" s="24"/>
      <c r="H207" s="24"/>
      <c r="I207" s="24"/>
      <c r="J207" s="24"/>
      <c r="K207" s="24"/>
      <c r="L207" s="24"/>
      <c r="M207" s="91"/>
    </row>
    <row r="208" spans="1:18" ht="12.75" customHeight="1" x14ac:dyDescent="0.2">
      <c r="A208" s="90"/>
      <c r="B208" s="134"/>
      <c r="C208" s="225"/>
      <c r="D208" s="38"/>
      <c r="E208" s="24"/>
      <c r="F208" s="24"/>
      <c r="G208" s="24"/>
      <c r="H208" s="24"/>
      <c r="I208" s="24"/>
      <c r="J208" s="24"/>
      <c r="K208" s="24"/>
      <c r="L208" s="24"/>
      <c r="M208" s="91"/>
    </row>
    <row r="209" spans="1:14" ht="12.75" customHeight="1" x14ac:dyDescent="0.2">
      <c r="A209" s="90"/>
      <c r="B209" s="134"/>
      <c r="C209" s="225"/>
      <c r="D209" s="38"/>
      <c r="E209" s="24"/>
      <c r="F209" s="24"/>
      <c r="G209" s="24"/>
      <c r="H209" s="24"/>
      <c r="I209" s="24"/>
      <c r="J209" s="24"/>
      <c r="K209" s="24"/>
      <c r="L209" s="24"/>
      <c r="M209" s="91"/>
    </row>
    <row r="210" spans="1:14" ht="12.75" customHeight="1" x14ac:dyDescent="0.2">
      <c r="A210" s="90"/>
      <c r="B210" s="134"/>
      <c r="C210" s="225"/>
      <c r="D210" s="38"/>
      <c r="E210" s="24"/>
      <c r="F210" s="24"/>
      <c r="G210" s="24"/>
      <c r="H210" s="24"/>
      <c r="I210" s="24"/>
      <c r="J210" s="24"/>
      <c r="K210" s="24"/>
      <c r="L210" s="24"/>
      <c r="M210" s="91"/>
    </row>
    <row r="211" spans="1:14" ht="12.75" customHeight="1" x14ac:dyDescent="0.2">
      <c r="A211" s="90"/>
      <c r="B211" s="134"/>
      <c r="C211" s="225"/>
      <c r="D211" s="38"/>
      <c r="E211" s="24"/>
      <c r="F211" s="24"/>
      <c r="G211" s="24"/>
      <c r="H211" s="24"/>
      <c r="I211" s="24"/>
      <c r="J211" s="24"/>
      <c r="K211" s="24"/>
      <c r="L211" s="24"/>
      <c r="M211" s="91"/>
    </row>
    <row r="212" spans="1:14" ht="12.75" customHeight="1" x14ac:dyDescent="0.2">
      <c r="A212" s="90"/>
      <c r="B212" s="134"/>
      <c r="C212" s="225"/>
      <c r="D212" s="38"/>
      <c r="E212" s="24"/>
      <c r="F212" s="24"/>
      <c r="G212" s="24"/>
      <c r="H212" s="24"/>
      <c r="I212" s="24"/>
      <c r="J212" s="24"/>
      <c r="K212" s="24"/>
      <c r="L212" s="24"/>
      <c r="M212" s="91"/>
    </row>
    <row r="213" spans="1:14" ht="12.75" customHeight="1" x14ac:dyDescent="0.2">
      <c r="A213" s="90"/>
      <c r="B213" s="134"/>
      <c r="C213" s="225"/>
      <c r="D213" s="38"/>
      <c r="E213" s="24"/>
      <c r="F213" s="24"/>
      <c r="G213" s="24"/>
      <c r="H213" s="24"/>
      <c r="I213" s="24"/>
      <c r="J213" s="24"/>
      <c r="K213" s="24"/>
      <c r="L213" s="24"/>
      <c r="M213" s="91"/>
    </row>
    <row r="214" spans="1:14" ht="12.75" customHeight="1" thickBot="1" x14ac:dyDescent="0.25">
      <c r="A214" s="90"/>
      <c r="B214" s="134"/>
      <c r="C214" s="223"/>
      <c r="D214" s="38"/>
      <c r="E214" s="24"/>
      <c r="F214" s="24"/>
      <c r="G214" s="24"/>
      <c r="H214" s="24"/>
      <c r="I214" s="24"/>
      <c r="J214" s="24"/>
      <c r="K214" s="24"/>
      <c r="L214" s="24"/>
      <c r="M214" s="92">
        <f>SUM(M191:M213)</f>
        <v>0</v>
      </c>
    </row>
    <row r="215" spans="1:14" ht="12.75" customHeight="1" thickTop="1" thickBot="1" x14ac:dyDescent="0.25">
      <c r="A215" s="93"/>
      <c r="B215" s="151"/>
      <c r="C215" s="72"/>
      <c r="D215" s="72"/>
      <c r="E215" s="72"/>
      <c r="F215" s="72"/>
      <c r="G215" s="24"/>
      <c r="H215" s="24"/>
      <c r="I215" s="24"/>
      <c r="J215" s="24"/>
      <c r="K215" s="24"/>
      <c r="L215" s="145" t="s">
        <v>249</v>
      </c>
      <c r="M215" s="73"/>
    </row>
    <row r="216" spans="1:14" ht="12.75" customHeight="1" thickTop="1" thickBot="1" x14ac:dyDescent="0.25">
      <c r="G216" s="72"/>
      <c r="H216" s="72"/>
      <c r="I216" s="72"/>
      <c r="J216" s="72"/>
      <c r="K216" s="72"/>
      <c r="L216" s="72"/>
    </row>
    <row r="217" spans="1:14" ht="12.75" customHeight="1" thickTop="1" thickBot="1" x14ac:dyDescent="0.25"/>
    <row r="218" spans="1:14" ht="12.75" customHeight="1" thickTop="1" thickBot="1" x14ac:dyDescent="0.25">
      <c r="A218" s="155" t="s">
        <v>250</v>
      </c>
      <c r="B218" s="154"/>
      <c r="C218" s="154"/>
      <c r="D218" s="154"/>
      <c r="E218" s="154"/>
      <c r="F218" s="157"/>
      <c r="M218" s="94"/>
      <c r="N218" s="94"/>
    </row>
    <row r="219" spans="1:14" ht="12.75" customHeight="1" thickBot="1" x14ac:dyDescent="0.25">
      <c r="A219" s="156" t="s">
        <v>246</v>
      </c>
      <c r="B219" s="95" t="s">
        <v>219</v>
      </c>
      <c r="C219" s="96" t="s">
        <v>247</v>
      </c>
      <c r="D219" s="165" t="s">
        <v>248</v>
      </c>
      <c r="E219" s="166"/>
      <c r="F219" s="158" t="s">
        <v>221</v>
      </c>
      <c r="G219" s="94"/>
      <c r="H219" s="94"/>
      <c r="I219" s="94"/>
      <c r="J219" s="94"/>
      <c r="K219" s="94"/>
      <c r="L219" s="94"/>
      <c r="M219" s="94"/>
      <c r="N219" s="94"/>
    </row>
    <row r="220" spans="1:14" ht="12.75" customHeight="1" x14ac:dyDescent="0.2">
      <c r="A220" s="231"/>
      <c r="B220" s="134"/>
      <c r="C220" s="97"/>
      <c r="D220" s="24"/>
      <c r="E220" s="167"/>
      <c r="F220" s="232"/>
      <c r="G220" s="94"/>
      <c r="H220" s="94"/>
      <c r="I220" s="94"/>
      <c r="J220" s="94"/>
      <c r="K220" s="94"/>
      <c r="L220" s="94"/>
      <c r="M220" s="98"/>
      <c r="N220" s="98"/>
    </row>
    <row r="221" spans="1:14" ht="12.75" customHeight="1" x14ac:dyDescent="0.2">
      <c r="A221" s="231"/>
      <c r="B221" s="134"/>
      <c r="C221" s="94"/>
      <c r="D221" s="233"/>
      <c r="E221" s="167"/>
      <c r="F221" s="159"/>
      <c r="G221" s="98"/>
      <c r="H221" s="98"/>
      <c r="I221" s="98"/>
      <c r="J221" s="98"/>
      <c r="K221" s="98"/>
      <c r="L221" s="98"/>
      <c r="M221" s="98"/>
      <c r="N221" s="98"/>
    </row>
    <row r="222" spans="1:14" ht="12.75" customHeight="1" x14ac:dyDescent="0.2">
      <c r="A222" s="231"/>
      <c r="B222" s="134"/>
      <c r="C222" s="94"/>
      <c r="D222" s="233"/>
      <c r="E222" s="167"/>
      <c r="F222" s="160"/>
      <c r="G222" s="98"/>
      <c r="H222" s="98"/>
      <c r="I222" s="98"/>
      <c r="J222" s="98"/>
      <c r="K222" s="98"/>
      <c r="L222" s="98"/>
      <c r="M222" s="94"/>
      <c r="N222" s="94"/>
    </row>
    <row r="223" spans="1:14" ht="12.75" customHeight="1" x14ac:dyDescent="0.2">
      <c r="A223" s="231"/>
      <c r="B223" s="134"/>
      <c r="C223" s="94"/>
      <c r="D223" s="233"/>
      <c r="E223" s="167"/>
      <c r="F223" s="160"/>
      <c r="G223" s="94"/>
      <c r="H223" s="94"/>
      <c r="I223" s="94"/>
      <c r="J223" s="94"/>
      <c r="K223" s="94"/>
      <c r="L223" s="94"/>
      <c r="M223" s="94"/>
      <c r="N223" s="94"/>
    </row>
    <row r="224" spans="1:14" ht="12.75" customHeight="1" x14ac:dyDescent="0.2">
      <c r="A224" s="231"/>
      <c r="B224" s="134"/>
      <c r="C224" s="94"/>
      <c r="D224" s="233"/>
      <c r="E224" s="167"/>
      <c r="F224" s="160"/>
      <c r="G224" s="94"/>
      <c r="H224" s="94"/>
      <c r="I224" s="94"/>
      <c r="J224" s="94"/>
      <c r="K224" s="94"/>
      <c r="L224" s="94"/>
      <c r="M224" s="94"/>
      <c r="N224" s="94"/>
    </row>
    <row r="225" spans="1:14" ht="12.75" customHeight="1" x14ac:dyDescent="0.2">
      <c r="A225" s="231"/>
      <c r="B225" s="134"/>
      <c r="C225" s="94"/>
      <c r="D225" s="233"/>
      <c r="E225" s="167"/>
      <c r="F225" s="160"/>
      <c r="G225" s="94"/>
      <c r="H225" s="94"/>
      <c r="I225" s="94"/>
      <c r="J225" s="94"/>
      <c r="K225" s="94"/>
      <c r="L225" s="94"/>
      <c r="M225" s="94"/>
      <c r="N225" s="94"/>
    </row>
    <row r="226" spans="1:14" ht="12.75" customHeight="1" x14ac:dyDescent="0.2">
      <c r="A226" s="231"/>
      <c r="B226" s="134"/>
      <c r="C226" s="94"/>
      <c r="D226" s="233"/>
      <c r="E226" s="167"/>
      <c r="F226" s="160"/>
      <c r="G226" s="94"/>
      <c r="H226" s="94"/>
      <c r="I226" s="94"/>
      <c r="J226" s="94"/>
      <c r="K226" s="94"/>
      <c r="L226" s="94"/>
      <c r="M226" s="94"/>
      <c r="N226" s="94"/>
    </row>
    <row r="227" spans="1:14" ht="12.75" customHeight="1" x14ac:dyDescent="0.2">
      <c r="A227" s="231"/>
      <c r="B227" s="134"/>
      <c r="C227" s="94"/>
      <c r="D227" s="233"/>
      <c r="E227" s="167"/>
      <c r="F227" s="160"/>
      <c r="G227" s="94"/>
      <c r="H227" s="94"/>
      <c r="I227" s="94"/>
      <c r="J227" s="94"/>
      <c r="K227" s="94"/>
      <c r="L227" s="94"/>
      <c r="M227" s="94"/>
      <c r="N227" s="94"/>
    </row>
    <row r="228" spans="1:14" ht="12.75" customHeight="1" x14ac:dyDescent="0.2">
      <c r="A228" s="231"/>
      <c r="B228" s="134"/>
      <c r="C228" s="94"/>
      <c r="D228" s="233"/>
      <c r="E228" s="167"/>
      <c r="F228" s="160"/>
      <c r="G228" s="94"/>
      <c r="H228" s="94"/>
      <c r="I228" s="94"/>
      <c r="J228" s="94"/>
      <c r="K228" s="94"/>
      <c r="L228" s="94"/>
      <c r="M228" s="94"/>
      <c r="N228" s="94"/>
    </row>
    <row r="229" spans="1:14" ht="12.75" customHeight="1" x14ac:dyDescent="0.2">
      <c r="A229" s="231"/>
      <c r="B229" s="134"/>
      <c r="C229" s="94"/>
      <c r="D229" s="233"/>
      <c r="E229" s="167"/>
      <c r="F229" s="160"/>
      <c r="G229" s="94"/>
      <c r="H229" s="94"/>
      <c r="I229" s="94"/>
      <c r="J229" s="94"/>
      <c r="K229" s="94"/>
      <c r="L229" s="94"/>
      <c r="M229" s="94"/>
      <c r="N229" s="94"/>
    </row>
    <row r="230" spans="1:14" ht="12.75" customHeight="1" x14ac:dyDescent="0.2">
      <c r="A230" s="231"/>
      <c r="B230" s="134"/>
      <c r="C230" s="94"/>
      <c r="D230" s="233"/>
      <c r="E230" s="167"/>
      <c r="F230" s="160"/>
      <c r="G230" s="94"/>
      <c r="H230" s="94"/>
      <c r="I230" s="94"/>
      <c r="J230" s="94"/>
      <c r="K230" s="94"/>
      <c r="L230" s="94"/>
      <c r="M230" s="94"/>
      <c r="N230" s="94"/>
    </row>
    <row r="231" spans="1:14" ht="12.75" customHeight="1" x14ac:dyDescent="0.2">
      <c r="A231" s="231"/>
      <c r="B231" s="134"/>
      <c r="C231" s="94"/>
      <c r="D231" s="233"/>
      <c r="E231" s="167"/>
      <c r="F231" s="160"/>
      <c r="G231" s="94"/>
      <c r="H231" s="94"/>
      <c r="I231" s="94"/>
      <c r="J231" s="94"/>
      <c r="K231" s="94"/>
      <c r="L231" s="94"/>
      <c r="M231" s="94"/>
      <c r="N231" s="94"/>
    </row>
    <row r="232" spans="1:14" ht="12.75" customHeight="1" x14ac:dyDescent="0.2">
      <c r="A232" s="231"/>
      <c r="B232" s="134"/>
      <c r="C232" s="94"/>
      <c r="D232" s="233"/>
      <c r="E232" s="167"/>
      <c r="F232" s="160"/>
      <c r="G232" s="94"/>
      <c r="H232" s="94"/>
      <c r="I232" s="94"/>
      <c r="J232" s="94"/>
      <c r="K232" s="94"/>
      <c r="L232" s="94"/>
      <c r="M232" s="94"/>
      <c r="N232" s="94"/>
    </row>
    <row r="233" spans="1:14" ht="12.75" customHeight="1" x14ac:dyDescent="0.2">
      <c r="A233" s="231"/>
      <c r="B233" s="134"/>
      <c r="C233" s="94"/>
      <c r="D233" s="233"/>
      <c r="E233" s="167"/>
      <c r="F233" s="160"/>
      <c r="G233" s="94"/>
      <c r="H233" s="94"/>
      <c r="I233" s="94"/>
      <c r="J233" s="94"/>
      <c r="K233" s="94"/>
      <c r="L233" s="94"/>
      <c r="M233" s="94"/>
      <c r="N233" s="94"/>
    </row>
    <row r="234" spans="1:14" ht="12.75" customHeight="1" x14ac:dyDescent="0.2">
      <c r="A234" s="231"/>
      <c r="B234" s="134"/>
      <c r="C234" s="94"/>
      <c r="D234" s="233"/>
      <c r="E234" s="167"/>
      <c r="F234" s="160"/>
      <c r="G234" s="94"/>
      <c r="H234" s="94"/>
      <c r="I234" s="94"/>
      <c r="J234" s="94"/>
      <c r="K234" s="94"/>
      <c r="L234" s="94"/>
      <c r="M234" s="94"/>
      <c r="N234" s="94"/>
    </row>
    <row r="235" spans="1:14" ht="12.75" customHeight="1" x14ac:dyDescent="0.2">
      <c r="A235" s="231"/>
      <c r="B235" s="134"/>
      <c r="C235" s="94"/>
      <c r="D235" s="233"/>
      <c r="E235" s="167"/>
      <c r="F235" s="160"/>
      <c r="G235" s="94"/>
      <c r="H235" s="94"/>
      <c r="I235" s="94"/>
      <c r="J235" s="94"/>
      <c r="K235" s="94"/>
      <c r="L235" s="94"/>
      <c r="M235" s="94"/>
      <c r="N235" s="94"/>
    </row>
    <row r="236" spans="1:14" ht="12.75" customHeight="1" x14ac:dyDescent="0.2">
      <c r="A236" s="231"/>
      <c r="B236" s="134"/>
      <c r="C236" s="94"/>
      <c r="D236" s="233"/>
      <c r="E236" s="167"/>
      <c r="F236" s="160"/>
      <c r="G236" s="94"/>
      <c r="H236" s="94"/>
      <c r="I236" s="94"/>
      <c r="J236" s="94"/>
      <c r="K236" s="94"/>
      <c r="L236" s="94"/>
      <c r="M236" s="94"/>
      <c r="N236" s="94"/>
    </row>
    <row r="237" spans="1:14" ht="12.75" customHeight="1" x14ac:dyDescent="0.2">
      <c r="A237" s="231"/>
      <c r="B237" s="134"/>
      <c r="C237" s="94"/>
      <c r="D237" s="233"/>
      <c r="E237" s="167"/>
      <c r="F237" s="160"/>
      <c r="G237" s="94"/>
      <c r="H237" s="94"/>
      <c r="I237" s="94"/>
      <c r="J237" s="94"/>
      <c r="K237" s="94"/>
      <c r="L237" s="94"/>
      <c r="M237" s="94"/>
      <c r="N237" s="94"/>
    </row>
    <row r="238" spans="1:14" ht="12.75" customHeight="1" thickBot="1" x14ac:dyDescent="0.25">
      <c r="A238" s="231"/>
      <c r="B238" s="134"/>
      <c r="C238" s="94"/>
      <c r="D238" s="94"/>
      <c r="E238" s="145" t="s">
        <v>251</v>
      </c>
      <c r="F238" s="168">
        <f>SUM(F219:F237)</f>
        <v>0</v>
      </c>
      <c r="G238" s="94"/>
      <c r="H238" s="94"/>
      <c r="I238" s="94"/>
      <c r="J238" s="94"/>
      <c r="K238" s="94"/>
      <c r="L238" s="94"/>
      <c r="M238" s="94"/>
      <c r="N238" s="94"/>
    </row>
    <row r="239" spans="1:14" ht="12.75" customHeight="1" thickTop="1" thickBot="1" x14ac:dyDescent="0.25">
      <c r="A239" s="161"/>
      <c r="B239" s="162"/>
      <c r="C239" s="163"/>
      <c r="D239" s="163"/>
      <c r="E239" s="212"/>
      <c r="F239" s="164"/>
      <c r="G239" s="94"/>
      <c r="H239" s="94"/>
      <c r="I239" s="94"/>
      <c r="J239" s="94"/>
      <c r="K239" s="94"/>
      <c r="L239" s="94"/>
      <c r="M239" s="94"/>
      <c r="N239" s="94"/>
    </row>
    <row r="240" spans="1:14" ht="12.75" customHeight="1" thickTop="1" x14ac:dyDescent="0.2">
      <c r="G240" s="94"/>
      <c r="H240" s="94"/>
      <c r="I240" s="94"/>
      <c r="J240" s="94"/>
      <c r="K240" s="94"/>
      <c r="L240" s="94"/>
    </row>
  </sheetData>
  <printOptions horizontalCentered="1"/>
  <pageMargins left="0.25" right="0.25" top="0.25" bottom="0.25" header="0.25" footer="0.25"/>
  <pageSetup paperSize="5" scale="60" orientation="landscape" horizontalDpi="4294967292" verticalDpi="4294967292" r:id="rId1"/>
  <headerFooter alignWithMargins="0">
    <oddFooter>&amp;L&amp;"Times New Roman,Italic"&amp;F/&amp;A  Prepared By: S. Mills (x3548)&amp;R&amp;"Times New Roman,Italic"&amp;D &amp;T</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J42"/>
  <sheetViews>
    <sheetView showGridLines="0" zoomScale="75" workbookViewId="0">
      <selection activeCell="D21" sqref="D21"/>
    </sheetView>
  </sheetViews>
  <sheetFormatPr defaultRowHeight="12.75" x14ac:dyDescent="0.2"/>
  <cols>
    <col min="1" max="1" width="16.85546875" style="15" customWidth="1"/>
    <col min="2" max="2" width="4.28515625" style="336" customWidth="1"/>
    <col min="3" max="3" width="2.28515625" style="1" customWidth="1"/>
    <col min="4" max="4" width="9.85546875" style="1" customWidth="1"/>
    <col min="5" max="5" width="10.7109375" style="361" hidden="1" customWidth="1"/>
    <col min="6" max="6" width="12.42578125" style="1" customWidth="1"/>
    <col min="7" max="8" width="9.140625" style="1"/>
    <col min="9" max="9" width="4.42578125" style="1" customWidth="1"/>
    <col min="10" max="16384" width="9.140625" style="1"/>
  </cols>
  <sheetData>
    <row r="1" spans="1:10" x14ac:dyDescent="0.2">
      <c r="G1" s="350" t="s">
        <v>289</v>
      </c>
      <c r="H1" s="351"/>
      <c r="I1" s="351"/>
      <c r="J1" s="465">
        <v>1.4539</v>
      </c>
    </row>
    <row r="2" spans="1:10" x14ac:dyDescent="0.2">
      <c r="D2" s="352" t="s">
        <v>290</v>
      </c>
      <c r="E2" s="362" t="s">
        <v>291</v>
      </c>
      <c r="F2" s="352" t="s">
        <v>292</v>
      </c>
      <c r="G2" s="353" t="s">
        <v>293</v>
      </c>
      <c r="H2" s="354"/>
      <c r="I2" s="354"/>
      <c r="J2" s="484">
        <v>1.4833206896551727</v>
      </c>
    </row>
    <row r="3" spans="1:10" ht="12.75" customHeight="1" thickBot="1" x14ac:dyDescent="0.25">
      <c r="A3" s="355"/>
      <c r="B3" s="356"/>
      <c r="C3" s="5"/>
      <c r="D3" s="357" t="s">
        <v>294</v>
      </c>
      <c r="E3" s="363" t="s">
        <v>295</v>
      </c>
      <c r="F3" s="357" t="s">
        <v>296</v>
      </c>
      <c r="G3" s="9"/>
    </row>
    <row r="4" spans="1:10" x14ac:dyDescent="0.2">
      <c r="A4" s="15">
        <f>PriceAlberta!C$44</f>
        <v>36831</v>
      </c>
      <c r="B4" s="358" t="str">
        <f>PriceAlberta!C$45</f>
        <v>W</v>
      </c>
      <c r="D4" s="489">
        <v>1.5331999999999999</v>
      </c>
      <c r="E4" s="361">
        <f>D4</f>
        <v>1.5331999999999999</v>
      </c>
      <c r="F4" s="377" t="str">
        <f>IF(A4=PriceAlberta!$B$5,SpotRates!E4,"")</f>
        <v/>
      </c>
      <c r="G4" s="439"/>
    </row>
    <row r="5" spans="1:10" x14ac:dyDescent="0.2">
      <c r="A5" s="15">
        <f>PriceAlberta!D$44</f>
        <v>36832</v>
      </c>
      <c r="B5" s="358" t="str">
        <f>PriceAlberta!D$45</f>
        <v>R</v>
      </c>
      <c r="D5" s="410">
        <v>1.5309999999999999</v>
      </c>
      <c r="E5" s="361">
        <f>AVERAGE(D$4:D5)</f>
        <v>1.5320999999999998</v>
      </c>
      <c r="F5" s="377" t="str">
        <f>IF(A5=PriceAlberta!$B$5,SpotRates!E5,"")</f>
        <v/>
      </c>
    </row>
    <row r="6" spans="1:10" x14ac:dyDescent="0.2">
      <c r="A6" s="15">
        <f>PriceAlberta!E$44</f>
        <v>36833</v>
      </c>
      <c r="B6" s="358" t="str">
        <f>PriceAlberta!E$45</f>
        <v>F</v>
      </c>
      <c r="D6" s="410">
        <v>1.532</v>
      </c>
      <c r="E6" s="361">
        <f>AVERAGE(D$4:D6)</f>
        <v>1.5320666666666665</v>
      </c>
      <c r="F6" s="377" t="str">
        <f>IF(A6=PriceAlberta!$B$5,SpotRates!E6,"")</f>
        <v/>
      </c>
    </row>
    <row r="7" spans="1:10" x14ac:dyDescent="0.2">
      <c r="A7" s="15">
        <f>PriceAlberta!F$44</f>
        <v>36834</v>
      </c>
      <c r="B7" s="358" t="str">
        <f>PriceAlberta!F$45</f>
        <v>S</v>
      </c>
      <c r="D7" s="410">
        <f t="shared" ref="D7:D34" si="0">D6</f>
        <v>1.532</v>
      </c>
      <c r="E7" s="361">
        <f>AVERAGE(D$4:D7)</f>
        <v>1.5320499999999999</v>
      </c>
      <c r="F7" s="377" t="str">
        <f>IF(A7=PriceAlberta!$B$5,SpotRates!E7,"")</f>
        <v/>
      </c>
      <c r="H7" s="410">
        <v>1.522</v>
      </c>
      <c r="I7" s="823" t="s">
        <v>520</v>
      </c>
    </row>
    <row r="8" spans="1:10" x14ac:dyDescent="0.2">
      <c r="A8" s="15">
        <f>PriceAlberta!G$44</f>
        <v>36835</v>
      </c>
      <c r="B8" s="358" t="str">
        <f>PriceAlberta!G$45</f>
        <v>S</v>
      </c>
      <c r="D8" s="410">
        <f t="shared" si="0"/>
        <v>1.532</v>
      </c>
      <c r="E8" s="361">
        <f>AVERAGE(D$4:D8)</f>
        <v>1.5320399999999998</v>
      </c>
      <c r="F8" s="377" t="str">
        <f>IF(A8=PriceAlberta!$B$5,SpotRates!E8,"")</f>
        <v/>
      </c>
      <c r="H8" s="410"/>
    </row>
    <row r="9" spans="1:10" x14ac:dyDescent="0.2">
      <c r="A9" s="15">
        <f>PriceAlberta!H$44</f>
        <v>36836</v>
      </c>
      <c r="B9" s="358" t="str">
        <f>PriceAlberta!H$45</f>
        <v>M</v>
      </c>
      <c r="D9" s="410">
        <v>1.53</v>
      </c>
      <c r="E9" s="361">
        <f>AVERAGE(D$4:D9)</f>
        <v>1.5316999999999998</v>
      </c>
      <c r="F9" s="361" t="str">
        <f>IF(A9=PriceAlberta!$B$5,SpotRates!E9,"")</f>
        <v/>
      </c>
    </row>
    <row r="10" spans="1:10" ht="13.5" customHeight="1" x14ac:dyDescent="0.2">
      <c r="A10" s="15">
        <f>PriceAlberta!I$44</f>
        <v>36837</v>
      </c>
      <c r="B10" s="358" t="str">
        <f>PriceAlberta!I$45</f>
        <v>T</v>
      </c>
      <c r="D10" s="410">
        <v>1.5331999999999999</v>
      </c>
      <c r="E10" s="361">
        <f>AVERAGE(D$4:D10)</f>
        <v>1.5319142857142853</v>
      </c>
      <c r="F10" s="377" t="str">
        <f>IF(A10=PriceAlberta!$B$5,SpotRates!E10,"")</f>
        <v/>
      </c>
    </row>
    <row r="11" spans="1:10" ht="13.5" customHeight="1" x14ac:dyDescent="0.2">
      <c r="A11" s="15">
        <f>PriceAlberta!J$44</f>
        <v>36838</v>
      </c>
      <c r="B11" s="358" t="str">
        <f>PriceAlberta!J$45</f>
        <v>W</v>
      </c>
      <c r="D11" s="410">
        <v>1.54</v>
      </c>
      <c r="E11" s="361">
        <f>AVERAGE(D$4:D11)</f>
        <v>1.5329249999999996</v>
      </c>
      <c r="F11" s="377" t="str">
        <f>IF(A11=PriceAlberta!$B$5,SpotRates!E11,"")</f>
        <v/>
      </c>
    </row>
    <row r="12" spans="1:10" x14ac:dyDescent="0.2">
      <c r="A12" s="15">
        <f>PriceAlberta!K$44</f>
        <v>36839</v>
      </c>
      <c r="B12" s="358" t="str">
        <f>PriceAlberta!K$45</f>
        <v>R</v>
      </c>
      <c r="D12" s="410">
        <v>1.548</v>
      </c>
      <c r="E12" s="361">
        <f>AVERAGE(D$4:D12)</f>
        <v>1.5345999999999997</v>
      </c>
      <c r="F12" s="377" t="str">
        <f>IF(A12=PriceAlberta!$B$5,SpotRates!E12,"")</f>
        <v/>
      </c>
    </row>
    <row r="13" spans="1:10" x14ac:dyDescent="0.2">
      <c r="A13" s="15">
        <f>PriceAlberta!L$44</f>
        <v>36840</v>
      </c>
      <c r="B13" s="358" t="str">
        <f>PriceAlberta!L$45</f>
        <v>F</v>
      </c>
      <c r="D13" s="410">
        <v>1.5411999999999999</v>
      </c>
      <c r="E13" s="361">
        <f>AVERAGE(D$4:D13)</f>
        <v>1.5352599999999996</v>
      </c>
      <c r="F13" s="377" t="str">
        <f>IF(A13=PriceAlberta!$B$5,SpotRates!E13,"")</f>
        <v/>
      </c>
    </row>
    <row r="14" spans="1:10" x14ac:dyDescent="0.2">
      <c r="A14" s="15">
        <f>PriceAlberta!M$44</f>
        <v>36841</v>
      </c>
      <c r="B14" s="358" t="str">
        <f>PriceAlberta!M$45</f>
        <v>S</v>
      </c>
      <c r="D14" s="410">
        <f t="shared" si="0"/>
        <v>1.5411999999999999</v>
      </c>
      <c r="E14" s="361">
        <f>AVERAGE(D$4:D14)</f>
        <v>1.5357999999999998</v>
      </c>
      <c r="F14" s="377" t="str">
        <f>IF(A14=PriceAlberta!$B$5,SpotRates!E14,"")</f>
        <v/>
      </c>
    </row>
    <row r="15" spans="1:10" x14ac:dyDescent="0.2">
      <c r="A15" s="15">
        <f>PriceAlberta!N$44</f>
        <v>36842</v>
      </c>
      <c r="B15" s="358" t="str">
        <f>PriceAlberta!N$45</f>
        <v>S</v>
      </c>
      <c r="D15" s="410">
        <f t="shared" si="0"/>
        <v>1.5411999999999999</v>
      </c>
      <c r="E15" s="361">
        <f>AVERAGE(D$4:D15)</f>
        <v>1.5362499999999999</v>
      </c>
      <c r="F15" s="377" t="str">
        <f>IF(A15=PriceAlberta!$B$5,SpotRates!E15,"")</f>
        <v/>
      </c>
    </row>
    <row r="16" spans="1:10" x14ac:dyDescent="0.2">
      <c r="A16" s="15">
        <f>PriceAlberta!O$44</f>
        <v>36843</v>
      </c>
      <c r="B16" s="358" t="str">
        <f>PriceAlberta!O$45</f>
        <v>M</v>
      </c>
      <c r="D16" s="410">
        <v>1.5429999999999999</v>
      </c>
      <c r="E16" s="361">
        <f>AVERAGE(D$4:D16)</f>
        <v>1.5367692307692307</v>
      </c>
      <c r="F16" s="377" t="str">
        <f>IF(A16=PriceAlberta!$B$5,SpotRates!E16,"")</f>
        <v/>
      </c>
    </row>
    <row r="17" spans="1:6" x14ac:dyDescent="0.2">
      <c r="A17" s="15">
        <f>PriceAlberta!P$44</f>
        <v>36844</v>
      </c>
      <c r="B17" s="358" t="str">
        <f>PriceAlberta!P$45</f>
        <v>T</v>
      </c>
      <c r="D17" s="410">
        <v>1.5445</v>
      </c>
      <c r="E17" s="361">
        <f>AVERAGE(D$4:D17)</f>
        <v>1.5373214285714283</v>
      </c>
      <c r="F17" s="377" t="str">
        <f>IF(A17=PriceAlberta!$B$5,SpotRates!E17,"")</f>
        <v/>
      </c>
    </row>
    <row r="18" spans="1:6" x14ac:dyDescent="0.2">
      <c r="A18" s="15">
        <f>PriceAlberta!Q$44</f>
        <v>36845</v>
      </c>
      <c r="B18" s="358" t="str">
        <f>PriceAlberta!Q$45</f>
        <v>W</v>
      </c>
      <c r="D18" s="410">
        <v>1.5529999999999999</v>
      </c>
      <c r="E18" s="361">
        <f>AVERAGE(D$4:D18)</f>
        <v>1.5383666666666664</v>
      </c>
      <c r="F18" s="377" t="str">
        <f>IF(A18=PriceAlberta!$B$5,SpotRates!E18,"")</f>
        <v/>
      </c>
    </row>
    <row r="19" spans="1:6" x14ac:dyDescent="0.2">
      <c r="A19" s="15">
        <f>PriceAlberta!R$44</f>
        <v>36846</v>
      </c>
      <c r="B19" s="358" t="str">
        <f>PriceAlberta!R$45</f>
        <v>R</v>
      </c>
      <c r="D19" s="410">
        <v>1.554</v>
      </c>
      <c r="E19" s="361">
        <f>AVERAGE(D$4:D19)</f>
        <v>1.5393437499999998</v>
      </c>
      <c r="F19" s="377" t="str">
        <f>IF(A19=PriceAlberta!$B$5,SpotRates!E19,"")</f>
        <v/>
      </c>
    </row>
    <row r="20" spans="1:6" x14ac:dyDescent="0.2">
      <c r="A20" s="15">
        <f>PriceAlberta!S$44</f>
        <v>36847</v>
      </c>
      <c r="B20" s="358" t="str">
        <f>PriceAlberta!S$45</f>
        <v>F</v>
      </c>
      <c r="D20" s="410">
        <v>1.5585</v>
      </c>
      <c r="E20" s="361">
        <f>AVERAGE(D$4:D20)</f>
        <v>1.5404705882352938</v>
      </c>
      <c r="F20" s="377">
        <f>IF(A20=PriceAlberta!$B$5,SpotRates!E20,"")</f>
        <v>1.5404705882352938</v>
      </c>
    </row>
    <row r="21" spans="1:6" x14ac:dyDescent="0.2">
      <c r="A21" s="15">
        <f>PriceAlberta!T$44</f>
        <v>36848</v>
      </c>
      <c r="B21" s="358" t="str">
        <f>PriceAlberta!T$45</f>
        <v>S</v>
      </c>
      <c r="D21" s="410">
        <f t="shared" si="0"/>
        <v>1.5585</v>
      </c>
      <c r="E21" s="361">
        <f>AVERAGE(D$4:D21)</f>
        <v>1.5414722222222219</v>
      </c>
      <c r="F21" s="377" t="str">
        <f>IF(A21=PriceAlberta!$B$5,SpotRates!E21,"")</f>
        <v/>
      </c>
    </row>
    <row r="22" spans="1:6" x14ac:dyDescent="0.2">
      <c r="A22" s="15">
        <f>PriceAlberta!U$44</f>
        <v>36849</v>
      </c>
      <c r="B22" s="358" t="str">
        <f>PriceAlberta!U$45</f>
        <v>S</v>
      </c>
      <c r="D22" s="410">
        <f t="shared" si="0"/>
        <v>1.5585</v>
      </c>
      <c r="E22" s="361">
        <f>AVERAGE(D$4:D22)</f>
        <v>1.5423684210526312</v>
      </c>
      <c r="F22" s="377" t="str">
        <f>IF(A22=PriceAlberta!$B$5,SpotRates!E22,"")</f>
        <v/>
      </c>
    </row>
    <row r="23" spans="1:6" x14ac:dyDescent="0.2">
      <c r="A23" s="15">
        <f>PriceAlberta!V$44</f>
        <v>36850</v>
      </c>
      <c r="B23" s="358" t="str">
        <f>PriceAlberta!V$45</f>
        <v>M</v>
      </c>
      <c r="D23" s="410">
        <f t="shared" si="0"/>
        <v>1.5585</v>
      </c>
      <c r="E23" s="361">
        <f>AVERAGE(D$4:D23)</f>
        <v>1.5431749999999995</v>
      </c>
      <c r="F23" s="377" t="str">
        <f>IF(A23=PriceAlberta!$B$5,SpotRates!E23,"")</f>
        <v/>
      </c>
    </row>
    <row r="24" spans="1:6" x14ac:dyDescent="0.2">
      <c r="A24" s="15">
        <f>PriceAlberta!W$44</f>
        <v>36851</v>
      </c>
      <c r="B24" s="358" t="str">
        <f>PriceAlberta!W$45</f>
        <v>T</v>
      </c>
      <c r="D24" s="410">
        <f t="shared" si="0"/>
        <v>1.5585</v>
      </c>
      <c r="E24" s="361">
        <f>AVERAGE(D$4:D24)</f>
        <v>1.5439047619047614</v>
      </c>
      <c r="F24" s="377" t="str">
        <f>IF(A24=PriceAlberta!$B$5,SpotRates!E24,"")</f>
        <v/>
      </c>
    </row>
    <row r="25" spans="1:6" x14ac:dyDescent="0.2">
      <c r="A25" s="15">
        <f>PriceAlberta!X$44</f>
        <v>36852</v>
      </c>
      <c r="B25" s="358" t="str">
        <f>PriceAlberta!X$45</f>
        <v>W</v>
      </c>
      <c r="D25" s="410">
        <f t="shared" si="0"/>
        <v>1.5585</v>
      </c>
      <c r="E25" s="361">
        <f>AVERAGE(D$4:D25)</f>
        <v>1.5445681818181816</v>
      </c>
      <c r="F25" s="377" t="str">
        <f>IF(A25=PriceAlberta!$B$5,SpotRates!E25,"")</f>
        <v/>
      </c>
    </row>
    <row r="26" spans="1:6" x14ac:dyDescent="0.2">
      <c r="A26" s="15">
        <f>PriceAlberta!Y$44</f>
        <v>36853</v>
      </c>
      <c r="B26" s="358" t="str">
        <f>PriceAlberta!Y$45</f>
        <v>R</v>
      </c>
      <c r="D26" s="410">
        <f t="shared" si="0"/>
        <v>1.5585</v>
      </c>
      <c r="E26" s="361">
        <f>AVERAGE(D$4:D26)</f>
        <v>1.5451739130434781</v>
      </c>
      <c r="F26" s="377" t="str">
        <f>IF(A26=PriceAlberta!$B$5,SpotRates!E26,"")</f>
        <v/>
      </c>
    </row>
    <row r="27" spans="1:6" x14ac:dyDescent="0.2">
      <c r="A27" s="15">
        <f>PriceAlberta!Z$44</f>
        <v>36854</v>
      </c>
      <c r="B27" s="358" t="str">
        <f>PriceAlberta!Z$45</f>
        <v>F</v>
      </c>
      <c r="D27" s="410">
        <f t="shared" si="0"/>
        <v>1.5585</v>
      </c>
      <c r="E27" s="361">
        <f>AVERAGE(D$4:D27)</f>
        <v>1.5457291666666666</v>
      </c>
      <c r="F27" s="377" t="str">
        <f>IF(A27=PriceAlberta!$B$5,SpotRates!E27,"")</f>
        <v/>
      </c>
    </row>
    <row r="28" spans="1:6" x14ac:dyDescent="0.2">
      <c r="A28" s="15">
        <f>PriceAlberta!AA$44</f>
        <v>36855</v>
      </c>
      <c r="B28" s="358" t="str">
        <f>PriceAlberta!AA$45</f>
        <v>S</v>
      </c>
      <c r="D28" s="410">
        <f t="shared" si="0"/>
        <v>1.5585</v>
      </c>
      <c r="E28" s="361">
        <f>AVERAGE(D$4:D28)</f>
        <v>1.5462400000000001</v>
      </c>
      <c r="F28" s="377" t="str">
        <f>IF(A28=PriceAlberta!$B$5,SpotRates!E28,"")</f>
        <v/>
      </c>
    </row>
    <row r="29" spans="1:6" x14ac:dyDescent="0.2">
      <c r="A29" s="15">
        <f>PriceAlberta!AB$44</f>
        <v>36856</v>
      </c>
      <c r="B29" s="358" t="str">
        <f>PriceAlberta!AB$45</f>
        <v>S</v>
      </c>
      <c r="D29" s="410">
        <f t="shared" si="0"/>
        <v>1.5585</v>
      </c>
      <c r="E29" s="361">
        <f>AVERAGE(D$4:D29)</f>
        <v>1.5467115384615384</v>
      </c>
      <c r="F29" s="377" t="str">
        <f>IF(A29=PriceAlberta!$B$5,SpotRates!E29,"")</f>
        <v/>
      </c>
    </row>
    <row r="30" spans="1:6" x14ac:dyDescent="0.2">
      <c r="A30" s="15">
        <f>PriceAlberta!AC$44</f>
        <v>36857</v>
      </c>
      <c r="B30" s="358" t="str">
        <f>PriceAlberta!AC$45</f>
        <v>M</v>
      </c>
      <c r="D30" s="410">
        <f t="shared" si="0"/>
        <v>1.5585</v>
      </c>
      <c r="E30" s="361">
        <f>AVERAGE(D$4:D30)</f>
        <v>1.5471481481481482</v>
      </c>
      <c r="F30" s="377" t="str">
        <f>IF(A30=PriceAlberta!$B$5,SpotRates!E30,"")</f>
        <v/>
      </c>
    </row>
    <row r="31" spans="1:6" x14ac:dyDescent="0.2">
      <c r="A31" s="15">
        <f>PriceAlberta!AD$44</f>
        <v>36858</v>
      </c>
      <c r="B31" s="358" t="str">
        <f>PriceAlberta!AD$45</f>
        <v>T</v>
      </c>
      <c r="D31" s="410">
        <f t="shared" si="0"/>
        <v>1.5585</v>
      </c>
      <c r="E31" s="361">
        <f>AVERAGE(D$4:D31)</f>
        <v>1.5475535714285715</v>
      </c>
      <c r="F31" s="361" t="str">
        <f>IF(A31=PriceAlberta!$B$5,SpotRates!E31,"")</f>
        <v/>
      </c>
    </row>
    <row r="32" spans="1:6" x14ac:dyDescent="0.2">
      <c r="A32" s="15">
        <f>PriceAlberta!AE$44</f>
        <v>36859</v>
      </c>
      <c r="B32" s="358" t="str">
        <f>PriceAlberta!AE$45</f>
        <v>W</v>
      </c>
      <c r="D32" s="410">
        <f t="shared" si="0"/>
        <v>1.5585</v>
      </c>
      <c r="E32" s="361">
        <f>AVERAGE(D$4:D32)</f>
        <v>1.5479310344827588</v>
      </c>
      <c r="F32" s="377" t="str">
        <f>IF(A32=PriceAlberta!$B$5,SpotRates!E32,"")</f>
        <v/>
      </c>
    </row>
    <row r="33" spans="1:6" x14ac:dyDescent="0.2">
      <c r="A33" s="15">
        <f>PriceAlberta!AF$44</f>
        <v>36860</v>
      </c>
      <c r="B33" s="358" t="str">
        <f>PriceAlberta!AF$45</f>
        <v>R</v>
      </c>
      <c r="D33" s="410">
        <f t="shared" si="0"/>
        <v>1.5585</v>
      </c>
      <c r="E33" s="361">
        <f>AVERAGE(D$4:D33)</f>
        <v>1.5482833333333337</v>
      </c>
      <c r="F33" s="377" t="str">
        <f>IF(A33=PriceAlberta!$B$5,SpotRates!E33,"")</f>
        <v/>
      </c>
    </row>
    <row r="34" spans="1:6" x14ac:dyDescent="0.2">
      <c r="A34" s="15">
        <f>PriceAlberta!AG$44</f>
        <v>36861</v>
      </c>
      <c r="B34" s="358" t="str">
        <f>PriceAlberta!AG$45</f>
        <v>F</v>
      </c>
      <c r="D34" s="410">
        <f t="shared" si="0"/>
        <v>1.5585</v>
      </c>
      <c r="E34" s="361">
        <f>AVERAGE(D$4:D34)</f>
        <v>1.5486129032258069</v>
      </c>
      <c r="F34" s="377" t="str">
        <f>IF(A34=PriceAlberta!$B$5,SpotRates!E34,"")</f>
        <v/>
      </c>
    </row>
    <row r="35" spans="1:6" x14ac:dyDescent="0.2">
      <c r="D35" s="411"/>
      <c r="F35" s="377"/>
    </row>
    <row r="36" spans="1:6" x14ac:dyDescent="0.2">
      <c r="A36" s="15" t="s">
        <v>297</v>
      </c>
      <c r="D36" s="411">
        <f>D34</f>
        <v>1.5585</v>
      </c>
      <c r="F36" s="412">
        <f>SUM(F4:F34)</f>
        <v>1.5404705882352938</v>
      </c>
    </row>
    <row r="37" spans="1:6" x14ac:dyDescent="0.2">
      <c r="D37" s="360"/>
      <c r="F37" s="378"/>
    </row>
    <row r="38" spans="1:6" x14ac:dyDescent="0.2">
      <c r="F38" s="378"/>
    </row>
    <row r="39" spans="1:6" x14ac:dyDescent="0.2">
      <c r="F39" s="378"/>
    </row>
    <row r="40" spans="1:6" x14ac:dyDescent="0.2">
      <c r="F40" s="378"/>
    </row>
    <row r="42" spans="1:6" ht="15" customHeight="1" x14ac:dyDescent="0.2"/>
  </sheetData>
  <printOptions gridLinesSet="0"/>
  <pageMargins left="0.75" right="0.75" top="1" bottom="1" header="0.5" footer="0.5"/>
  <pageSetup scale="53" orientation="portrait" horizontalDpi="4294967292"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G24"/>
  <sheetViews>
    <sheetView workbookViewId="0">
      <selection activeCell="C20" sqref="C20"/>
    </sheetView>
  </sheetViews>
  <sheetFormatPr defaultRowHeight="12.75" x14ac:dyDescent="0.2"/>
  <cols>
    <col min="1" max="1" width="20.140625" style="508" customWidth="1"/>
    <col min="2" max="2" width="46.28515625" style="508" customWidth="1"/>
    <col min="3" max="3" width="11.5703125" style="508" customWidth="1"/>
    <col min="4" max="4" width="10" style="525" customWidth="1"/>
    <col min="5" max="5" width="9.140625" style="526"/>
    <col min="6" max="6" width="14.42578125" style="525" customWidth="1"/>
    <col min="7" max="7" width="63.7109375" style="523" customWidth="1"/>
  </cols>
  <sheetData>
    <row r="1" spans="1:7" ht="16.5" x14ac:dyDescent="0.2">
      <c r="A1" s="513" t="s">
        <v>387</v>
      </c>
    </row>
    <row r="2" spans="1:7" x14ac:dyDescent="0.2">
      <c r="A2" s="510" t="s">
        <v>373</v>
      </c>
      <c r="B2" s="527">
        <f>+AlbertaIndex!B5</f>
        <v>36847</v>
      </c>
      <c r="C2" s="527"/>
      <c r="D2" s="528"/>
    </row>
    <row r="4" spans="1:7" s="522" customFormat="1" x14ac:dyDescent="0.2">
      <c r="A4" s="529" t="s">
        <v>388</v>
      </c>
      <c r="B4" s="529" t="s">
        <v>389</v>
      </c>
      <c r="C4" s="531" t="s">
        <v>432</v>
      </c>
      <c r="D4" s="530" t="s">
        <v>314</v>
      </c>
      <c r="E4" s="530" t="s">
        <v>419</v>
      </c>
      <c r="F4" s="531" t="s">
        <v>420</v>
      </c>
      <c r="G4" s="524" t="s">
        <v>390</v>
      </c>
    </row>
    <row r="6" spans="1:7" x14ac:dyDescent="0.2">
      <c r="A6" s="508" t="s">
        <v>391</v>
      </c>
      <c r="B6" s="508" t="s">
        <v>413</v>
      </c>
      <c r="C6" s="525">
        <v>1.1499999999999999</v>
      </c>
      <c r="D6" s="525" t="s">
        <v>426</v>
      </c>
      <c r="E6" s="526">
        <v>0.08</v>
      </c>
      <c r="F6" s="525" t="s">
        <v>421</v>
      </c>
    </row>
    <row r="7" spans="1:7" ht="25.5" x14ac:dyDescent="0.2">
      <c r="A7" s="508" t="s">
        <v>392</v>
      </c>
      <c r="B7" s="508" t="s">
        <v>405</v>
      </c>
      <c r="C7" s="525" t="s">
        <v>433</v>
      </c>
      <c r="D7" s="525" t="s">
        <v>426</v>
      </c>
      <c r="E7" s="526">
        <v>0.12</v>
      </c>
      <c r="F7" s="525" t="s">
        <v>421</v>
      </c>
      <c r="G7" s="523" t="s">
        <v>423</v>
      </c>
    </row>
    <row r="8" spans="1:7" ht="25.5" x14ac:dyDescent="0.2">
      <c r="A8" s="508" t="s">
        <v>393</v>
      </c>
      <c r="B8" s="508" t="s">
        <v>406</v>
      </c>
      <c r="C8" s="525" t="s">
        <v>433</v>
      </c>
      <c r="D8" s="525" t="s">
        <v>426</v>
      </c>
      <c r="E8" s="526">
        <v>0.12</v>
      </c>
      <c r="F8" s="525" t="s">
        <v>421</v>
      </c>
      <c r="G8" s="523" t="s">
        <v>423</v>
      </c>
    </row>
    <row r="9" spans="1:7" ht="25.5" x14ac:dyDescent="0.2">
      <c r="A9" s="508" t="s">
        <v>394</v>
      </c>
      <c r="B9" s="508" t="s">
        <v>407</v>
      </c>
      <c r="C9" s="525" t="s">
        <v>433</v>
      </c>
      <c r="D9" s="525" t="s">
        <v>426</v>
      </c>
      <c r="E9" s="526">
        <v>0.12</v>
      </c>
      <c r="F9" s="525" t="s">
        <v>421</v>
      </c>
      <c r="G9" s="523" t="s">
        <v>423</v>
      </c>
    </row>
    <row r="10" spans="1:7" x14ac:dyDescent="0.2">
      <c r="A10" s="508" t="s">
        <v>395</v>
      </c>
      <c r="B10" s="508" t="s">
        <v>408</v>
      </c>
      <c r="C10" s="525">
        <v>4.58</v>
      </c>
      <c r="D10" s="525" t="s">
        <v>427</v>
      </c>
      <c r="E10" s="526">
        <v>0.36799999999999999</v>
      </c>
      <c r="F10" s="525" t="s">
        <v>422</v>
      </c>
    </row>
    <row r="11" spans="1:7" x14ac:dyDescent="0.2">
      <c r="A11" s="508" t="s">
        <v>396</v>
      </c>
      <c r="B11" s="508" t="s">
        <v>409</v>
      </c>
      <c r="C11" s="525">
        <v>7.68</v>
      </c>
      <c r="D11" s="525" t="s">
        <v>426</v>
      </c>
      <c r="E11" s="526">
        <v>0.89</v>
      </c>
      <c r="F11" s="525" t="s">
        <v>421</v>
      </c>
      <c r="G11" s="523" t="s">
        <v>424</v>
      </c>
    </row>
    <row r="12" spans="1:7" x14ac:dyDescent="0.2">
      <c r="A12" s="508" t="s">
        <v>397</v>
      </c>
      <c r="B12" s="508" t="s">
        <v>410</v>
      </c>
      <c r="C12" s="525">
        <v>2.63</v>
      </c>
      <c r="D12" s="525" t="s">
        <v>427</v>
      </c>
      <c r="E12" s="526">
        <v>0.33979999999999999</v>
      </c>
      <c r="F12" s="525" t="s">
        <v>421</v>
      </c>
    </row>
    <row r="13" spans="1:7" x14ac:dyDescent="0.2">
      <c r="A13" s="508" t="s">
        <v>398</v>
      </c>
      <c r="B13" s="508" t="s">
        <v>411</v>
      </c>
      <c r="C13" s="525">
        <v>9.1</v>
      </c>
      <c r="D13" s="525" t="s">
        <v>426</v>
      </c>
      <c r="E13" s="526">
        <v>0.95499999999999996</v>
      </c>
      <c r="F13" s="525" t="s">
        <v>421</v>
      </c>
      <c r="G13" s="523" t="s">
        <v>425</v>
      </c>
    </row>
    <row r="14" spans="1:7" ht="25.5" x14ac:dyDescent="0.2">
      <c r="A14" s="508" t="s">
        <v>399</v>
      </c>
      <c r="B14" s="508" t="s">
        <v>412</v>
      </c>
      <c r="C14" s="525">
        <v>2.67</v>
      </c>
      <c r="D14" s="525" t="s">
        <v>426</v>
      </c>
      <c r="E14" s="526">
        <v>0.34699999999999998</v>
      </c>
      <c r="F14" s="525" t="s">
        <v>422</v>
      </c>
      <c r="G14" s="523" t="s">
        <v>428</v>
      </c>
    </row>
    <row r="15" spans="1:7" x14ac:dyDescent="0.2">
      <c r="A15" s="508" t="s">
        <v>400</v>
      </c>
      <c r="B15" s="508" t="s">
        <v>414</v>
      </c>
      <c r="C15" s="525">
        <v>1.3</v>
      </c>
      <c r="D15" s="525" t="s">
        <v>426</v>
      </c>
      <c r="E15" s="526">
        <v>7.8E-2</v>
      </c>
      <c r="F15" s="525" t="s">
        <v>421</v>
      </c>
    </row>
    <row r="16" spans="1:7" x14ac:dyDescent="0.2">
      <c r="A16" s="508" t="s">
        <v>401</v>
      </c>
      <c r="B16" s="508" t="s">
        <v>415</v>
      </c>
      <c r="C16" s="525">
        <v>4.5999999999999996</v>
      </c>
      <c r="D16" s="525" t="s">
        <v>426</v>
      </c>
      <c r="E16" s="526">
        <v>0.45</v>
      </c>
      <c r="F16" s="525" t="s">
        <v>422</v>
      </c>
    </row>
    <row r="17" spans="1:6" x14ac:dyDescent="0.2">
      <c r="A17" s="508" t="s">
        <v>402</v>
      </c>
      <c r="B17" s="508" t="s">
        <v>418</v>
      </c>
      <c r="C17" s="525">
        <v>2.8</v>
      </c>
      <c r="D17" s="525" t="s">
        <v>427</v>
      </c>
      <c r="E17" s="526">
        <v>0.308</v>
      </c>
      <c r="F17" s="525" t="s">
        <v>422</v>
      </c>
    </row>
    <row r="18" spans="1:6" x14ac:dyDescent="0.2">
      <c r="A18" s="508" t="s">
        <v>403</v>
      </c>
      <c r="B18" s="508" t="s">
        <v>416</v>
      </c>
      <c r="C18" s="525">
        <v>2.25</v>
      </c>
      <c r="D18" s="525" t="s">
        <v>426</v>
      </c>
      <c r="E18" s="526">
        <v>0.22500000000000001</v>
      </c>
      <c r="F18" s="525" t="s">
        <v>421</v>
      </c>
    </row>
    <row r="19" spans="1:6" x14ac:dyDescent="0.2">
      <c r="A19" s="508" t="s">
        <v>404</v>
      </c>
      <c r="B19" s="508" t="s">
        <v>417</v>
      </c>
      <c r="C19" s="525">
        <f>0.19+1.31</f>
        <v>1.5</v>
      </c>
      <c r="D19" s="525" t="s">
        <v>427</v>
      </c>
      <c r="E19" s="532">
        <v>0.4</v>
      </c>
      <c r="F19" s="525" t="s">
        <v>422</v>
      </c>
    </row>
    <row r="22" spans="1:6" x14ac:dyDescent="0.2">
      <c r="A22" s="510" t="s">
        <v>431</v>
      </c>
    </row>
    <row r="23" spans="1:6" x14ac:dyDescent="0.2">
      <c r="A23" s="510" t="s">
        <v>430</v>
      </c>
    </row>
    <row r="24" spans="1:6" x14ac:dyDescent="0.2">
      <c r="A24" s="510" t="s">
        <v>429</v>
      </c>
    </row>
  </sheetData>
  <pageMargins left="0.25" right="0.23" top="1" bottom="1" header="0.5" footer="0.5"/>
  <pageSetup scale="76"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F24"/>
  <sheetViews>
    <sheetView workbookViewId="0">
      <selection activeCell="D6" sqref="D6"/>
    </sheetView>
  </sheetViews>
  <sheetFormatPr defaultRowHeight="12.75" x14ac:dyDescent="0.2"/>
  <cols>
    <col min="1" max="1" width="9.140625" style="508"/>
    <col min="2" max="2" width="11" customWidth="1"/>
    <col min="3" max="3" width="16.140625" customWidth="1"/>
    <col min="4" max="4" width="13.28515625" style="518" bestFit="1" customWidth="1"/>
    <col min="5" max="5" width="2.42578125" customWidth="1"/>
    <col min="6" max="6" width="61.5703125" style="507" hidden="1" customWidth="1"/>
  </cols>
  <sheetData>
    <row r="1" spans="1:6" ht="16.5" x14ac:dyDescent="0.2">
      <c r="A1" s="513" t="s">
        <v>385</v>
      </c>
      <c r="B1" s="509"/>
    </row>
    <row r="2" spans="1:6" s="512" customFormat="1" x14ac:dyDescent="0.2">
      <c r="A2" s="510" t="s">
        <v>373</v>
      </c>
      <c r="B2" s="511">
        <f>+AlbertaIndex!B5</f>
        <v>36847</v>
      </c>
      <c r="D2" s="519"/>
      <c r="F2" s="507"/>
    </row>
    <row r="6" spans="1:6" ht="38.25" x14ac:dyDescent="0.2">
      <c r="A6" s="508" t="s">
        <v>374</v>
      </c>
      <c r="D6" s="518">
        <f>-PrudCalc!V41</f>
        <v>0</v>
      </c>
      <c r="F6" s="507" t="s">
        <v>381</v>
      </c>
    </row>
    <row r="8" spans="1:6" ht="38.25" x14ac:dyDescent="0.2">
      <c r="A8" s="508" t="s">
        <v>375</v>
      </c>
      <c r="D8" s="518">
        <f>-PrudCalc!Z41</f>
        <v>0</v>
      </c>
      <c r="F8" s="507" t="s">
        <v>378</v>
      </c>
    </row>
    <row r="10" spans="1:6" ht="25.5" x14ac:dyDescent="0.2">
      <c r="A10" s="508" t="s">
        <v>324</v>
      </c>
      <c r="D10" s="518">
        <f>-PrudCalc!X41</f>
        <v>0</v>
      </c>
      <c r="F10" s="507" t="s">
        <v>384</v>
      </c>
    </row>
    <row r="12" spans="1:6" x14ac:dyDescent="0.2">
      <c r="A12" s="508" t="s">
        <v>386</v>
      </c>
      <c r="D12" s="518">
        <f>-PriceAlberta!E172</f>
        <v>353764</v>
      </c>
    </row>
    <row r="14" spans="1:6" ht="25.5" x14ac:dyDescent="0.2">
      <c r="A14" s="508" t="s">
        <v>434</v>
      </c>
      <c r="D14" s="518">
        <f>-PrudCalc!AD41</f>
        <v>0</v>
      </c>
      <c r="F14" s="507" t="s">
        <v>379</v>
      </c>
    </row>
    <row r="16" spans="1:6" x14ac:dyDescent="0.2">
      <c r="A16" s="508" t="s">
        <v>436</v>
      </c>
      <c r="D16" s="518">
        <f>-PriceAlberta!E174</f>
        <v>542237</v>
      </c>
      <c r="F16" s="507" t="s">
        <v>437</v>
      </c>
    </row>
    <row r="18" spans="1:6" x14ac:dyDescent="0.2">
      <c r="A18" s="508" t="s">
        <v>485</v>
      </c>
      <c r="D18" s="518">
        <f>-PriceAlberta!E178</f>
        <v>140000</v>
      </c>
    </row>
    <row r="20" spans="1:6" ht="25.5" x14ac:dyDescent="0.2">
      <c r="A20" s="508" t="s">
        <v>376</v>
      </c>
      <c r="D20" s="518">
        <f>-PriceAlberta!E179</f>
        <v>0</v>
      </c>
      <c r="F20" s="507" t="s">
        <v>380</v>
      </c>
    </row>
    <row r="22" spans="1:6" x14ac:dyDescent="0.2">
      <c r="A22" s="514" t="s">
        <v>377</v>
      </c>
      <c r="B22" s="515"/>
      <c r="C22" s="515"/>
      <c r="D22" s="520">
        <f>SUM(D6:D21)</f>
        <v>1036001</v>
      </c>
    </row>
    <row r="24" spans="1:6" x14ac:dyDescent="0.2">
      <c r="A24" s="516"/>
      <c r="B24" s="517"/>
      <c r="C24" s="517"/>
      <c r="D24" s="521"/>
    </row>
  </sheetData>
  <pageMargins left="0.75" right="0.75" top="1" bottom="1" header="0.5" footer="0.5"/>
  <pageSetup orientation="portrait" r:id="rId1"/>
  <headerFooter alignWithMargins="0"/>
  <colBreaks count="1" manualBreakCount="1">
    <brk id="5" max="1048575" man="1"/>
  </colBreak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AP60"/>
  <sheetViews>
    <sheetView zoomScale="75" workbookViewId="0">
      <pane xSplit="1" ySplit="6" topLeftCell="B7" activePane="bottomRight" state="frozen"/>
      <selection pane="topRight" activeCell="B1" sqref="B1"/>
      <selection pane="bottomLeft" activeCell="A7" sqref="A7"/>
      <selection pane="bottomRight" activeCell="C8" sqref="C8"/>
    </sheetView>
  </sheetViews>
  <sheetFormatPr defaultRowHeight="12.75" x14ac:dyDescent="0.2"/>
  <cols>
    <col min="1" max="1" width="14.42578125" style="291" customWidth="1"/>
    <col min="2" max="2" width="1.5703125" customWidth="1"/>
    <col min="3" max="3" width="14.85546875" style="292" bestFit="1" customWidth="1"/>
    <col min="4" max="4" width="2.28515625" style="292" hidden="1" customWidth="1"/>
    <col min="5" max="5" width="12.140625" style="292" bestFit="1" customWidth="1"/>
    <col min="6" max="6" width="2.5703125" style="292" hidden="1" customWidth="1"/>
    <col min="7" max="7" width="2.85546875" style="292" bestFit="1" customWidth="1"/>
    <col min="8" max="8" width="8.85546875" style="292" bestFit="1" customWidth="1"/>
    <col min="9" max="9" width="4" hidden="1" customWidth="1"/>
    <col min="10" max="10" width="9.7109375" bestFit="1" customWidth="1"/>
    <col min="11" max="11" width="4.5703125" hidden="1" customWidth="1"/>
    <col min="12" max="12" width="10.5703125" style="292" bestFit="1" customWidth="1"/>
    <col min="13" max="13" width="4.140625" style="293" hidden="1" customWidth="1"/>
    <col min="14" max="14" width="18.5703125" style="292" bestFit="1" customWidth="1"/>
    <col min="15" max="15" width="4.140625" style="293" hidden="1" customWidth="1"/>
    <col min="16" max="16" width="21.28515625" style="292" bestFit="1" customWidth="1"/>
    <col min="17" max="17" width="6.42578125" style="293" bestFit="1" customWidth="1"/>
    <col min="18" max="18" width="2.85546875" style="293" bestFit="1" customWidth="1"/>
    <col min="19" max="19" width="8.85546875" style="292" bestFit="1" customWidth="1"/>
    <col min="20" max="20" width="1.7109375" style="292" customWidth="1"/>
    <col min="21" max="21" width="14.42578125" style="292" bestFit="1" customWidth="1"/>
    <col min="22" max="22" width="9.42578125" style="292" customWidth="1"/>
    <col min="23" max="25" width="11.5703125" style="292" customWidth="1"/>
    <col min="26" max="29" width="9.42578125" style="292" customWidth="1"/>
    <col min="30" max="30" width="10.28515625" style="292" customWidth="1"/>
    <col min="31" max="32" width="11.28515625" style="292" customWidth="1"/>
    <col min="33" max="33" width="11.5703125" style="292" customWidth="1"/>
    <col min="34" max="34" width="13.140625" customWidth="1"/>
    <col min="35" max="35" width="2" customWidth="1"/>
    <col min="36" max="36" width="11.42578125" style="292" customWidth="1"/>
    <col min="38" max="38" width="11.28515625" customWidth="1"/>
    <col min="41" max="41" width="15.5703125" customWidth="1"/>
  </cols>
  <sheetData>
    <row r="1" spans="1:42" s="287" customFormat="1" x14ac:dyDescent="0.2">
      <c r="A1" s="283" t="s">
        <v>298</v>
      </c>
      <c r="B1" s="284"/>
      <c r="C1" s="285"/>
      <c r="D1" s="285"/>
      <c r="E1" s="285"/>
      <c r="F1" s="285"/>
      <c r="G1" s="285"/>
      <c r="H1" s="285"/>
      <c r="I1" s="284"/>
      <c r="J1" s="284"/>
      <c r="K1" s="284"/>
      <c r="L1" s="285"/>
      <c r="M1" s="286"/>
      <c r="N1" s="285"/>
      <c r="O1" s="286"/>
      <c r="P1" s="285"/>
      <c r="Q1" s="286"/>
      <c r="R1" s="286"/>
      <c r="S1" s="285"/>
      <c r="T1" s="285"/>
      <c r="U1" s="285"/>
      <c r="V1" s="285"/>
      <c r="W1" s="285"/>
      <c r="X1" s="285"/>
      <c r="Y1" s="285"/>
      <c r="Z1" s="285"/>
      <c r="AA1" s="285"/>
      <c r="AB1" s="285"/>
      <c r="AC1" s="285"/>
      <c r="AD1" s="285"/>
      <c r="AE1" s="285"/>
      <c r="AF1" s="285"/>
      <c r="AG1" s="285"/>
      <c r="AH1" s="284"/>
      <c r="AI1" s="284"/>
      <c r="AJ1" s="285"/>
    </row>
    <row r="2" spans="1:42" s="287" customFormat="1" ht="13.5" thickBot="1" x14ac:dyDescent="0.25">
      <c r="A2" s="458"/>
      <c r="B2" s="284"/>
      <c r="C2" s="285"/>
      <c r="D2" s="285"/>
      <c r="E2" s="285"/>
      <c r="F2" s="285"/>
      <c r="G2" s="285"/>
      <c r="H2" s="285"/>
      <c r="I2" s="284"/>
      <c r="J2" s="284"/>
      <c r="K2" s="284"/>
      <c r="L2" s="285"/>
      <c r="M2" s="286"/>
      <c r="N2" s="285"/>
      <c r="O2" s="286"/>
      <c r="P2" s="285"/>
      <c r="Q2" s="286"/>
      <c r="R2" s="286"/>
      <c r="S2" s="285"/>
      <c r="T2" s="285"/>
      <c r="U2" s="285"/>
      <c r="V2" s="285"/>
      <c r="W2" s="285"/>
      <c r="X2" s="285"/>
      <c r="Y2" s="285"/>
      <c r="Z2" s="285"/>
      <c r="AA2" s="285"/>
      <c r="AB2" s="285"/>
      <c r="AC2" s="285"/>
      <c r="AD2" s="285"/>
      <c r="AE2" s="285"/>
      <c r="AF2" s="285"/>
      <c r="AG2" s="285"/>
      <c r="AH2" s="284"/>
      <c r="AI2" s="284"/>
      <c r="AJ2" s="285"/>
    </row>
    <row r="3" spans="1:42" x14ac:dyDescent="0.2">
      <c r="A3" s="379"/>
      <c r="B3" s="288"/>
      <c r="C3" s="380" t="s">
        <v>299</v>
      </c>
      <c r="D3" s="289"/>
      <c r="E3" s="289"/>
      <c r="F3" s="289"/>
      <c r="G3" s="289"/>
      <c r="H3" s="289"/>
      <c r="I3" s="288"/>
      <c r="J3" s="288"/>
      <c r="K3" s="288"/>
      <c r="L3" s="289"/>
      <c r="M3" s="290"/>
      <c r="N3" s="289"/>
      <c r="O3" s="290"/>
      <c r="P3" s="289"/>
      <c r="Q3" s="387"/>
      <c r="R3" s="290"/>
      <c r="S3" s="289"/>
      <c r="T3" s="289"/>
      <c r="U3" s="289"/>
      <c r="V3" s="289"/>
      <c r="W3" s="289"/>
      <c r="X3" s="289"/>
      <c r="Y3" s="289"/>
      <c r="Z3" s="289"/>
      <c r="AB3" s="289"/>
      <c r="AC3" s="289"/>
      <c r="AD3" s="289"/>
      <c r="AE3" s="289"/>
      <c r="AF3" s="289"/>
      <c r="AG3" s="289"/>
      <c r="AH3" s="288"/>
      <c r="AI3" s="288"/>
      <c r="AJ3" s="289"/>
    </row>
    <row r="4" spans="1:42" x14ac:dyDescent="0.2">
      <c r="C4" s="381" t="s">
        <v>300</v>
      </c>
      <c r="E4" s="295" t="s">
        <v>301</v>
      </c>
      <c r="F4" s="295"/>
      <c r="H4" s="295" t="s">
        <v>302</v>
      </c>
      <c r="L4" s="295" t="s">
        <v>302</v>
      </c>
      <c r="P4" s="294" t="s">
        <v>303</v>
      </c>
      <c r="Q4" s="388"/>
      <c r="X4" s="295" t="s">
        <v>382</v>
      </c>
      <c r="Y4" s="295" t="s">
        <v>304</v>
      </c>
      <c r="Z4" s="295"/>
      <c r="AC4" s="296" t="s">
        <v>305</v>
      </c>
      <c r="AJ4" s="295" t="s">
        <v>156</v>
      </c>
      <c r="AL4" s="295" t="s">
        <v>371</v>
      </c>
      <c r="AM4" s="292"/>
      <c r="AO4" s="291" t="s">
        <v>4</v>
      </c>
    </row>
    <row r="5" spans="1:42" s="291" customFormat="1" x14ac:dyDescent="0.2">
      <c r="C5" s="381" t="s">
        <v>306</v>
      </c>
      <c r="D5" s="296"/>
      <c r="E5" s="295" t="s">
        <v>307</v>
      </c>
      <c r="F5" s="295"/>
      <c r="G5" s="296"/>
      <c r="H5" s="295" t="s">
        <v>290</v>
      </c>
      <c r="L5" s="295" t="s">
        <v>308</v>
      </c>
      <c r="M5" s="297"/>
      <c r="N5" s="295" t="s">
        <v>309</v>
      </c>
      <c r="O5" s="297"/>
      <c r="P5" s="295" t="s">
        <v>310</v>
      </c>
      <c r="Q5" s="389" t="s">
        <v>311</v>
      </c>
      <c r="R5" s="297"/>
      <c r="S5" s="295" t="s">
        <v>290</v>
      </c>
      <c r="T5" s="296"/>
      <c r="U5" s="295" t="s">
        <v>312</v>
      </c>
      <c r="V5" s="295" t="s">
        <v>369</v>
      </c>
      <c r="W5" s="295" t="s">
        <v>313</v>
      </c>
      <c r="X5" s="295" t="s">
        <v>383</v>
      </c>
      <c r="Y5" s="295" t="s">
        <v>314</v>
      </c>
      <c r="Z5" s="295" t="s">
        <v>370</v>
      </c>
      <c r="AA5" s="295" t="s">
        <v>315</v>
      </c>
      <c r="AB5" s="295" t="s">
        <v>316</v>
      </c>
      <c r="AC5" s="295" t="s">
        <v>317</v>
      </c>
      <c r="AD5" s="295" t="s">
        <v>318</v>
      </c>
      <c r="AE5" s="295"/>
      <c r="AF5" s="296"/>
      <c r="AG5" s="295" t="s">
        <v>290</v>
      </c>
      <c r="AH5" s="295" t="s">
        <v>156</v>
      </c>
      <c r="AJ5" s="295" t="s">
        <v>290</v>
      </c>
      <c r="AL5" s="295" t="s">
        <v>372</v>
      </c>
      <c r="AM5" s="295" t="s">
        <v>290</v>
      </c>
      <c r="AO5" s="291" t="s">
        <v>319</v>
      </c>
      <c r="AP5"/>
    </row>
    <row r="6" spans="1:42" s="291" customFormat="1" ht="13.5" thickBot="1" x14ac:dyDescent="0.25">
      <c r="C6" s="382" t="s">
        <v>320</v>
      </c>
      <c r="D6" s="296"/>
      <c r="E6" s="295"/>
      <c r="F6" s="295"/>
      <c r="G6" s="296"/>
      <c r="H6" s="295" t="s">
        <v>321</v>
      </c>
      <c r="L6" s="295" t="s">
        <v>140</v>
      </c>
      <c r="M6" s="297"/>
      <c r="N6" s="295" t="s">
        <v>322</v>
      </c>
      <c r="O6" s="297"/>
      <c r="P6" s="295" t="s">
        <v>323</v>
      </c>
      <c r="Q6" s="389"/>
      <c r="R6" s="297"/>
      <c r="S6" s="295" t="s">
        <v>321</v>
      </c>
      <c r="T6" s="296"/>
      <c r="U6" s="295" t="s">
        <v>324</v>
      </c>
      <c r="V6" s="295" t="s">
        <v>325</v>
      </c>
      <c r="W6" s="295" t="s">
        <v>325</v>
      </c>
      <c r="X6" s="295" t="s">
        <v>324</v>
      </c>
      <c r="Y6" s="295" t="s">
        <v>325</v>
      </c>
      <c r="Z6" s="295" t="s">
        <v>325</v>
      </c>
      <c r="AA6" s="295" t="s">
        <v>324</v>
      </c>
      <c r="AB6" s="295" t="s">
        <v>324</v>
      </c>
      <c r="AC6" s="295" t="s">
        <v>140</v>
      </c>
      <c r="AD6" s="295" t="s">
        <v>325</v>
      </c>
      <c r="AE6" s="295" t="s">
        <v>156</v>
      </c>
      <c r="AF6" s="296"/>
      <c r="AG6" s="295" t="s">
        <v>321</v>
      </c>
      <c r="AH6" s="392" t="s">
        <v>140</v>
      </c>
      <c r="AJ6" s="295" t="s">
        <v>321</v>
      </c>
      <c r="AL6" s="295" t="s">
        <v>325</v>
      </c>
      <c r="AM6" s="295" t="s">
        <v>321</v>
      </c>
      <c r="AO6" s="291" t="s">
        <v>326</v>
      </c>
      <c r="AP6"/>
    </row>
    <row r="7" spans="1:42" x14ac:dyDescent="0.2">
      <c r="C7" s="393"/>
      <c r="N7" s="294" t="s">
        <v>327</v>
      </c>
      <c r="Q7" s="388"/>
    </row>
    <row r="8" spans="1:42" x14ac:dyDescent="0.2">
      <c r="A8" s="571">
        <v>36616</v>
      </c>
      <c r="C8" s="394">
        <v>0</v>
      </c>
      <c r="D8" s="300"/>
      <c r="E8" s="305">
        <f>C8*SpotRates!$J$2</f>
        <v>0</v>
      </c>
      <c r="F8" s="300"/>
      <c r="G8" s="300"/>
      <c r="H8" s="300"/>
      <c r="I8" s="383"/>
      <c r="J8" s="302">
        <v>34817</v>
      </c>
      <c r="K8" s="301"/>
      <c r="L8" s="299">
        <v>0.01</v>
      </c>
      <c r="M8" s="303"/>
      <c r="N8" s="300">
        <v>0</v>
      </c>
      <c r="O8" s="303"/>
      <c r="P8" s="300">
        <f t="shared" ref="P8:P23" si="0">L8+N8</f>
        <v>0.01</v>
      </c>
      <c r="Q8" s="390"/>
      <c r="R8" s="303"/>
      <c r="S8" s="300"/>
      <c r="T8" s="385"/>
      <c r="U8" s="300">
        <v>0</v>
      </c>
      <c r="V8" s="305">
        <v>0</v>
      </c>
      <c r="W8" s="305">
        <v>0</v>
      </c>
      <c r="X8" s="305">
        <v>0</v>
      </c>
      <c r="Y8" s="305">
        <v>0</v>
      </c>
      <c r="Z8" s="305">
        <v>0</v>
      </c>
      <c r="AA8" s="300">
        <v>0</v>
      </c>
      <c r="AB8" s="300">
        <v>0</v>
      </c>
      <c r="AC8" s="305">
        <v>0</v>
      </c>
      <c r="AD8" s="305">
        <f>AD7</f>
        <v>0</v>
      </c>
      <c r="AE8" s="305">
        <f>SUM(U8:AD8)</f>
        <v>0</v>
      </c>
      <c r="AF8" s="300"/>
      <c r="AG8" s="300"/>
      <c r="AH8" s="300">
        <f>E8+L8+AE8</f>
        <v>0.01</v>
      </c>
      <c r="AI8" s="301"/>
      <c r="AJ8" s="304"/>
      <c r="AL8" s="305">
        <v>0</v>
      </c>
      <c r="AO8" s="459">
        <f t="shared" ref="AO8:AO23" si="1">+AL8+AH8</f>
        <v>0.01</v>
      </c>
    </row>
    <row r="9" spans="1:42" x14ac:dyDescent="0.2">
      <c r="A9" s="298">
        <f>A8+1</f>
        <v>36617</v>
      </c>
      <c r="C9" s="394">
        <v>0</v>
      </c>
      <c r="D9" s="305"/>
      <c r="E9" s="305">
        <f>C9*SpotRates!$J$2</f>
        <v>0</v>
      </c>
      <c r="F9" s="305"/>
      <c r="G9" s="305">
        <f>E9-E8</f>
        <v>0</v>
      </c>
      <c r="H9" s="306">
        <f>IF(G9=-C8,G9*0,G9)</f>
        <v>0</v>
      </c>
      <c r="I9" s="384"/>
      <c r="J9" s="308">
        <v>34820</v>
      </c>
      <c r="K9" s="307"/>
      <c r="L9" s="299">
        <f t="shared" ref="L9:L18" si="2">L8</f>
        <v>0.01</v>
      </c>
      <c r="M9" s="309"/>
      <c r="N9" s="300">
        <v>0</v>
      </c>
      <c r="O9" s="309"/>
      <c r="P9" s="300">
        <f t="shared" si="0"/>
        <v>0.01</v>
      </c>
      <c r="Q9" s="391"/>
      <c r="R9" s="309">
        <f>P9-P8</f>
        <v>0</v>
      </c>
      <c r="S9" s="306">
        <f>IF(R9=-P8,R9*0,R9)</f>
        <v>0</v>
      </c>
      <c r="T9" s="386"/>
      <c r="U9" s="305">
        <f t="shared" ref="U9:AC9" si="3">U8</f>
        <v>0</v>
      </c>
      <c r="V9" s="305">
        <f t="shared" si="3"/>
        <v>0</v>
      </c>
      <c r="W9" s="305">
        <f t="shared" si="3"/>
        <v>0</v>
      </c>
      <c r="X9" s="305">
        <f t="shared" si="3"/>
        <v>0</v>
      </c>
      <c r="Y9" s="305">
        <f t="shared" si="3"/>
        <v>0</v>
      </c>
      <c r="Z9" s="305">
        <f t="shared" si="3"/>
        <v>0</v>
      </c>
      <c r="AA9" s="305">
        <f t="shared" si="3"/>
        <v>0</v>
      </c>
      <c r="AB9" s="305">
        <f t="shared" si="3"/>
        <v>0</v>
      </c>
      <c r="AC9" s="305">
        <f t="shared" si="3"/>
        <v>0</v>
      </c>
      <c r="AD9" s="305">
        <f>AD8</f>
        <v>0</v>
      </c>
      <c r="AE9" s="305">
        <f>SUM(U9:AD9)</f>
        <v>0</v>
      </c>
      <c r="AF9" s="305">
        <f>AE9-AE8</f>
        <v>0</v>
      </c>
      <c r="AG9" s="306">
        <f>IF(AF9=-AE8,AF9*0,AF9)</f>
        <v>0</v>
      </c>
      <c r="AH9" s="300">
        <f t="shared" ref="AH9:AH24" si="4">E9+L9+AE9</f>
        <v>0.01</v>
      </c>
      <c r="AI9" s="301"/>
      <c r="AJ9" s="310">
        <f>H9+S9+AG9</f>
        <v>0</v>
      </c>
      <c r="AL9" s="305">
        <f>AL8</f>
        <v>0</v>
      </c>
      <c r="AM9" s="292">
        <f>AL9-AL8</f>
        <v>0</v>
      </c>
      <c r="AO9" s="459">
        <f t="shared" si="1"/>
        <v>0.01</v>
      </c>
    </row>
    <row r="10" spans="1:42" x14ac:dyDescent="0.2">
      <c r="A10" s="298">
        <f t="shared" ref="A10:A25" si="5">A9+1</f>
        <v>36618</v>
      </c>
      <c r="C10" s="394">
        <v>0</v>
      </c>
      <c r="D10" s="305"/>
      <c r="E10" s="305">
        <f>C10*SpotRates!$F$36</f>
        <v>0</v>
      </c>
      <c r="F10" s="305"/>
      <c r="G10" s="305">
        <f t="shared" ref="G10:G25" si="6">E10-E9</f>
        <v>0</v>
      </c>
      <c r="H10" s="306">
        <f t="shared" ref="H10:H25" si="7">IF(G10=-C9,G10*0,G10)</f>
        <v>0</v>
      </c>
      <c r="I10" s="384"/>
      <c r="J10" s="308">
        <v>34821</v>
      </c>
      <c r="K10" s="307"/>
      <c r="L10" s="299">
        <f t="shared" si="2"/>
        <v>0.01</v>
      </c>
      <c r="M10" s="309"/>
      <c r="N10" s="300">
        <v>0</v>
      </c>
      <c r="O10" s="309"/>
      <c r="P10" s="300">
        <f t="shared" si="0"/>
        <v>0.01</v>
      </c>
      <c r="Q10" s="391"/>
      <c r="R10" s="309">
        <f t="shared" ref="R10:R25" si="8">P10-P9</f>
        <v>0</v>
      </c>
      <c r="S10" s="306">
        <f t="shared" ref="S10:S25" si="9">IF(R10=-P9,R10*0,R10)</f>
        <v>0</v>
      </c>
      <c r="T10" s="386"/>
      <c r="U10" s="305">
        <f t="shared" ref="U10:X41" si="10">U9</f>
        <v>0</v>
      </c>
      <c r="V10" s="305">
        <f t="shared" ref="V10:V24" si="11">V9</f>
        <v>0</v>
      </c>
      <c r="W10" s="305">
        <f t="shared" ref="W10:W24" si="12">W9</f>
        <v>0</v>
      </c>
      <c r="X10" s="305">
        <f t="shared" ref="X10:X24" si="13">X9</f>
        <v>0</v>
      </c>
      <c r="Y10" s="305">
        <f t="shared" ref="Y10:Z41" si="14">Y9</f>
        <v>0</v>
      </c>
      <c r="Z10" s="305">
        <f t="shared" ref="Z10:Z24" si="15">Z9</f>
        <v>0</v>
      </c>
      <c r="AA10" s="305">
        <f t="shared" ref="AA10:AA41" si="16">AA9</f>
        <v>0</v>
      </c>
      <c r="AB10" s="305">
        <f t="shared" ref="AB10:AB41" si="17">AB9</f>
        <v>0</v>
      </c>
      <c r="AC10" s="305">
        <f t="shared" ref="AC10:AC15" si="18">AC9</f>
        <v>0</v>
      </c>
      <c r="AD10" s="305">
        <f t="shared" ref="AD10:AD41" si="19">AD9</f>
        <v>0</v>
      </c>
      <c r="AE10" s="305">
        <f t="shared" ref="AE10:AE41" si="20">SUM(U10:AD10)</f>
        <v>0</v>
      </c>
      <c r="AF10" s="305">
        <f t="shared" ref="AF10:AF25" si="21">AE10-AE9</f>
        <v>0</v>
      </c>
      <c r="AG10" s="306">
        <f t="shared" ref="AG10:AG25" si="22">IF(AF10=-AE9,AF10*0,AF10)</f>
        <v>0</v>
      </c>
      <c r="AH10" s="300">
        <f t="shared" si="4"/>
        <v>0.01</v>
      </c>
      <c r="AI10" s="301"/>
      <c r="AJ10" s="310">
        <f t="shared" ref="AJ10:AJ25" si="23">H10+S10+AG10</f>
        <v>0</v>
      </c>
      <c r="AL10" s="305">
        <f t="shared" ref="AL10:AL41" si="24">AL9</f>
        <v>0</v>
      </c>
      <c r="AO10" s="459">
        <f t="shared" si="1"/>
        <v>0.01</v>
      </c>
    </row>
    <row r="11" spans="1:42" x14ac:dyDescent="0.2">
      <c r="A11" s="298">
        <f t="shared" si="5"/>
        <v>36619</v>
      </c>
      <c r="C11" s="394">
        <v>0</v>
      </c>
      <c r="D11" s="305"/>
      <c r="E11" s="305">
        <f>C11*SpotRates!$F$36</f>
        <v>0</v>
      </c>
      <c r="F11" s="305"/>
      <c r="G11" s="305">
        <f t="shared" si="6"/>
        <v>0</v>
      </c>
      <c r="H11" s="306">
        <f t="shared" si="7"/>
        <v>0</v>
      </c>
      <c r="I11" s="384"/>
      <c r="J11" s="308">
        <v>34822</v>
      </c>
      <c r="K11" s="307"/>
      <c r="L11" s="299">
        <f t="shared" si="2"/>
        <v>0.01</v>
      </c>
      <c r="M11" s="309"/>
      <c r="N11" s="300">
        <v>0</v>
      </c>
      <c r="O11" s="309"/>
      <c r="P11" s="300">
        <f t="shared" si="0"/>
        <v>0.01</v>
      </c>
      <c r="Q11" s="391"/>
      <c r="R11" s="309">
        <f t="shared" si="8"/>
        <v>0</v>
      </c>
      <c r="S11" s="306">
        <f t="shared" si="9"/>
        <v>0</v>
      </c>
      <c r="T11" s="386"/>
      <c r="U11" s="305">
        <f t="shared" si="10"/>
        <v>0</v>
      </c>
      <c r="V11" s="305">
        <f t="shared" si="11"/>
        <v>0</v>
      </c>
      <c r="W11" s="305">
        <f t="shared" si="12"/>
        <v>0</v>
      </c>
      <c r="X11" s="305">
        <f t="shared" si="13"/>
        <v>0</v>
      </c>
      <c r="Y11" s="305">
        <f t="shared" si="14"/>
        <v>0</v>
      </c>
      <c r="Z11" s="305">
        <f t="shared" si="15"/>
        <v>0</v>
      </c>
      <c r="AA11" s="305">
        <f t="shared" si="16"/>
        <v>0</v>
      </c>
      <c r="AB11" s="305">
        <f t="shared" si="17"/>
        <v>0</v>
      </c>
      <c r="AC11" s="305">
        <f t="shared" si="18"/>
        <v>0</v>
      </c>
      <c r="AD11" s="305">
        <f t="shared" si="19"/>
        <v>0</v>
      </c>
      <c r="AE11" s="305">
        <f t="shared" si="20"/>
        <v>0</v>
      </c>
      <c r="AF11" s="305">
        <f t="shared" si="21"/>
        <v>0</v>
      </c>
      <c r="AG11" s="306">
        <f t="shared" si="22"/>
        <v>0</v>
      </c>
      <c r="AH11" s="300">
        <f t="shared" si="4"/>
        <v>0.01</v>
      </c>
      <c r="AI11" s="301"/>
      <c r="AJ11" s="310">
        <f t="shared" si="23"/>
        <v>0</v>
      </c>
      <c r="AL11" s="305">
        <f t="shared" si="24"/>
        <v>0</v>
      </c>
      <c r="AO11" s="459">
        <f t="shared" si="1"/>
        <v>0.01</v>
      </c>
    </row>
    <row r="12" spans="1:42" x14ac:dyDescent="0.2">
      <c r="A12" s="298">
        <f t="shared" si="5"/>
        <v>36620</v>
      </c>
      <c r="C12" s="394">
        <v>0</v>
      </c>
      <c r="D12" s="305"/>
      <c r="E12" s="305">
        <f>C12*SpotRates!$F$36</f>
        <v>0</v>
      </c>
      <c r="F12" s="305"/>
      <c r="G12" s="305">
        <f t="shared" si="6"/>
        <v>0</v>
      </c>
      <c r="H12" s="306">
        <f t="shared" si="7"/>
        <v>0</v>
      </c>
      <c r="I12" s="384"/>
      <c r="J12" s="308">
        <v>34823</v>
      </c>
      <c r="K12" s="307"/>
      <c r="L12" s="299">
        <f t="shared" si="2"/>
        <v>0.01</v>
      </c>
      <c r="M12" s="309"/>
      <c r="N12" s="300">
        <v>0</v>
      </c>
      <c r="O12" s="309"/>
      <c r="P12" s="300">
        <f t="shared" si="0"/>
        <v>0.01</v>
      </c>
      <c r="Q12" s="391"/>
      <c r="R12" s="309">
        <f t="shared" si="8"/>
        <v>0</v>
      </c>
      <c r="S12" s="306">
        <f t="shared" si="9"/>
        <v>0</v>
      </c>
      <c r="T12" s="386"/>
      <c r="U12" s="305">
        <f t="shared" si="10"/>
        <v>0</v>
      </c>
      <c r="V12" s="305">
        <f t="shared" si="11"/>
        <v>0</v>
      </c>
      <c r="W12" s="305">
        <f t="shared" si="12"/>
        <v>0</v>
      </c>
      <c r="X12" s="305">
        <f t="shared" si="13"/>
        <v>0</v>
      </c>
      <c r="Y12" s="305">
        <f t="shared" si="14"/>
        <v>0</v>
      </c>
      <c r="Z12" s="305">
        <f t="shared" si="15"/>
        <v>0</v>
      </c>
      <c r="AA12" s="305">
        <f t="shared" si="16"/>
        <v>0</v>
      </c>
      <c r="AB12" s="305">
        <f t="shared" si="17"/>
        <v>0</v>
      </c>
      <c r="AC12" s="305">
        <f t="shared" si="18"/>
        <v>0</v>
      </c>
      <c r="AD12" s="305">
        <f t="shared" si="19"/>
        <v>0</v>
      </c>
      <c r="AE12" s="305">
        <f t="shared" si="20"/>
        <v>0</v>
      </c>
      <c r="AF12" s="305">
        <f t="shared" si="21"/>
        <v>0</v>
      </c>
      <c r="AG12" s="306">
        <f t="shared" si="22"/>
        <v>0</v>
      </c>
      <c r="AH12" s="300">
        <f t="shared" si="4"/>
        <v>0.01</v>
      </c>
      <c r="AI12" s="301"/>
      <c r="AJ12" s="310">
        <f t="shared" si="23"/>
        <v>0</v>
      </c>
      <c r="AL12" s="305">
        <f t="shared" si="24"/>
        <v>0</v>
      </c>
      <c r="AO12" s="459">
        <f t="shared" si="1"/>
        <v>0.01</v>
      </c>
    </row>
    <row r="13" spans="1:42" x14ac:dyDescent="0.2">
      <c r="A13" s="298">
        <f t="shared" si="5"/>
        <v>36621</v>
      </c>
      <c r="C13" s="394">
        <v>0</v>
      </c>
      <c r="D13" s="305"/>
      <c r="E13" s="305">
        <f>C13*SpotRates!$F$36</f>
        <v>0</v>
      </c>
      <c r="F13" s="305"/>
      <c r="G13" s="305">
        <f t="shared" si="6"/>
        <v>0</v>
      </c>
      <c r="H13" s="306">
        <f t="shared" si="7"/>
        <v>0</v>
      </c>
      <c r="I13" s="384"/>
      <c r="J13" s="308">
        <v>34824</v>
      </c>
      <c r="K13" s="307"/>
      <c r="L13" s="299">
        <f t="shared" si="2"/>
        <v>0.01</v>
      </c>
      <c r="M13" s="309"/>
      <c r="N13" s="300">
        <v>0</v>
      </c>
      <c r="O13" s="309"/>
      <c r="P13" s="300">
        <f t="shared" si="0"/>
        <v>0.01</v>
      </c>
      <c r="Q13" s="391"/>
      <c r="R13" s="309">
        <f t="shared" si="8"/>
        <v>0</v>
      </c>
      <c r="S13" s="306">
        <f t="shared" si="9"/>
        <v>0</v>
      </c>
      <c r="T13" s="386"/>
      <c r="U13" s="305">
        <f t="shared" si="10"/>
        <v>0</v>
      </c>
      <c r="V13" s="305">
        <f t="shared" si="11"/>
        <v>0</v>
      </c>
      <c r="W13" s="305">
        <f t="shared" si="12"/>
        <v>0</v>
      </c>
      <c r="X13" s="305">
        <f t="shared" si="13"/>
        <v>0</v>
      </c>
      <c r="Y13" s="305">
        <f t="shared" si="14"/>
        <v>0</v>
      </c>
      <c r="Z13" s="305">
        <f t="shared" si="15"/>
        <v>0</v>
      </c>
      <c r="AA13" s="305">
        <f t="shared" si="16"/>
        <v>0</v>
      </c>
      <c r="AB13" s="305">
        <f t="shared" si="17"/>
        <v>0</v>
      </c>
      <c r="AC13" s="305">
        <f t="shared" si="18"/>
        <v>0</v>
      </c>
      <c r="AD13" s="305">
        <f t="shared" si="19"/>
        <v>0</v>
      </c>
      <c r="AE13" s="305">
        <f t="shared" si="20"/>
        <v>0</v>
      </c>
      <c r="AF13" s="305">
        <f t="shared" si="21"/>
        <v>0</v>
      </c>
      <c r="AG13" s="306">
        <f t="shared" si="22"/>
        <v>0</v>
      </c>
      <c r="AH13" s="300">
        <f t="shared" si="4"/>
        <v>0.01</v>
      </c>
      <c r="AI13" s="301"/>
      <c r="AJ13" s="310">
        <f t="shared" si="23"/>
        <v>0</v>
      </c>
      <c r="AL13" s="305">
        <f t="shared" si="24"/>
        <v>0</v>
      </c>
      <c r="AO13" s="459">
        <f t="shared" si="1"/>
        <v>0.01</v>
      </c>
    </row>
    <row r="14" spans="1:42" x14ac:dyDescent="0.2">
      <c r="A14" s="298">
        <f t="shared" si="5"/>
        <v>36622</v>
      </c>
      <c r="C14" s="394">
        <v>0</v>
      </c>
      <c r="D14" s="305"/>
      <c r="E14" s="305">
        <f>C14*SpotRates!$F$36</f>
        <v>0</v>
      </c>
      <c r="F14" s="305"/>
      <c r="G14" s="305">
        <f t="shared" si="6"/>
        <v>0</v>
      </c>
      <c r="H14" s="306">
        <f t="shared" si="7"/>
        <v>0</v>
      </c>
      <c r="I14" s="384"/>
      <c r="J14" s="308">
        <v>34827</v>
      </c>
      <c r="K14" s="307"/>
      <c r="L14" s="299">
        <f t="shared" si="2"/>
        <v>0.01</v>
      </c>
      <c r="M14" s="309"/>
      <c r="N14" s="300">
        <v>0</v>
      </c>
      <c r="O14" s="309"/>
      <c r="P14" s="300">
        <f t="shared" si="0"/>
        <v>0.01</v>
      </c>
      <c r="Q14" s="391"/>
      <c r="R14" s="309">
        <f t="shared" si="8"/>
        <v>0</v>
      </c>
      <c r="S14" s="306">
        <f t="shared" si="9"/>
        <v>0</v>
      </c>
      <c r="T14" s="386"/>
      <c r="U14" s="305">
        <f t="shared" si="10"/>
        <v>0</v>
      </c>
      <c r="V14" s="305">
        <f t="shared" si="11"/>
        <v>0</v>
      </c>
      <c r="W14" s="305">
        <f t="shared" si="12"/>
        <v>0</v>
      </c>
      <c r="X14" s="305">
        <f t="shared" si="13"/>
        <v>0</v>
      </c>
      <c r="Y14" s="305">
        <f t="shared" si="14"/>
        <v>0</v>
      </c>
      <c r="Z14" s="305">
        <f t="shared" si="15"/>
        <v>0</v>
      </c>
      <c r="AA14" s="305">
        <f t="shared" si="16"/>
        <v>0</v>
      </c>
      <c r="AB14" s="305">
        <f t="shared" si="17"/>
        <v>0</v>
      </c>
      <c r="AC14" s="305">
        <f t="shared" si="18"/>
        <v>0</v>
      </c>
      <c r="AD14" s="305">
        <f t="shared" si="19"/>
        <v>0</v>
      </c>
      <c r="AE14" s="305">
        <f t="shared" si="20"/>
        <v>0</v>
      </c>
      <c r="AF14" s="305">
        <f t="shared" si="21"/>
        <v>0</v>
      </c>
      <c r="AG14" s="306">
        <f t="shared" si="22"/>
        <v>0</v>
      </c>
      <c r="AH14" s="300">
        <f t="shared" si="4"/>
        <v>0.01</v>
      </c>
      <c r="AI14" s="301"/>
      <c r="AJ14" s="310">
        <f t="shared" si="23"/>
        <v>0</v>
      </c>
      <c r="AL14" s="305">
        <f t="shared" si="24"/>
        <v>0</v>
      </c>
      <c r="AO14" s="459">
        <f t="shared" si="1"/>
        <v>0.01</v>
      </c>
    </row>
    <row r="15" spans="1:42" x14ac:dyDescent="0.2">
      <c r="A15" s="298">
        <f t="shared" si="5"/>
        <v>36623</v>
      </c>
      <c r="C15" s="394">
        <v>0</v>
      </c>
      <c r="D15" s="305"/>
      <c r="E15" s="305">
        <f>C15*SpotRates!$F$36</f>
        <v>0</v>
      </c>
      <c r="F15" s="305"/>
      <c r="G15" s="305">
        <f t="shared" si="6"/>
        <v>0</v>
      </c>
      <c r="H15" s="306">
        <f t="shared" si="7"/>
        <v>0</v>
      </c>
      <c r="I15" s="384"/>
      <c r="J15" s="308">
        <v>34828</v>
      </c>
      <c r="K15" s="307"/>
      <c r="L15" s="299">
        <f t="shared" si="2"/>
        <v>0.01</v>
      </c>
      <c r="M15" s="309"/>
      <c r="N15" s="300">
        <v>0</v>
      </c>
      <c r="O15" s="309"/>
      <c r="P15" s="300">
        <f t="shared" si="0"/>
        <v>0.01</v>
      </c>
      <c r="Q15" s="391"/>
      <c r="R15" s="309">
        <f t="shared" si="8"/>
        <v>0</v>
      </c>
      <c r="S15" s="306">
        <f t="shared" si="9"/>
        <v>0</v>
      </c>
      <c r="T15" s="386"/>
      <c r="U15" s="305">
        <f t="shared" si="10"/>
        <v>0</v>
      </c>
      <c r="V15" s="305">
        <f t="shared" si="11"/>
        <v>0</v>
      </c>
      <c r="W15" s="305">
        <f t="shared" si="12"/>
        <v>0</v>
      </c>
      <c r="X15" s="305">
        <f t="shared" si="13"/>
        <v>0</v>
      </c>
      <c r="Y15" s="305">
        <f t="shared" si="14"/>
        <v>0</v>
      </c>
      <c r="Z15" s="305">
        <f t="shared" si="15"/>
        <v>0</v>
      </c>
      <c r="AA15" s="305">
        <f t="shared" si="16"/>
        <v>0</v>
      </c>
      <c r="AB15" s="305">
        <f t="shared" si="17"/>
        <v>0</v>
      </c>
      <c r="AC15" s="305">
        <f t="shared" si="18"/>
        <v>0</v>
      </c>
      <c r="AD15" s="305">
        <f t="shared" si="19"/>
        <v>0</v>
      </c>
      <c r="AE15" s="305">
        <f t="shared" si="20"/>
        <v>0</v>
      </c>
      <c r="AF15" s="305">
        <f t="shared" si="21"/>
        <v>0</v>
      </c>
      <c r="AG15" s="306">
        <f t="shared" si="22"/>
        <v>0</v>
      </c>
      <c r="AH15" s="300">
        <f t="shared" si="4"/>
        <v>0.01</v>
      </c>
      <c r="AI15" s="301"/>
      <c r="AJ15" s="310">
        <f t="shared" si="23"/>
        <v>0</v>
      </c>
      <c r="AL15" s="305">
        <f t="shared" si="24"/>
        <v>0</v>
      </c>
      <c r="AO15" s="459">
        <f t="shared" si="1"/>
        <v>0.01</v>
      </c>
    </row>
    <row r="16" spans="1:42" x14ac:dyDescent="0.2">
      <c r="A16" s="298">
        <f t="shared" si="5"/>
        <v>36624</v>
      </c>
      <c r="C16" s="394">
        <v>0</v>
      </c>
      <c r="D16" s="305"/>
      <c r="E16" s="305">
        <f>C16*SpotRates!$F$36</f>
        <v>0</v>
      </c>
      <c r="F16" s="305"/>
      <c r="G16" s="305">
        <f t="shared" si="6"/>
        <v>0</v>
      </c>
      <c r="H16" s="306">
        <f t="shared" si="7"/>
        <v>0</v>
      </c>
      <c r="I16" s="384"/>
      <c r="J16" s="308">
        <v>34829</v>
      </c>
      <c r="K16" s="307"/>
      <c r="L16" s="299">
        <f t="shared" si="2"/>
        <v>0.01</v>
      </c>
      <c r="M16" s="309"/>
      <c r="N16" s="300">
        <v>0</v>
      </c>
      <c r="O16" s="309"/>
      <c r="P16" s="300">
        <f t="shared" si="0"/>
        <v>0.01</v>
      </c>
      <c r="Q16" s="391"/>
      <c r="R16" s="309">
        <f t="shared" si="8"/>
        <v>0</v>
      </c>
      <c r="S16" s="306">
        <f t="shared" si="9"/>
        <v>0</v>
      </c>
      <c r="T16" s="386"/>
      <c r="U16" s="534">
        <v>0</v>
      </c>
      <c r="V16" s="534">
        <f t="shared" si="11"/>
        <v>0</v>
      </c>
      <c r="W16" s="534">
        <f t="shared" si="12"/>
        <v>0</v>
      </c>
      <c r="X16" s="534">
        <f t="shared" si="13"/>
        <v>0</v>
      </c>
      <c r="Y16" s="534">
        <v>0</v>
      </c>
      <c r="Z16" s="534">
        <f t="shared" si="15"/>
        <v>0</v>
      </c>
      <c r="AA16" s="534">
        <v>0</v>
      </c>
      <c r="AB16" s="534">
        <v>0</v>
      </c>
      <c r="AC16" s="534">
        <v>0</v>
      </c>
      <c r="AD16" s="305">
        <f t="shared" si="19"/>
        <v>0</v>
      </c>
      <c r="AE16" s="305">
        <f t="shared" si="20"/>
        <v>0</v>
      </c>
      <c r="AF16" s="305">
        <f t="shared" si="21"/>
        <v>0</v>
      </c>
      <c r="AG16" s="306">
        <f t="shared" si="22"/>
        <v>0</v>
      </c>
      <c r="AH16" s="300">
        <f t="shared" si="4"/>
        <v>0.01</v>
      </c>
      <c r="AI16" s="301"/>
      <c r="AJ16" s="310">
        <f t="shared" si="23"/>
        <v>0</v>
      </c>
      <c r="AL16" s="305">
        <f t="shared" si="24"/>
        <v>0</v>
      </c>
      <c r="AO16" s="459">
        <f t="shared" si="1"/>
        <v>0.01</v>
      </c>
    </row>
    <row r="17" spans="1:41" s="536" customFormat="1" x14ac:dyDescent="0.2">
      <c r="A17" s="535">
        <f t="shared" si="5"/>
        <v>36625</v>
      </c>
      <c r="C17" s="537">
        <f t="shared" ref="C17:C41" si="25">C16</f>
        <v>0</v>
      </c>
      <c r="D17" s="538"/>
      <c r="E17" s="538">
        <f>C17*SpotRates!$F$36</f>
        <v>0</v>
      </c>
      <c r="F17" s="538"/>
      <c r="G17" s="538">
        <f t="shared" si="6"/>
        <v>0</v>
      </c>
      <c r="H17" s="538">
        <f t="shared" si="7"/>
        <v>0</v>
      </c>
      <c r="I17" s="539"/>
      <c r="J17" s="540">
        <v>34830</v>
      </c>
      <c r="K17" s="541"/>
      <c r="L17" s="542">
        <f t="shared" si="2"/>
        <v>0.01</v>
      </c>
      <c r="M17" s="543"/>
      <c r="N17" s="544">
        <v>0</v>
      </c>
      <c r="O17" s="543"/>
      <c r="P17" s="544">
        <f t="shared" si="0"/>
        <v>0.01</v>
      </c>
      <c r="Q17" s="545"/>
      <c r="R17" s="543">
        <f t="shared" si="8"/>
        <v>0</v>
      </c>
      <c r="S17" s="538">
        <f t="shared" si="9"/>
        <v>0</v>
      </c>
      <c r="T17" s="546"/>
      <c r="U17" s="538">
        <f t="shared" si="10"/>
        <v>0</v>
      </c>
      <c r="V17" s="538">
        <f t="shared" si="11"/>
        <v>0</v>
      </c>
      <c r="W17" s="534">
        <f t="shared" si="12"/>
        <v>0</v>
      </c>
      <c r="X17" s="538">
        <f t="shared" si="13"/>
        <v>0</v>
      </c>
      <c r="Y17" s="538">
        <f t="shared" si="14"/>
        <v>0</v>
      </c>
      <c r="Z17" s="538">
        <f t="shared" si="15"/>
        <v>0</v>
      </c>
      <c r="AA17" s="538">
        <f t="shared" si="16"/>
        <v>0</v>
      </c>
      <c r="AB17" s="538">
        <f t="shared" si="17"/>
        <v>0</v>
      </c>
      <c r="AC17" s="538">
        <f t="shared" ref="AC17:AC41" si="26">AC16</f>
        <v>0</v>
      </c>
      <c r="AD17" s="305">
        <f t="shared" si="19"/>
        <v>0</v>
      </c>
      <c r="AE17" s="538">
        <f t="shared" si="20"/>
        <v>0</v>
      </c>
      <c r="AF17" s="538">
        <f t="shared" si="21"/>
        <v>0</v>
      </c>
      <c r="AG17" s="538">
        <f t="shared" si="22"/>
        <v>0</v>
      </c>
      <c r="AH17" s="544">
        <f t="shared" si="4"/>
        <v>0.01</v>
      </c>
      <c r="AI17" s="547"/>
      <c r="AJ17" s="548">
        <f t="shared" si="23"/>
        <v>0</v>
      </c>
      <c r="AL17" s="538">
        <f t="shared" si="24"/>
        <v>0</v>
      </c>
      <c r="AO17" s="549">
        <f t="shared" si="1"/>
        <v>0.01</v>
      </c>
    </row>
    <row r="18" spans="1:41" x14ac:dyDescent="0.2">
      <c r="A18" s="298">
        <f t="shared" si="5"/>
        <v>36626</v>
      </c>
      <c r="C18" s="394">
        <f t="shared" si="25"/>
        <v>0</v>
      </c>
      <c r="D18" s="305"/>
      <c r="E18" s="305">
        <f>C18*SpotRates!$F$36</f>
        <v>0</v>
      </c>
      <c r="F18" s="305"/>
      <c r="G18" s="305">
        <f t="shared" si="6"/>
        <v>0</v>
      </c>
      <c r="H18" s="306">
        <f t="shared" si="7"/>
        <v>0</v>
      </c>
      <c r="I18" s="384"/>
      <c r="J18" s="308">
        <v>34834</v>
      </c>
      <c r="K18" s="307"/>
      <c r="L18" s="299">
        <f t="shared" si="2"/>
        <v>0.01</v>
      </c>
      <c r="M18" s="309"/>
      <c r="N18" s="300">
        <v>0</v>
      </c>
      <c r="O18" s="309"/>
      <c r="P18" s="300">
        <f t="shared" si="0"/>
        <v>0.01</v>
      </c>
      <c r="Q18" s="391"/>
      <c r="R18" s="309">
        <f t="shared" si="8"/>
        <v>0</v>
      </c>
      <c r="S18" s="306">
        <f t="shared" si="9"/>
        <v>0</v>
      </c>
      <c r="T18" s="386"/>
      <c r="U18" s="305">
        <f t="shared" si="10"/>
        <v>0</v>
      </c>
      <c r="V18" s="305">
        <f t="shared" si="11"/>
        <v>0</v>
      </c>
      <c r="W18" s="534">
        <f t="shared" si="12"/>
        <v>0</v>
      </c>
      <c r="X18" s="305">
        <f t="shared" si="13"/>
        <v>0</v>
      </c>
      <c r="Y18" s="305">
        <f t="shared" si="14"/>
        <v>0</v>
      </c>
      <c r="Z18" s="305">
        <f t="shared" si="15"/>
        <v>0</v>
      </c>
      <c r="AA18" s="305">
        <f t="shared" si="16"/>
        <v>0</v>
      </c>
      <c r="AB18" s="305">
        <f t="shared" si="17"/>
        <v>0</v>
      </c>
      <c r="AC18" s="305">
        <f t="shared" si="26"/>
        <v>0</v>
      </c>
      <c r="AD18" s="305">
        <f t="shared" si="19"/>
        <v>0</v>
      </c>
      <c r="AE18" s="305">
        <f t="shared" si="20"/>
        <v>0</v>
      </c>
      <c r="AF18" s="305">
        <f t="shared" si="21"/>
        <v>0</v>
      </c>
      <c r="AG18" s="306">
        <f t="shared" si="22"/>
        <v>0</v>
      </c>
      <c r="AH18" s="300">
        <f t="shared" si="4"/>
        <v>0.01</v>
      </c>
      <c r="AI18" s="301"/>
      <c r="AJ18" s="310">
        <f t="shared" si="23"/>
        <v>0</v>
      </c>
      <c r="AL18" s="305">
        <f t="shared" si="24"/>
        <v>0</v>
      </c>
      <c r="AO18" s="459">
        <f t="shared" si="1"/>
        <v>0.01</v>
      </c>
    </row>
    <row r="19" spans="1:41" x14ac:dyDescent="0.2">
      <c r="A19" s="298">
        <f t="shared" si="5"/>
        <v>36627</v>
      </c>
      <c r="C19" s="394">
        <f t="shared" si="25"/>
        <v>0</v>
      </c>
      <c r="D19" s="305"/>
      <c r="E19" s="305">
        <f>C19*SpotRates!$F$36</f>
        <v>0</v>
      </c>
      <c r="F19" s="305"/>
      <c r="G19" s="305">
        <f t="shared" si="6"/>
        <v>0</v>
      </c>
      <c r="H19" s="306">
        <f t="shared" si="7"/>
        <v>0</v>
      </c>
      <c r="I19" s="384"/>
      <c r="J19" s="308">
        <v>34835</v>
      </c>
      <c r="K19" s="307"/>
      <c r="L19" s="299">
        <v>0.01</v>
      </c>
      <c r="M19" s="309"/>
      <c r="N19" s="300">
        <v>0</v>
      </c>
      <c r="O19" s="309"/>
      <c r="P19" s="300">
        <f t="shared" si="0"/>
        <v>0.01</v>
      </c>
      <c r="Q19" s="391"/>
      <c r="R19" s="309">
        <f t="shared" si="8"/>
        <v>0</v>
      </c>
      <c r="S19" s="306">
        <f t="shared" si="9"/>
        <v>0</v>
      </c>
      <c r="T19" s="386"/>
      <c r="U19" s="305">
        <f t="shared" si="10"/>
        <v>0</v>
      </c>
      <c r="V19" s="305">
        <f t="shared" si="11"/>
        <v>0</v>
      </c>
      <c r="W19" s="534">
        <f t="shared" si="12"/>
        <v>0</v>
      </c>
      <c r="X19" s="305">
        <f t="shared" si="13"/>
        <v>0</v>
      </c>
      <c r="Y19" s="305">
        <f t="shared" si="14"/>
        <v>0</v>
      </c>
      <c r="Z19" s="305">
        <f t="shared" si="15"/>
        <v>0</v>
      </c>
      <c r="AA19" s="305">
        <f t="shared" si="16"/>
        <v>0</v>
      </c>
      <c r="AB19" s="305">
        <f t="shared" si="17"/>
        <v>0</v>
      </c>
      <c r="AC19" s="305">
        <f t="shared" si="26"/>
        <v>0</v>
      </c>
      <c r="AD19" s="305">
        <f t="shared" si="19"/>
        <v>0</v>
      </c>
      <c r="AE19" s="305">
        <f t="shared" si="20"/>
        <v>0</v>
      </c>
      <c r="AF19" s="305">
        <f t="shared" si="21"/>
        <v>0</v>
      </c>
      <c r="AG19" s="306">
        <f t="shared" si="22"/>
        <v>0</v>
      </c>
      <c r="AH19" s="300">
        <f t="shared" si="4"/>
        <v>0.01</v>
      </c>
      <c r="AI19" s="301"/>
      <c r="AJ19" s="310">
        <f t="shared" si="23"/>
        <v>0</v>
      </c>
      <c r="AL19" s="305">
        <f t="shared" si="24"/>
        <v>0</v>
      </c>
      <c r="AO19" s="459">
        <f t="shared" si="1"/>
        <v>0.01</v>
      </c>
    </row>
    <row r="20" spans="1:41" x14ac:dyDescent="0.2">
      <c r="A20" s="298">
        <f t="shared" si="5"/>
        <v>36628</v>
      </c>
      <c r="C20" s="394">
        <f t="shared" si="25"/>
        <v>0</v>
      </c>
      <c r="D20" s="305"/>
      <c r="E20" s="305">
        <f>C20*SpotRates!$F$36</f>
        <v>0</v>
      </c>
      <c r="F20" s="305"/>
      <c r="G20" s="305">
        <f t="shared" si="6"/>
        <v>0</v>
      </c>
      <c r="H20" s="306">
        <f t="shared" si="7"/>
        <v>0</v>
      </c>
      <c r="I20" s="384"/>
      <c r="J20" s="308">
        <v>34836</v>
      </c>
      <c r="K20" s="307"/>
      <c r="L20" s="299">
        <f t="shared" ref="L20:L41" si="27">L19</f>
        <v>0.01</v>
      </c>
      <c r="M20" s="309"/>
      <c r="N20" s="300">
        <v>0</v>
      </c>
      <c r="O20" s="309"/>
      <c r="P20" s="300">
        <f t="shared" si="0"/>
        <v>0.01</v>
      </c>
      <c r="Q20" s="391"/>
      <c r="R20" s="309">
        <f t="shared" si="8"/>
        <v>0</v>
      </c>
      <c r="S20" s="306">
        <f t="shared" si="9"/>
        <v>0</v>
      </c>
      <c r="T20" s="386"/>
      <c r="U20" s="305">
        <f t="shared" si="10"/>
        <v>0</v>
      </c>
      <c r="V20" s="305">
        <f t="shared" si="11"/>
        <v>0</v>
      </c>
      <c r="W20" s="534">
        <f t="shared" si="12"/>
        <v>0</v>
      </c>
      <c r="X20" s="305">
        <f t="shared" si="13"/>
        <v>0</v>
      </c>
      <c r="Y20" s="305">
        <f t="shared" si="14"/>
        <v>0</v>
      </c>
      <c r="Z20" s="305">
        <f t="shared" si="15"/>
        <v>0</v>
      </c>
      <c r="AA20" s="305">
        <f t="shared" si="16"/>
        <v>0</v>
      </c>
      <c r="AB20" s="305">
        <f t="shared" si="17"/>
        <v>0</v>
      </c>
      <c r="AC20" s="305">
        <f t="shared" si="26"/>
        <v>0</v>
      </c>
      <c r="AD20" s="305">
        <f t="shared" si="19"/>
        <v>0</v>
      </c>
      <c r="AE20" s="305">
        <f t="shared" si="20"/>
        <v>0</v>
      </c>
      <c r="AF20" s="305">
        <f t="shared" si="21"/>
        <v>0</v>
      </c>
      <c r="AG20" s="306">
        <f t="shared" si="22"/>
        <v>0</v>
      </c>
      <c r="AH20" s="300">
        <f t="shared" si="4"/>
        <v>0.01</v>
      </c>
      <c r="AI20" s="301"/>
      <c r="AJ20" s="310">
        <f t="shared" si="23"/>
        <v>0</v>
      </c>
      <c r="AL20" s="305">
        <v>0</v>
      </c>
      <c r="AM20" s="292">
        <f>AL20-AL19</f>
        <v>0</v>
      </c>
      <c r="AO20" s="459">
        <f t="shared" si="1"/>
        <v>0.01</v>
      </c>
    </row>
    <row r="21" spans="1:41" x14ac:dyDescent="0.2">
      <c r="A21" s="298">
        <f t="shared" si="5"/>
        <v>36629</v>
      </c>
      <c r="C21" s="394">
        <f t="shared" si="25"/>
        <v>0</v>
      </c>
      <c r="D21" s="305"/>
      <c r="E21" s="305">
        <f>C21*SpotRates!$F$36</f>
        <v>0</v>
      </c>
      <c r="F21" s="305"/>
      <c r="G21" s="305">
        <f t="shared" si="6"/>
        <v>0</v>
      </c>
      <c r="H21" s="306">
        <f t="shared" si="7"/>
        <v>0</v>
      </c>
      <c r="I21" s="384"/>
      <c r="J21" s="308">
        <v>34837</v>
      </c>
      <c r="K21" s="307"/>
      <c r="L21" s="299">
        <f t="shared" si="27"/>
        <v>0.01</v>
      </c>
      <c r="M21" s="309"/>
      <c r="N21" s="300">
        <v>0</v>
      </c>
      <c r="O21" s="309"/>
      <c r="P21" s="300">
        <f t="shared" si="0"/>
        <v>0.01</v>
      </c>
      <c r="Q21" s="391"/>
      <c r="R21" s="309">
        <f t="shared" si="8"/>
        <v>0</v>
      </c>
      <c r="S21" s="306">
        <f t="shared" si="9"/>
        <v>0</v>
      </c>
      <c r="T21" s="386"/>
      <c r="U21" s="305">
        <f t="shared" si="10"/>
        <v>0</v>
      </c>
      <c r="V21" s="305">
        <f t="shared" si="11"/>
        <v>0</v>
      </c>
      <c r="W21" s="534">
        <f t="shared" si="12"/>
        <v>0</v>
      </c>
      <c r="X21" s="305">
        <f t="shared" si="13"/>
        <v>0</v>
      </c>
      <c r="Y21" s="305">
        <f t="shared" si="14"/>
        <v>0</v>
      </c>
      <c r="Z21" s="305">
        <f t="shared" si="15"/>
        <v>0</v>
      </c>
      <c r="AA21" s="305">
        <f t="shared" si="16"/>
        <v>0</v>
      </c>
      <c r="AB21" s="305">
        <f t="shared" si="17"/>
        <v>0</v>
      </c>
      <c r="AC21" s="305">
        <f t="shared" si="26"/>
        <v>0</v>
      </c>
      <c r="AD21" s="305">
        <f t="shared" si="19"/>
        <v>0</v>
      </c>
      <c r="AE21" s="305">
        <f t="shared" si="20"/>
        <v>0</v>
      </c>
      <c r="AF21" s="305">
        <f t="shared" si="21"/>
        <v>0</v>
      </c>
      <c r="AG21" s="306">
        <f t="shared" si="22"/>
        <v>0</v>
      </c>
      <c r="AH21" s="300">
        <f t="shared" si="4"/>
        <v>0.01</v>
      </c>
      <c r="AI21" s="301"/>
      <c r="AJ21" s="310">
        <f t="shared" si="23"/>
        <v>0</v>
      </c>
      <c r="AL21" s="305">
        <f t="shared" si="24"/>
        <v>0</v>
      </c>
      <c r="AO21" s="459">
        <f t="shared" si="1"/>
        <v>0.01</v>
      </c>
    </row>
    <row r="22" spans="1:41" x14ac:dyDescent="0.2">
      <c r="A22" s="298">
        <f t="shared" si="5"/>
        <v>36630</v>
      </c>
      <c r="C22" s="394">
        <f t="shared" si="25"/>
        <v>0</v>
      </c>
      <c r="D22" s="305"/>
      <c r="E22" s="305">
        <f>C22*SpotRates!$F$36</f>
        <v>0</v>
      </c>
      <c r="F22" s="305"/>
      <c r="G22" s="305">
        <f t="shared" si="6"/>
        <v>0</v>
      </c>
      <c r="H22" s="306">
        <f t="shared" si="7"/>
        <v>0</v>
      </c>
      <c r="I22" s="384"/>
      <c r="J22" s="308">
        <v>34838</v>
      </c>
      <c r="K22" s="307"/>
      <c r="L22" s="299">
        <f t="shared" si="27"/>
        <v>0.01</v>
      </c>
      <c r="M22" s="309"/>
      <c r="N22" s="300">
        <v>0</v>
      </c>
      <c r="O22" s="309"/>
      <c r="P22" s="300">
        <f t="shared" si="0"/>
        <v>0.01</v>
      </c>
      <c r="Q22" s="391"/>
      <c r="R22" s="309">
        <f t="shared" si="8"/>
        <v>0</v>
      </c>
      <c r="S22" s="306">
        <f t="shared" si="9"/>
        <v>0</v>
      </c>
      <c r="T22" s="386"/>
      <c r="U22" s="305">
        <f t="shared" si="10"/>
        <v>0</v>
      </c>
      <c r="V22" s="305">
        <f t="shared" si="11"/>
        <v>0</v>
      </c>
      <c r="W22" s="534">
        <f t="shared" si="12"/>
        <v>0</v>
      </c>
      <c r="X22" s="305">
        <f t="shared" si="13"/>
        <v>0</v>
      </c>
      <c r="Y22" s="305">
        <f t="shared" si="14"/>
        <v>0</v>
      </c>
      <c r="Z22" s="305">
        <f t="shared" si="15"/>
        <v>0</v>
      </c>
      <c r="AA22" s="305">
        <f t="shared" si="16"/>
        <v>0</v>
      </c>
      <c r="AB22" s="305">
        <f t="shared" si="17"/>
        <v>0</v>
      </c>
      <c r="AC22" s="305">
        <f t="shared" si="26"/>
        <v>0</v>
      </c>
      <c r="AD22" s="305">
        <f t="shared" si="19"/>
        <v>0</v>
      </c>
      <c r="AE22" s="305">
        <f t="shared" si="20"/>
        <v>0</v>
      </c>
      <c r="AF22" s="305">
        <f t="shared" si="21"/>
        <v>0</v>
      </c>
      <c r="AG22" s="306">
        <f t="shared" si="22"/>
        <v>0</v>
      </c>
      <c r="AH22" s="300">
        <f t="shared" si="4"/>
        <v>0.01</v>
      </c>
      <c r="AI22" s="301"/>
      <c r="AJ22" s="310">
        <f t="shared" si="23"/>
        <v>0</v>
      </c>
      <c r="AL22" s="305">
        <f t="shared" si="24"/>
        <v>0</v>
      </c>
      <c r="AO22" s="459">
        <f t="shared" si="1"/>
        <v>0.01</v>
      </c>
    </row>
    <row r="23" spans="1:41" x14ac:dyDescent="0.2">
      <c r="A23" s="298">
        <f t="shared" si="5"/>
        <v>36631</v>
      </c>
      <c r="C23" s="394">
        <f t="shared" si="25"/>
        <v>0</v>
      </c>
      <c r="D23" s="305"/>
      <c r="E23" s="305">
        <f>C23*SpotRates!$F$36</f>
        <v>0</v>
      </c>
      <c r="F23" s="305"/>
      <c r="G23" s="305">
        <f t="shared" si="6"/>
        <v>0</v>
      </c>
      <c r="H23" s="306">
        <f t="shared" si="7"/>
        <v>0</v>
      </c>
      <c r="I23" s="384"/>
      <c r="J23" s="308">
        <v>34841</v>
      </c>
      <c r="K23" s="307"/>
      <c r="L23" s="299">
        <f t="shared" si="27"/>
        <v>0.01</v>
      </c>
      <c r="M23" s="309"/>
      <c r="N23" s="300">
        <v>0</v>
      </c>
      <c r="O23" s="309"/>
      <c r="P23" s="300">
        <f t="shared" si="0"/>
        <v>0.01</v>
      </c>
      <c r="Q23" s="391"/>
      <c r="R23" s="309">
        <f t="shared" si="8"/>
        <v>0</v>
      </c>
      <c r="S23" s="306">
        <f t="shared" si="9"/>
        <v>0</v>
      </c>
      <c r="T23" s="386"/>
      <c r="U23" s="305">
        <f t="shared" si="10"/>
        <v>0</v>
      </c>
      <c r="V23" s="305">
        <f t="shared" si="11"/>
        <v>0</v>
      </c>
      <c r="W23" s="534">
        <f t="shared" si="12"/>
        <v>0</v>
      </c>
      <c r="X23" s="305">
        <f t="shared" si="13"/>
        <v>0</v>
      </c>
      <c r="Y23" s="305">
        <f t="shared" si="14"/>
        <v>0</v>
      </c>
      <c r="Z23" s="305">
        <f t="shared" si="15"/>
        <v>0</v>
      </c>
      <c r="AA23" s="305">
        <f t="shared" si="16"/>
        <v>0</v>
      </c>
      <c r="AB23" s="305">
        <f t="shared" si="17"/>
        <v>0</v>
      </c>
      <c r="AC23" s="305">
        <f t="shared" si="26"/>
        <v>0</v>
      </c>
      <c r="AD23" s="305">
        <f t="shared" si="19"/>
        <v>0</v>
      </c>
      <c r="AE23" s="305">
        <f t="shared" si="20"/>
        <v>0</v>
      </c>
      <c r="AF23" s="305">
        <f t="shared" si="21"/>
        <v>0</v>
      </c>
      <c r="AG23" s="306">
        <f t="shared" si="22"/>
        <v>0</v>
      </c>
      <c r="AH23" s="300">
        <f t="shared" si="4"/>
        <v>0.01</v>
      </c>
      <c r="AI23" s="301"/>
      <c r="AJ23" s="310">
        <f t="shared" si="23"/>
        <v>0</v>
      </c>
      <c r="AL23" s="305">
        <f t="shared" si="24"/>
        <v>0</v>
      </c>
      <c r="AO23" s="459">
        <f t="shared" si="1"/>
        <v>0.01</v>
      </c>
    </row>
    <row r="24" spans="1:41" x14ac:dyDescent="0.2">
      <c r="A24" s="298">
        <f t="shared" si="5"/>
        <v>36632</v>
      </c>
      <c r="C24" s="394">
        <f t="shared" si="25"/>
        <v>0</v>
      </c>
      <c r="D24" s="305"/>
      <c r="E24" s="305">
        <f>C24*SpotRates!$F$36</f>
        <v>0</v>
      </c>
      <c r="F24" s="305"/>
      <c r="G24" s="305">
        <f t="shared" si="6"/>
        <v>0</v>
      </c>
      <c r="H24" s="306">
        <f t="shared" si="7"/>
        <v>0</v>
      </c>
      <c r="I24" s="384"/>
      <c r="J24" s="308">
        <v>34842</v>
      </c>
      <c r="K24" s="307"/>
      <c r="L24" s="299">
        <f t="shared" si="27"/>
        <v>0.01</v>
      </c>
      <c r="M24" s="309"/>
      <c r="N24" s="300">
        <v>0</v>
      </c>
      <c r="O24" s="309"/>
      <c r="P24" s="300">
        <f t="shared" ref="P24:P40" si="28">L24+N24</f>
        <v>0.01</v>
      </c>
      <c r="Q24" s="391"/>
      <c r="R24" s="309">
        <f t="shared" si="8"/>
        <v>0</v>
      </c>
      <c r="S24" s="306">
        <f t="shared" si="9"/>
        <v>0</v>
      </c>
      <c r="T24" s="386"/>
      <c r="U24" s="305">
        <f t="shared" si="10"/>
        <v>0</v>
      </c>
      <c r="V24" s="305">
        <f t="shared" si="11"/>
        <v>0</v>
      </c>
      <c r="W24" s="534">
        <f t="shared" si="12"/>
        <v>0</v>
      </c>
      <c r="X24" s="305">
        <f t="shared" si="13"/>
        <v>0</v>
      </c>
      <c r="Y24" s="305">
        <f t="shared" si="14"/>
        <v>0</v>
      </c>
      <c r="Z24" s="305">
        <f t="shared" si="15"/>
        <v>0</v>
      </c>
      <c r="AA24" s="305">
        <f t="shared" si="16"/>
        <v>0</v>
      </c>
      <c r="AB24" s="305">
        <f t="shared" si="17"/>
        <v>0</v>
      </c>
      <c r="AC24" s="305">
        <f t="shared" si="26"/>
        <v>0</v>
      </c>
      <c r="AD24" s="305">
        <f t="shared" si="19"/>
        <v>0</v>
      </c>
      <c r="AE24" s="305">
        <f t="shared" si="20"/>
        <v>0</v>
      </c>
      <c r="AF24" s="305">
        <f t="shared" si="21"/>
        <v>0</v>
      </c>
      <c r="AG24" s="306">
        <f t="shared" si="22"/>
        <v>0</v>
      </c>
      <c r="AH24" s="300">
        <f t="shared" si="4"/>
        <v>0.01</v>
      </c>
      <c r="AI24" s="301"/>
      <c r="AJ24" s="310">
        <f t="shared" si="23"/>
        <v>0</v>
      </c>
      <c r="AL24" s="305">
        <f t="shared" si="24"/>
        <v>0</v>
      </c>
      <c r="AO24" s="459">
        <f t="shared" ref="AO24:AO39" si="29">+AL24+AH24</f>
        <v>0.01</v>
      </c>
    </row>
    <row r="25" spans="1:41" x14ac:dyDescent="0.2">
      <c r="A25" s="298">
        <f t="shared" si="5"/>
        <v>36633</v>
      </c>
      <c r="C25" s="394">
        <f t="shared" si="25"/>
        <v>0</v>
      </c>
      <c r="D25" s="305"/>
      <c r="E25" s="305">
        <f>C25*SpotRates!$F$36</f>
        <v>0</v>
      </c>
      <c r="F25" s="305"/>
      <c r="G25" s="305">
        <f t="shared" si="6"/>
        <v>0</v>
      </c>
      <c r="H25" s="306">
        <f t="shared" si="7"/>
        <v>0</v>
      </c>
      <c r="I25" s="384"/>
      <c r="J25" s="308">
        <v>34843</v>
      </c>
      <c r="K25" s="307"/>
      <c r="L25" s="299">
        <f t="shared" si="27"/>
        <v>0.01</v>
      </c>
      <c r="M25" s="309"/>
      <c r="N25" s="300">
        <v>0</v>
      </c>
      <c r="O25" s="309"/>
      <c r="P25" s="300">
        <f t="shared" si="28"/>
        <v>0.01</v>
      </c>
      <c r="Q25" s="391"/>
      <c r="R25" s="309">
        <f t="shared" si="8"/>
        <v>0</v>
      </c>
      <c r="S25" s="306">
        <f t="shared" si="9"/>
        <v>0</v>
      </c>
      <c r="T25" s="386"/>
      <c r="U25" s="305">
        <f t="shared" si="10"/>
        <v>0</v>
      </c>
      <c r="V25" s="305">
        <f>V24</f>
        <v>0</v>
      </c>
      <c r="W25" s="534">
        <f>W24</f>
        <v>0</v>
      </c>
      <c r="X25" s="305">
        <v>0</v>
      </c>
      <c r="Y25" s="305">
        <f t="shared" si="14"/>
        <v>0</v>
      </c>
      <c r="Z25" s="305">
        <v>0</v>
      </c>
      <c r="AA25" s="305">
        <f t="shared" si="16"/>
        <v>0</v>
      </c>
      <c r="AB25" s="305">
        <f t="shared" si="17"/>
        <v>0</v>
      </c>
      <c r="AC25" s="305">
        <f t="shared" si="26"/>
        <v>0</v>
      </c>
      <c r="AD25" s="305">
        <f t="shared" si="19"/>
        <v>0</v>
      </c>
      <c r="AE25" s="305">
        <f t="shared" si="20"/>
        <v>0</v>
      </c>
      <c r="AF25" s="305">
        <f t="shared" si="21"/>
        <v>0</v>
      </c>
      <c r="AG25" s="306">
        <f t="shared" si="22"/>
        <v>0</v>
      </c>
      <c r="AH25" s="300">
        <f t="shared" ref="AH25:AH40" si="30">E25+L25+AE25</f>
        <v>0.01</v>
      </c>
      <c r="AI25" s="301"/>
      <c r="AJ25" s="310">
        <f t="shared" si="23"/>
        <v>0</v>
      </c>
      <c r="AL25" s="305">
        <f t="shared" si="24"/>
        <v>0</v>
      </c>
      <c r="AO25" s="459">
        <f t="shared" si="29"/>
        <v>0.01</v>
      </c>
    </row>
    <row r="26" spans="1:41" x14ac:dyDescent="0.2">
      <c r="A26" s="298">
        <f t="shared" ref="A26:A41" si="31">A25+1</f>
        <v>36634</v>
      </c>
      <c r="C26" s="394">
        <f t="shared" si="25"/>
        <v>0</v>
      </c>
      <c r="D26" s="305"/>
      <c r="E26" s="305">
        <f>C26*SpotRates!$F$36</f>
        <v>0</v>
      </c>
      <c r="F26" s="305"/>
      <c r="G26" s="305">
        <f t="shared" ref="G26:G41" si="32">E26-E25</f>
        <v>0</v>
      </c>
      <c r="H26" s="306">
        <f t="shared" ref="H26:H41" si="33">IF(G26=-C25,G26*0,G26)</f>
        <v>0</v>
      </c>
      <c r="I26" s="384"/>
      <c r="J26" s="308">
        <v>34844</v>
      </c>
      <c r="K26" s="307"/>
      <c r="L26" s="299">
        <f t="shared" si="27"/>
        <v>0.01</v>
      </c>
      <c r="M26" s="309"/>
      <c r="N26" s="300">
        <v>0</v>
      </c>
      <c r="O26" s="309"/>
      <c r="P26" s="300">
        <f t="shared" si="28"/>
        <v>0.01</v>
      </c>
      <c r="Q26" s="391"/>
      <c r="R26" s="309">
        <f t="shared" ref="R26:R41" si="34">P26-P25</f>
        <v>0</v>
      </c>
      <c r="S26" s="306">
        <f t="shared" ref="S26:S41" si="35">IF(R26=-P25,R26*0,R26)</f>
        <v>0</v>
      </c>
      <c r="T26" s="386"/>
      <c r="U26" s="305">
        <f t="shared" si="10"/>
        <v>0</v>
      </c>
      <c r="V26" s="305">
        <f t="shared" si="10"/>
        <v>0</v>
      </c>
      <c r="W26" s="534">
        <f t="shared" si="10"/>
        <v>0</v>
      </c>
      <c r="X26" s="305">
        <f t="shared" si="10"/>
        <v>0</v>
      </c>
      <c r="Y26" s="305">
        <f t="shared" si="14"/>
        <v>0</v>
      </c>
      <c r="Z26" s="305">
        <f t="shared" si="14"/>
        <v>0</v>
      </c>
      <c r="AA26" s="305">
        <f t="shared" si="16"/>
        <v>0</v>
      </c>
      <c r="AB26" s="305">
        <f t="shared" si="17"/>
        <v>0</v>
      </c>
      <c r="AC26" s="305">
        <f t="shared" si="26"/>
        <v>0</v>
      </c>
      <c r="AD26" s="305">
        <f t="shared" si="19"/>
        <v>0</v>
      </c>
      <c r="AE26" s="305">
        <f t="shared" si="20"/>
        <v>0</v>
      </c>
      <c r="AF26" s="305">
        <f t="shared" ref="AF26:AF41" si="36">AE26-AE25</f>
        <v>0</v>
      </c>
      <c r="AG26" s="306">
        <f t="shared" ref="AG26:AG41" si="37">IF(AF26=-AE25,AF26*0,AF26)</f>
        <v>0</v>
      </c>
      <c r="AH26" s="300">
        <f t="shared" si="30"/>
        <v>0.01</v>
      </c>
      <c r="AI26" s="301"/>
      <c r="AJ26" s="310">
        <f t="shared" ref="AJ26:AJ41" si="38">H26+S26+AG26</f>
        <v>0</v>
      </c>
      <c r="AL26" s="305">
        <f t="shared" si="24"/>
        <v>0</v>
      </c>
      <c r="AO26" s="459">
        <f t="shared" si="29"/>
        <v>0.01</v>
      </c>
    </row>
    <row r="27" spans="1:41" x14ac:dyDescent="0.2">
      <c r="A27" s="298">
        <f t="shared" si="31"/>
        <v>36635</v>
      </c>
      <c r="C27" s="394">
        <f t="shared" si="25"/>
        <v>0</v>
      </c>
      <c r="D27" s="305"/>
      <c r="E27" s="305">
        <f>C27*SpotRates!$F$36</f>
        <v>0</v>
      </c>
      <c r="F27" s="305"/>
      <c r="G27" s="305">
        <f t="shared" si="32"/>
        <v>0</v>
      </c>
      <c r="H27" s="306">
        <f t="shared" si="33"/>
        <v>0</v>
      </c>
      <c r="I27" s="384"/>
      <c r="J27" s="308">
        <v>34845</v>
      </c>
      <c r="K27" s="307"/>
      <c r="L27" s="299">
        <f t="shared" si="27"/>
        <v>0.01</v>
      </c>
      <c r="M27" s="309"/>
      <c r="N27" s="300">
        <v>0</v>
      </c>
      <c r="O27" s="309"/>
      <c r="P27" s="300">
        <f t="shared" si="28"/>
        <v>0.01</v>
      </c>
      <c r="Q27" s="391"/>
      <c r="R27" s="309">
        <f t="shared" si="34"/>
        <v>0</v>
      </c>
      <c r="S27" s="306">
        <f t="shared" si="35"/>
        <v>0</v>
      </c>
      <c r="T27" s="386"/>
      <c r="U27" s="305">
        <f t="shared" si="10"/>
        <v>0</v>
      </c>
      <c r="V27" s="305">
        <f t="shared" si="10"/>
        <v>0</v>
      </c>
      <c r="W27" s="534">
        <f t="shared" si="10"/>
        <v>0</v>
      </c>
      <c r="X27" s="305">
        <f t="shared" si="10"/>
        <v>0</v>
      </c>
      <c r="Y27" s="305">
        <f t="shared" si="14"/>
        <v>0</v>
      </c>
      <c r="Z27" s="305">
        <f t="shared" si="14"/>
        <v>0</v>
      </c>
      <c r="AA27" s="305">
        <f t="shared" si="16"/>
        <v>0</v>
      </c>
      <c r="AB27" s="305">
        <f t="shared" si="17"/>
        <v>0</v>
      </c>
      <c r="AC27" s="305">
        <f t="shared" si="26"/>
        <v>0</v>
      </c>
      <c r="AD27" s="305">
        <f t="shared" si="19"/>
        <v>0</v>
      </c>
      <c r="AE27" s="305">
        <f t="shared" si="20"/>
        <v>0</v>
      </c>
      <c r="AF27" s="305">
        <f t="shared" si="36"/>
        <v>0</v>
      </c>
      <c r="AG27" s="306">
        <f t="shared" si="37"/>
        <v>0</v>
      </c>
      <c r="AH27" s="300">
        <f t="shared" si="30"/>
        <v>0.01</v>
      </c>
      <c r="AI27" s="301"/>
      <c r="AJ27" s="310">
        <f t="shared" si="38"/>
        <v>0</v>
      </c>
      <c r="AL27" s="305">
        <f t="shared" si="24"/>
        <v>0</v>
      </c>
      <c r="AO27" s="459">
        <f t="shared" si="29"/>
        <v>0.01</v>
      </c>
    </row>
    <row r="28" spans="1:41" x14ac:dyDescent="0.2">
      <c r="A28" s="298">
        <f t="shared" si="31"/>
        <v>36636</v>
      </c>
      <c r="C28" s="394">
        <f t="shared" si="25"/>
        <v>0</v>
      </c>
      <c r="D28" s="305"/>
      <c r="E28" s="305">
        <f>C28*SpotRates!$F$36</f>
        <v>0</v>
      </c>
      <c r="F28" s="305"/>
      <c r="G28" s="305">
        <f t="shared" si="32"/>
        <v>0</v>
      </c>
      <c r="H28" s="306">
        <f t="shared" si="33"/>
        <v>0</v>
      </c>
      <c r="I28" s="384"/>
      <c r="J28" s="308">
        <v>34848</v>
      </c>
      <c r="K28" s="307"/>
      <c r="L28" s="299">
        <f t="shared" si="27"/>
        <v>0.01</v>
      </c>
      <c r="M28" s="309"/>
      <c r="N28" s="300">
        <v>0</v>
      </c>
      <c r="O28" s="309"/>
      <c r="P28" s="300">
        <f t="shared" si="28"/>
        <v>0.01</v>
      </c>
      <c r="Q28" s="391"/>
      <c r="R28" s="309">
        <f t="shared" si="34"/>
        <v>0</v>
      </c>
      <c r="S28" s="306">
        <f t="shared" si="35"/>
        <v>0</v>
      </c>
      <c r="T28" s="386"/>
      <c r="U28" s="305">
        <f t="shared" si="10"/>
        <v>0</v>
      </c>
      <c r="V28" s="305">
        <f t="shared" si="10"/>
        <v>0</v>
      </c>
      <c r="W28" s="534">
        <f t="shared" si="10"/>
        <v>0</v>
      </c>
      <c r="X28" s="305">
        <f t="shared" si="10"/>
        <v>0</v>
      </c>
      <c r="Y28" s="305">
        <f t="shared" si="14"/>
        <v>0</v>
      </c>
      <c r="Z28" s="305">
        <f t="shared" si="14"/>
        <v>0</v>
      </c>
      <c r="AA28" s="305">
        <f t="shared" si="16"/>
        <v>0</v>
      </c>
      <c r="AB28" s="305">
        <f t="shared" si="17"/>
        <v>0</v>
      </c>
      <c r="AC28" s="305">
        <f t="shared" si="26"/>
        <v>0</v>
      </c>
      <c r="AD28" s="305">
        <f t="shared" si="19"/>
        <v>0</v>
      </c>
      <c r="AE28" s="305">
        <f t="shared" si="20"/>
        <v>0</v>
      </c>
      <c r="AF28" s="305">
        <f t="shared" si="36"/>
        <v>0</v>
      </c>
      <c r="AG28" s="306">
        <f t="shared" si="37"/>
        <v>0</v>
      </c>
      <c r="AH28" s="300">
        <f t="shared" si="30"/>
        <v>0.01</v>
      </c>
      <c r="AI28" s="301"/>
      <c r="AJ28" s="310">
        <f t="shared" si="38"/>
        <v>0</v>
      </c>
      <c r="AL28" s="305">
        <f t="shared" si="24"/>
        <v>0</v>
      </c>
      <c r="AO28" s="459">
        <f t="shared" si="29"/>
        <v>0.01</v>
      </c>
    </row>
    <row r="29" spans="1:41" x14ac:dyDescent="0.2">
      <c r="A29" s="298">
        <f t="shared" si="31"/>
        <v>36637</v>
      </c>
      <c r="C29" s="394">
        <f t="shared" si="25"/>
        <v>0</v>
      </c>
      <c r="D29" s="305"/>
      <c r="E29" s="305">
        <f>C29*SpotRates!$F$36</f>
        <v>0</v>
      </c>
      <c r="F29" s="305"/>
      <c r="G29" s="305">
        <f t="shared" si="32"/>
        <v>0</v>
      </c>
      <c r="H29" s="306">
        <f t="shared" si="33"/>
        <v>0</v>
      </c>
      <c r="I29" s="384"/>
      <c r="J29" s="308">
        <v>34849</v>
      </c>
      <c r="K29" s="307"/>
      <c r="L29" s="299">
        <f t="shared" si="27"/>
        <v>0.01</v>
      </c>
      <c r="M29" s="309"/>
      <c r="N29" s="300">
        <v>0</v>
      </c>
      <c r="O29" s="309"/>
      <c r="P29" s="300">
        <f t="shared" si="28"/>
        <v>0.01</v>
      </c>
      <c r="Q29" s="391"/>
      <c r="R29" s="309">
        <f t="shared" si="34"/>
        <v>0</v>
      </c>
      <c r="S29" s="306">
        <f t="shared" si="35"/>
        <v>0</v>
      </c>
      <c r="T29" s="386"/>
      <c r="U29" s="305">
        <f t="shared" si="10"/>
        <v>0</v>
      </c>
      <c r="V29" s="305">
        <f t="shared" si="10"/>
        <v>0</v>
      </c>
      <c r="W29" s="534">
        <f t="shared" si="10"/>
        <v>0</v>
      </c>
      <c r="X29" s="305">
        <f t="shared" si="10"/>
        <v>0</v>
      </c>
      <c r="Y29" s="305">
        <f t="shared" si="14"/>
        <v>0</v>
      </c>
      <c r="Z29" s="305">
        <f t="shared" si="14"/>
        <v>0</v>
      </c>
      <c r="AA29" s="305">
        <f t="shared" si="16"/>
        <v>0</v>
      </c>
      <c r="AB29" s="305">
        <f t="shared" si="17"/>
        <v>0</v>
      </c>
      <c r="AC29" s="305">
        <f t="shared" si="26"/>
        <v>0</v>
      </c>
      <c r="AD29" s="305">
        <f t="shared" si="19"/>
        <v>0</v>
      </c>
      <c r="AE29" s="305">
        <f t="shared" si="20"/>
        <v>0</v>
      </c>
      <c r="AF29" s="305">
        <f t="shared" si="36"/>
        <v>0</v>
      </c>
      <c r="AG29" s="306">
        <f t="shared" si="37"/>
        <v>0</v>
      </c>
      <c r="AH29" s="300">
        <f t="shared" si="30"/>
        <v>0.01</v>
      </c>
      <c r="AI29" s="301"/>
      <c r="AJ29" s="310">
        <f t="shared" si="38"/>
        <v>0</v>
      </c>
      <c r="AL29" s="305">
        <f t="shared" si="24"/>
        <v>0</v>
      </c>
      <c r="AO29" s="459">
        <f t="shared" si="29"/>
        <v>0.01</v>
      </c>
    </row>
    <row r="30" spans="1:41" x14ac:dyDescent="0.2">
      <c r="A30" s="298">
        <f t="shared" si="31"/>
        <v>36638</v>
      </c>
      <c r="C30" s="394">
        <f t="shared" si="25"/>
        <v>0</v>
      </c>
      <c r="D30" s="305"/>
      <c r="E30" s="305">
        <f>C30*SpotRates!$F$36</f>
        <v>0</v>
      </c>
      <c r="F30" s="305"/>
      <c r="G30" s="305">
        <f t="shared" si="32"/>
        <v>0</v>
      </c>
      <c r="H30" s="306">
        <f t="shared" si="33"/>
        <v>0</v>
      </c>
      <c r="I30" s="384"/>
      <c r="J30" s="308">
        <v>34850</v>
      </c>
      <c r="K30" s="307"/>
      <c r="L30" s="299">
        <f t="shared" si="27"/>
        <v>0.01</v>
      </c>
      <c r="M30" s="309"/>
      <c r="N30" s="300">
        <v>0</v>
      </c>
      <c r="O30" s="309"/>
      <c r="P30" s="300">
        <f t="shared" si="28"/>
        <v>0.01</v>
      </c>
      <c r="Q30" s="391"/>
      <c r="R30" s="309">
        <f t="shared" si="34"/>
        <v>0</v>
      </c>
      <c r="S30" s="306">
        <f t="shared" si="35"/>
        <v>0</v>
      </c>
      <c r="T30" s="386"/>
      <c r="U30" s="305">
        <f t="shared" si="10"/>
        <v>0</v>
      </c>
      <c r="V30" s="305">
        <f t="shared" si="10"/>
        <v>0</v>
      </c>
      <c r="W30" s="534">
        <f t="shared" si="10"/>
        <v>0</v>
      </c>
      <c r="X30" s="305">
        <f t="shared" si="10"/>
        <v>0</v>
      </c>
      <c r="Y30" s="305">
        <f t="shared" si="14"/>
        <v>0</v>
      </c>
      <c r="Z30" s="305">
        <f t="shared" si="14"/>
        <v>0</v>
      </c>
      <c r="AA30" s="305">
        <f t="shared" si="16"/>
        <v>0</v>
      </c>
      <c r="AB30" s="305">
        <f t="shared" si="17"/>
        <v>0</v>
      </c>
      <c r="AC30" s="305">
        <f t="shared" si="26"/>
        <v>0</v>
      </c>
      <c r="AD30" s="305">
        <f t="shared" si="19"/>
        <v>0</v>
      </c>
      <c r="AE30" s="305">
        <f t="shared" si="20"/>
        <v>0</v>
      </c>
      <c r="AF30" s="305">
        <f t="shared" si="36"/>
        <v>0</v>
      </c>
      <c r="AG30" s="306">
        <f t="shared" si="37"/>
        <v>0</v>
      </c>
      <c r="AH30" s="300">
        <f t="shared" si="30"/>
        <v>0.01</v>
      </c>
      <c r="AI30" s="301"/>
      <c r="AJ30" s="310">
        <f t="shared" si="38"/>
        <v>0</v>
      </c>
      <c r="AL30" s="305">
        <f t="shared" si="24"/>
        <v>0</v>
      </c>
      <c r="AO30" s="459">
        <f t="shared" si="29"/>
        <v>0.01</v>
      </c>
    </row>
    <row r="31" spans="1:41" x14ac:dyDescent="0.2">
      <c r="A31" s="298">
        <f t="shared" si="31"/>
        <v>36639</v>
      </c>
      <c r="C31" s="394">
        <f t="shared" si="25"/>
        <v>0</v>
      </c>
      <c r="D31" s="305"/>
      <c r="E31" s="305">
        <f>C31*SpotRates!$F$36</f>
        <v>0</v>
      </c>
      <c r="F31" s="305"/>
      <c r="G31" s="305">
        <f t="shared" si="32"/>
        <v>0</v>
      </c>
      <c r="H31" s="306">
        <f t="shared" si="33"/>
        <v>0</v>
      </c>
      <c r="I31" s="384"/>
      <c r="J31" s="308">
        <v>34850</v>
      </c>
      <c r="K31" s="307"/>
      <c r="L31" s="299">
        <f t="shared" si="27"/>
        <v>0.01</v>
      </c>
      <c r="M31" s="309"/>
      <c r="N31" s="300">
        <v>0</v>
      </c>
      <c r="O31" s="309"/>
      <c r="P31" s="300">
        <f t="shared" si="28"/>
        <v>0.01</v>
      </c>
      <c r="Q31" s="391"/>
      <c r="R31" s="309">
        <f t="shared" si="34"/>
        <v>0</v>
      </c>
      <c r="S31" s="306">
        <f t="shared" si="35"/>
        <v>0</v>
      </c>
      <c r="T31" s="386"/>
      <c r="U31" s="305">
        <f t="shared" si="10"/>
        <v>0</v>
      </c>
      <c r="V31" s="305">
        <f t="shared" si="10"/>
        <v>0</v>
      </c>
      <c r="W31" s="534">
        <f t="shared" si="10"/>
        <v>0</v>
      </c>
      <c r="X31" s="305">
        <f t="shared" si="10"/>
        <v>0</v>
      </c>
      <c r="Y31" s="305">
        <f t="shared" si="14"/>
        <v>0</v>
      </c>
      <c r="Z31" s="305">
        <f t="shared" si="14"/>
        <v>0</v>
      </c>
      <c r="AA31" s="305">
        <f t="shared" si="16"/>
        <v>0</v>
      </c>
      <c r="AB31" s="305">
        <f t="shared" si="17"/>
        <v>0</v>
      </c>
      <c r="AC31" s="305">
        <f t="shared" si="26"/>
        <v>0</v>
      </c>
      <c r="AD31" s="305">
        <f t="shared" si="19"/>
        <v>0</v>
      </c>
      <c r="AE31" s="305">
        <f t="shared" si="20"/>
        <v>0</v>
      </c>
      <c r="AF31" s="305">
        <f t="shared" si="36"/>
        <v>0</v>
      </c>
      <c r="AG31" s="306">
        <f t="shared" si="37"/>
        <v>0</v>
      </c>
      <c r="AH31" s="300">
        <f t="shared" si="30"/>
        <v>0.01</v>
      </c>
      <c r="AI31" s="301"/>
      <c r="AJ31" s="310">
        <f t="shared" si="38"/>
        <v>0</v>
      </c>
      <c r="AL31" s="305">
        <f t="shared" si="24"/>
        <v>0</v>
      </c>
      <c r="AO31" s="459">
        <f t="shared" si="29"/>
        <v>0.01</v>
      </c>
    </row>
    <row r="32" spans="1:41" x14ac:dyDescent="0.2">
      <c r="A32" s="298">
        <f t="shared" si="31"/>
        <v>36640</v>
      </c>
      <c r="C32" s="394">
        <f t="shared" si="25"/>
        <v>0</v>
      </c>
      <c r="D32" s="305"/>
      <c r="E32" s="305">
        <f>C32*SpotRates!$F$36</f>
        <v>0</v>
      </c>
      <c r="F32" s="305"/>
      <c r="G32" s="305">
        <f t="shared" si="32"/>
        <v>0</v>
      </c>
      <c r="H32" s="306">
        <f t="shared" si="33"/>
        <v>0</v>
      </c>
      <c r="I32" s="384"/>
      <c r="J32" s="308">
        <v>34850</v>
      </c>
      <c r="K32" s="307"/>
      <c r="L32" s="299">
        <f t="shared" si="27"/>
        <v>0.01</v>
      </c>
      <c r="M32" s="309"/>
      <c r="N32" s="300">
        <v>0</v>
      </c>
      <c r="O32" s="309"/>
      <c r="P32" s="300">
        <f t="shared" si="28"/>
        <v>0.01</v>
      </c>
      <c r="Q32" s="391"/>
      <c r="R32" s="309">
        <f t="shared" si="34"/>
        <v>0</v>
      </c>
      <c r="S32" s="306">
        <f t="shared" si="35"/>
        <v>0</v>
      </c>
      <c r="T32" s="386"/>
      <c r="U32" s="305">
        <f t="shared" si="10"/>
        <v>0</v>
      </c>
      <c r="V32" s="305">
        <f t="shared" si="10"/>
        <v>0</v>
      </c>
      <c r="W32" s="534">
        <f t="shared" si="10"/>
        <v>0</v>
      </c>
      <c r="X32" s="305">
        <f t="shared" si="10"/>
        <v>0</v>
      </c>
      <c r="Y32" s="305">
        <f t="shared" si="14"/>
        <v>0</v>
      </c>
      <c r="Z32" s="305">
        <f t="shared" si="14"/>
        <v>0</v>
      </c>
      <c r="AA32" s="305">
        <f t="shared" si="16"/>
        <v>0</v>
      </c>
      <c r="AB32" s="305">
        <f t="shared" si="17"/>
        <v>0</v>
      </c>
      <c r="AC32" s="305">
        <f t="shared" si="26"/>
        <v>0</v>
      </c>
      <c r="AD32" s="305">
        <f t="shared" si="19"/>
        <v>0</v>
      </c>
      <c r="AE32" s="305">
        <f t="shared" si="20"/>
        <v>0</v>
      </c>
      <c r="AF32" s="305">
        <f t="shared" si="36"/>
        <v>0</v>
      </c>
      <c r="AG32" s="306">
        <f t="shared" si="37"/>
        <v>0</v>
      </c>
      <c r="AH32" s="300">
        <f t="shared" si="30"/>
        <v>0.01</v>
      </c>
      <c r="AI32" s="301"/>
      <c r="AJ32" s="310">
        <f t="shared" si="38"/>
        <v>0</v>
      </c>
      <c r="AL32" s="305">
        <f t="shared" si="24"/>
        <v>0</v>
      </c>
      <c r="AO32" s="459">
        <f t="shared" si="29"/>
        <v>0.01</v>
      </c>
    </row>
    <row r="33" spans="1:42" x14ac:dyDescent="0.2">
      <c r="A33" s="298">
        <f t="shared" si="31"/>
        <v>36641</v>
      </c>
      <c r="C33" s="394">
        <f t="shared" si="25"/>
        <v>0</v>
      </c>
      <c r="D33" s="305"/>
      <c r="E33" s="305">
        <f>C33*SpotRates!$F$36</f>
        <v>0</v>
      </c>
      <c r="F33" s="305"/>
      <c r="G33" s="305">
        <f t="shared" si="32"/>
        <v>0</v>
      </c>
      <c r="H33" s="306">
        <f t="shared" si="33"/>
        <v>0</v>
      </c>
      <c r="I33" s="384"/>
      <c r="J33" s="308">
        <v>34850</v>
      </c>
      <c r="K33" s="307"/>
      <c r="L33" s="299">
        <f t="shared" si="27"/>
        <v>0.01</v>
      </c>
      <c r="M33" s="309"/>
      <c r="N33" s="300">
        <v>0</v>
      </c>
      <c r="O33" s="309"/>
      <c r="P33" s="300">
        <f t="shared" si="28"/>
        <v>0.01</v>
      </c>
      <c r="Q33" s="391"/>
      <c r="R33" s="309">
        <f t="shared" si="34"/>
        <v>0</v>
      </c>
      <c r="S33" s="306">
        <f t="shared" si="35"/>
        <v>0</v>
      </c>
      <c r="T33" s="386"/>
      <c r="U33" s="305">
        <f t="shared" si="10"/>
        <v>0</v>
      </c>
      <c r="V33" s="305">
        <f t="shared" si="10"/>
        <v>0</v>
      </c>
      <c r="W33" s="534">
        <f t="shared" si="10"/>
        <v>0</v>
      </c>
      <c r="X33" s="305">
        <f t="shared" si="10"/>
        <v>0</v>
      </c>
      <c r="Y33" s="305">
        <f t="shared" si="14"/>
        <v>0</v>
      </c>
      <c r="Z33" s="305">
        <f t="shared" si="14"/>
        <v>0</v>
      </c>
      <c r="AA33" s="305">
        <f t="shared" si="16"/>
        <v>0</v>
      </c>
      <c r="AB33" s="305">
        <f t="shared" si="17"/>
        <v>0</v>
      </c>
      <c r="AC33" s="305">
        <f t="shared" si="26"/>
        <v>0</v>
      </c>
      <c r="AD33" s="305">
        <f t="shared" si="19"/>
        <v>0</v>
      </c>
      <c r="AE33" s="305">
        <f t="shared" si="20"/>
        <v>0</v>
      </c>
      <c r="AF33" s="305">
        <f t="shared" si="36"/>
        <v>0</v>
      </c>
      <c r="AG33" s="306">
        <f t="shared" si="37"/>
        <v>0</v>
      </c>
      <c r="AH33" s="300">
        <f t="shared" si="30"/>
        <v>0.01</v>
      </c>
      <c r="AI33" s="301"/>
      <c r="AJ33" s="310">
        <f t="shared" si="38"/>
        <v>0</v>
      </c>
      <c r="AL33" s="305">
        <f t="shared" si="24"/>
        <v>0</v>
      </c>
      <c r="AO33" s="459">
        <f t="shared" si="29"/>
        <v>0.01</v>
      </c>
    </row>
    <row r="34" spans="1:42" x14ac:dyDescent="0.2">
      <c r="A34" s="298">
        <f t="shared" si="31"/>
        <v>36642</v>
      </c>
      <c r="C34" s="394">
        <f t="shared" si="25"/>
        <v>0</v>
      </c>
      <c r="D34" s="305"/>
      <c r="E34" s="305">
        <f>C34*SpotRates!$F$36</f>
        <v>0</v>
      </c>
      <c r="F34" s="305"/>
      <c r="G34" s="305">
        <f t="shared" si="32"/>
        <v>0</v>
      </c>
      <c r="H34" s="306">
        <f t="shared" si="33"/>
        <v>0</v>
      </c>
      <c r="I34" s="384"/>
      <c r="J34" s="308">
        <v>34850</v>
      </c>
      <c r="K34" s="307"/>
      <c r="L34" s="299">
        <f t="shared" si="27"/>
        <v>0.01</v>
      </c>
      <c r="M34" s="309"/>
      <c r="N34" s="300">
        <v>0</v>
      </c>
      <c r="O34" s="309"/>
      <c r="P34" s="300">
        <f t="shared" si="28"/>
        <v>0.01</v>
      </c>
      <c r="Q34" s="391"/>
      <c r="R34" s="309">
        <f t="shared" si="34"/>
        <v>0</v>
      </c>
      <c r="S34" s="306">
        <f t="shared" si="35"/>
        <v>0</v>
      </c>
      <c r="T34" s="386"/>
      <c r="U34" s="305">
        <f t="shared" si="10"/>
        <v>0</v>
      </c>
      <c r="V34" s="305">
        <f t="shared" si="10"/>
        <v>0</v>
      </c>
      <c r="W34" s="534">
        <f t="shared" si="10"/>
        <v>0</v>
      </c>
      <c r="X34" s="305">
        <f t="shared" si="10"/>
        <v>0</v>
      </c>
      <c r="Y34" s="305">
        <f t="shared" si="14"/>
        <v>0</v>
      </c>
      <c r="Z34" s="305">
        <f t="shared" si="14"/>
        <v>0</v>
      </c>
      <c r="AA34" s="305">
        <f t="shared" si="16"/>
        <v>0</v>
      </c>
      <c r="AB34" s="305">
        <f t="shared" si="17"/>
        <v>0</v>
      </c>
      <c r="AC34" s="305">
        <f t="shared" si="26"/>
        <v>0</v>
      </c>
      <c r="AD34" s="305">
        <f t="shared" si="19"/>
        <v>0</v>
      </c>
      <c r="AE34" s="305">
        <f t="shared" si="20"/>
        <v>0</v>
      </c>
      <c r="AF34" s="305">
        <f t="shared" si="36"/>
        <v>0</v>
      </c>
      <c r="AG34" s="306">
        <f t="shared" si="37"/>
        <v>0</v>
      </c>
      <c r="AH34" s="300">
        <f t="shared" si="30"/>
        <v>0.01</v>
      </c>
      <c r="AI34" s="301"/>
      <c r="AJ34" s="310">
        <f t="shared" si="38"/>
        <v>0</v>
      </c>
      <c r="AL34" s="305">
        <f t="shared" si="24"/>
        <v>0</v>
      </c>
      <c r="AM34" s="292">
        <f>+AL34-AL33</f>
        <v>0</v>
      </c>
      <c r="AO34" s="459">
        <f t="shared" si="29"/>
        <v>0.01</v>
      </c>
    </row>
    <row r="35" spans="1:42" x14ac:dyDescent="0.2">
      <c r="A35" s="298">
        <f t="shared" si="31"/>
        <v>36643</v>
      </c>
      <c r="C35" s="394">
        <f t="shared" si="25"/>
        <v>0</v>
      </c>
      <c r="D35" s="305"/>
      <c r="E35" s="305">
        <f>C35*SpotRates!$F$36</f>
        <v>0</v>
      </c>
      <c r="F35" s="305"/>
      <c r="G35" s="305">
        <f t="shared" si="32"/>
        <v>0</v>
      </c>
      <c r="H35" s="306">
        <f t="shared" si="33"/>
        <v>0</v>
      </c>
      <c r="I35" s="384"/>
      <c r="J35" s="308">
        <v>34850</v>
      </c>
      <c r="K35" s="307"/>
      <c r="L35" s="299">
        <f t="shared" si="27"/>
        <v>0.01</v>
      </c>
      <c r="M35" s="309"/>
      <c r="N35" s="300">
        <v>0</v>
      </c>
      <c r="O35" s="309"/>
      <c r="P35" s="300">
        <f t="shared" si="28"/>
        <v>0.01</v>
      </c>
      <c r="Q35" s="391"/>
      <c r="R35" s="309">
        <f t="shared" si="34"/>
        <v>0</v>
      </c>
      <c r="S35" s="306">
        <f t="shared" si="35"/>
        <v>0</v>
      </c>
      <c r="T35" s="386"/>
      <c r="U35" s="305">
        <f t="shared" si="10"/>
        <v>0</v>
      </c>
      <c r="V35" s="305">
        <f t="shared" si="10"/>
        <v>0</v>
      </c>
      <c r="W35" s="534">
        <f t="shared" si="10"/>
        <v>0</v>
      </c>
      <c r="X35" s="305">
        <f t="shared" si="10"/>
        <v>0</v>
      </c>
      <c r="Y35" s="305">
        <f t="shared" si="14"/>
        <v>0</v>
      </c>
      <c r="Z35" s="305">
        <f t="shared" si="14"/>
        <v>0</v>
      </c>
      <c r="AA35" s="305">
        <f t="shared" si="16"/>
        <v>0</v>
      </c>
      <c r="AB35" s="305">
        <f t="shared" si="17"/>
        <v>0</v>
      </c>
      <c r="AC35" s="305">
        <f t="shared" si="26"/>
        <v>0</v>
      </c>
      <c r="AD35" s="305">
        <f t="shared" si="19"/>
        <v>0</v>
      </c>
      <c r="AE35" s="305">
        <f t="shared" si="20"/>
        <v>0</v>
      </c>
      <c r="AF35" s="305">
        <f t="shared" si="36"/>
        <v>0</v>
      </c>
      <c r="AG35" s="306">
        <f t="shared" si="37"/>
        <v>0</v>
      </c>
      <c r="AH35" s="300">
        <f t="shared" si="30"/>
        <v>0.01</v>
      </c>
      <c r="AI35" s="301"/>
      <c r="AJ35" s="310">
        <f t="shared" si="38"/>
        <v>0</v>
      </c>
      <c r="AL35" s="305">
        <f t="shared" si="24"/>
        <v>0</v>
      </c>
      <c r="AO35" s="459">
        <f t="shared" si="29"/>
        <v>0.01</v>
      </c>
    </row>
    <row r="36" spans="1:42" x14ac:dyDescent="0.2">
      <c r="A36" s="298">
        <f t="shared" si="31"/>
        <v>36644</v>
      </c>
      <c r="C36" s="394">
        <f t="shared" si="25"/>
        <v>0</v>
      </c>
      <c r="D36" s="305"/>
      <c r="E36" s="305">
        <f>C36*SpotRates!$F$36</f>
        <v>0</v>
      </c>
      <c r="F36" s="305"/>
      <c r="G36" s="305">
        <f t="shared" si="32"/>
        <v>0</v>
      </c>
      <c r="H36" s="306">
        <f t="shared" si="33"/>
        <v>0</v>
      </c>
      <c r="I36" s="384"/>
      <c r="J36" s="308">
        <v>34850</v>
      </c>
      <c r="K36" s="307"/>
      <c r="L36" s="299">
        <f t="shared" si="27"/>
        <v>0.01</v>
      </c>
      <c r="M36" s="309"/>
      <c r="N36" s="300">
        <v>0</v>
      </c>
      <c r="O36" s="309"/>
      <c r="P36" s="300">
        <f t="shared" si="28"/>
        <v>0.01</v>
      </c>
      <c r="Q36" s="391"/>
      <c r="R36" s="309">
        <f t="shared" si="34"/>
        <v>0</v>
      </c>
      <c r="S36" s="306">
        <f t="shared" si="35"/>
        <v>0</v>
      </c>
      <c r="T36" s="386"/>
      <c r="U36" s="305">
        <f t="shared" si="10"/>
        <v>0</v>
      </c>
      <c r="V36" s="305">
        <f t="shared" si="10"/>
        <v>0</v>
      </c>
      <c r="W36" s="534">
        <f t="shared" si="10"/>
        <v>0</v>
      </c>
      <c r="X36" s="305">
        <f t="shared" si="10"/>
        <v>0</v>
      </c>
      <c r="Y36" s="305">
        <f t="shared" si="14"/>
        <v>0</v>
      </c>
      <c r="Z36" s="305">
        <f t="shared" si="14"/>
        <v>0</v>
      </c>
      <c r="AA36" s="305">
        <f t="shared" si="16"/>
        <v>0</v>
      </c>
      <c r="AB36" s="305">
        <f t="shared" si="17"/>
        <v>0</v>
      </c>
      <c r="AC36" s="305">
        <f t="shared" si="26"/>
        <v>0</v>
      </c>
      <c r="AD36" s="305">
        <f t="shared" si="19"/>
        <v>0</v>
      </c>
      <c r="AE36" s="305">
        <f t="shared" si="20"/>
        <v>0</v>
      </c>
      <c r="AF36" s="305">
        <f t="shared" si="36"/>
        <v>0</v>
      </c>
      <c r="AG36" s="306">
        <f t="shared" si="37"/>
        <v>0</v>
      </c>
      <c r="AH36" s="300">
        <f t="shared" si="30"/>
        <v>0.01</v>
      </c>
      <c r="AI36" s="301"/>
      <c r="AJ36" s="310">
        <f t="shared" si="38"/>
        <v>0</v>
      </c>
      <c r="AL36" s="305">
        <f t="shared" si="24"/>
        <v>0</v>
      </c>
      <c r="AO36" s="459">
        <f t="shared" si="29"/>
        <v>0.01</v>
      </c>
    </row>
    <row r="37" spans="1:42" x14ac:dyDescent="0.2">
      <c r="A37" s="298">
        <f t="shared" si="31"/>
        <v>36645</v>
      </c>
      <c r="C37" s="394">
        <f t="shared" si="25"/>
        <v>0</v>
      </c>
      <c r="D37" s="305"/>
      <c r="E37" s="305">
        <f>C37*SpotRates!$F$36</f>
        <v>0</v>
      </c>
      <c r="F37" s="305"/>
      <c r="G37" s="305">
        <f t="shared" si="32"/>
        <v>0</v>
      </c>
      <c r="H37" s="306">
        <f t="shared" si="33"/>
        <v>0</v>
      </c>
      <c r="I37" s="384"/>
      <c r="J37" s="308">
        <v>34850</v>
      </c>
      <c r="K37" s="307"/>
      <c r="L37" s="299">
        <f t="shared" si="27"/>
        <v>0.01</v>
      </c>
      <c r="M37" s="309"/>
      <c r="N37" s="300">
        <v>0</v>
      </c>
      <c r="O37" s="309"/>
      <c r="P37" s="300">
        <f t="shared" si="28"/>
        <v>0.01</v>
      </c>
      <c r="Q37" s="391"/>
      <c r="R37" s="309">
        <f t="shared" si="34"/>
        <v>0</v>
      </c>
      <c r="S37" s="306">
        <f t="shared" si="35"/>
        <v>0</v>
      </c>
      <c r="T37" s="386"/>
      <c r="U37" s="305">
        <f t="shared" si="10"/>
        <v>0</v>
      </c>
      <c r="V37" s="305">
        <f t="shared" si="10"/>
        <v>0</v>
      </c>
      <c r="W37" s="534">
        <f t="shared" si="10"/>
        <v>0</v>
      </c>
      <c r="X37" s="305">
        <f t="shared" si="10"/>
        <v>0</v>
      </c>
      <c r="Y37" s="305">
        <f t="shared" si="14"/>
        <v>0</v>
      </c>
      <c r="Z37" s="305">
        <f t="shared" si="14"/>
        <v>0</v>
      </c>
      <c r="AA37" s="305">
        <f t="shared" si="16"/>
        <v>0</v>
      </c>
      <c r="AB37" s="305">
        <f t="shared" si="17"/>
        <v>0</v>
      </c>
      <c r="AC37" s="305">
        <f t="shared" si="26"/>
        <v>0</v>
      </c>
      <c r="AD37" s="305">
        <f t="shared" si="19"/>
        <v>0</v>
      </c>
      <c r="AE37" s="305">
        <f t="shared" si="20"/>
        <v>0</v>
      </c>
      <c r="AF37" s="305">
        <f t="shared" si="36"/>
        <v>0</v>
      </c>
      <c r="AG37" s="306">
        <f t="shared" si="37"/>
        <v>0</v>
      </c>
      <c r="AH37" s="300">
        <f t="shared" si="30"/>
        <v>0.01</v>
      </c>
      <c r="AI37" s="301"/>
      <c r="AJ37" s="310">
        <f t="shared" si="38"/>
        <v>0</v>
      </c>
      <c r="AL37" s="305">
        <f t="shared" si="24"/>
        <v>0</v>
      </c>
      <c r="AO37" s="459">
        <f t="shared" si="29"/>
        <v>0.01</v>
      </c>
    </row>
    <row r="38" spans="1:42" x14ac:dyDescent="0.2">
      <c r="A38" s="298">
        <f t="shared" si="31"/>
        <v>36646</v>
      </c>
      <c r="C38" s="394">
        <f t="shared" si="25"/>
        <v>0</v>
      </c>
      <c r="D38" s="305"/>
      <c r="E38" s="305">
        <f>C38*SpotRates!$F$36</f>
        <v>0</v>
      </c>
      <c r="F38" s="305"/>
      <c r="G38" s="305">
        <f t="shared" si="32"/>
        <v>0</v>
      </c>
      <c r="H38" s="306">
        <f t="shared" si="33"/>
        <v>0</v>
      </c>
      <c r="I38" s="384"/>
      <c r="J38" s="308">
        <v>34850</v>
      </c>
      <c r="K38" s="307"/>
      <c r="L38" s="299">
        <f t="shared" si="27"/>
        <v>0.01</v>
      </c>
      <c r="M38" s="309"/>
      <c r="N38" s="300">
        <v>0</v>
      </c>
      <c r="O38" s="309"/>
      <c r="P38" s="300">
        <f t="shared" si="28"/>
        <v>0.01</v>
      </c>
      <c r="Q38" s="391"/>
      <c r="R38" s="309">
        <f t="shared" si="34"/>
        <v>0</v>
      </c>
      <c r="S38" s="306">
        <f t="shared" si="35"/>
        <v>0</v>
      </c>
      <c r="T38" s="386"/>
      <c r="U38" s="305">
        <f t="shared" si="10"/>
        <v>0</v>
      </c>
      <c r="V38" s="305">
        <f t="shared" si="10"/>
        <v>0</v>
      </c>
      <c r="W38" s="534">
        <f t="shared" si="10"/>
        <v>0</v>
      </c>
      <c r="X38" s="305">
        <f t="shared" si="10"/>
        <v>0</v>
      </c>
      <c r="Y38" s="305">
        <f t="shared" si="14"/>
        <v>0</v>
      </c>
      <c r="Z38" s="305">
        <f t="shared" si="14"/>
        <v>0</v>
      </c>
      <c r="AA38" s="305">
        <f t="shared" si="16"/>
        <v>0</v>
      </c>
      <c r="AB38" s="305">
        <f t="shared" si="17"/>
        <v>0</v>
      </c>
      <c r="AC38" s="305">
        <f t="shared" si="26"/>
        <v>0</v>
      </c>
      <c r="AD38" s="305">
        <f t="shared" si="19"/>
        <v>0</v>
      </c>
      <c r="AE38" s="305">
        <f t="shared" si="20"/>
        <v>0</v>
      </c>
      <c r="AF38" s="305">
        <f t="shared" si="36"/>
        <v>0</v>
      </c>
      <c r="AG38" s="306">
        <f t="shared" si="37"/>
        <v>0</v>
      </c>
      <c r="AH38" s="300">
        <f t="shared" si="30"/>
        <v>0.01</v>
      </c>
      <c r="AI38" s="301"/>
      <c r="AJ38" s="310">
        <f t="shared" si="38"/>
        <v>0</v>
      </c>
      <c r="AL38" s="305">
        <f t="shared" si="24"/>
        <v>0</v>
      </c>
      <c r="AO38" s="459">
        <f t="shared" si="29"/>
        <v>0.01</v>
      </c>
    </row>
    <row r="39" spans="1:42" x14ac:dyDescent="0.2">
      <c r="A39" s="298">
        <f t="shared" si="31"/>
        <v>36647</v>
      </c>
      <c r="C39" s="394">
        <f t="shared" si="25"/>
        <v>0</v>
      </c>
      <c r="D39" s="305"/>
      <c r="E39" s="305">
        <f>C39*SpotRates!$F$36</f>
        <v>0</v>
      </c>
      <c r="F39" s="305"/>
      <c r="G39" s="305">
        <f t="shared" si="32"/>
        <v>0</v>
      </c>
      <c r="H39" s="306">
        <f t="shared" si="33"/>
        <v>0</v>
      </c>
      <c r="I39" s="384"/>
      <c r="J39" s="308">
        <v>34850</v>
      </c>
      <c r="K39" s="307"/>
      <c r="L39" s="299">
        <f t="shared" si="27"/>
        <v>0.01</v>
      </c>
      <c r="M39" s="309"/>
      <c r="N39" s="300">
        <v>0</v>
      </c>
      <c r="O39" s="309"/>
      <c r="P39" s="300">
        <f t="shared" si="28"/>
        <v>0.01</v>
      </c>
      <c r="Q39" s="391"/>
      <c r="R39" s="309">
        <f t="shared" si="34"/>
        <v>0</v>
      </c>
      <c r="S39" s="306">
        <f t="shared" si="35"/>
        <v>0</v>
      </c>
      <c r="T39" s="386"/>
      <c r="U39" s="305">
        <f t="shared" si="10"/>
        <v>0</v>
      </c>
      <c r="V39" s="305">
        <v>0</v>
      </c>
      <c r="W39" s="534">
        <v>0</v>
      </c>
      <c r="X39" s="305">
        <f t="shared" si="10"/>
        <v>0</v>
      </c>
      <c r="Y39" s="305">
        <f t="shared" si="14"/>
        <v>0</v>
      </c>
      <c r="Z39" s="305">
        <f t="shared" si="14"/>
        <v>0</v>
      </c>
      <c r="AA39" s="305">
        <f t="shared" si="16"/>
        <v>0</v>
      </c>
      <c r="AB39" s="305">
        <f t="shared" si="17"/>
        <v>0</v>
      </c>
      <c r="AC39" s="305">
        <f t="shared" si="26"/>
        <v>0</v>
      </c>
      <c r="AD39" s="305">
        <f t="shared" si="19"/>
        <v>0</v>
      </c>
      <c r="AE39" s="305">
        <f t="shared" si="20"/>
        <v>0</v>
      </c>
      <c r="AF39" s="305">
        <f t="shared" si="36"/>
        <v>0</v>
      </c>
      <c r="AG39" s="306">
        <f t="shared" si="37"/>
        <v>0</v>
      </c>
      <c r="AH39" s="300">
        <f t="shared" si="30"/>
        <v>0.01</v>
      </c>
      <c r="AI39" s="301"/>
      <c r="AJ39" s="310">
        <f>H39+S39+AG39</f>
        <v>0</v>
      </c>
      <c r="AL39" s="305">
        <f t="shared" si="24"/>
        <v>0</v>
      </c>
      <c r="AM39" s="292">
        <f>+AL39-AL38</f>
        <v>0</v>
      </c>
      <c r="AO39" s="459">
        <f t="shared" si="29"/>
        <v>0.01</v>
      </c>
    </row>
    <row r="40" spans="1:42" x14ac:dyDescent="0.2">
      <c r="A40" s="298">
        <f t="shared" si="31"/>
        <v>36648</v>
      </c>
      <c r="C40" s="394">
        <f t="shared" si="25"/>
        <v>0</v>
      </c>
      <c r="D40" s="305"/>
      <c r="E40" s="305">
        <f>C40*SpotRates!$F$36</f>
        <v>0</v>
      </c>
      <c r="F40" s="305"/>
      <c r="G40" s="305">
        <f t="shared" si="32"/>
        <v>0</v>
      </c>
      <c r="H40" s="306">
        <f t="shared" si="33"/>
        <v>0</v>
      </c>
      <c r="I40" s="384"/>
      <c r="J40" s="308">
        <v>34851</v>
      </c>
      <c r="K40" s="307"/>
      <c r="L40" s="299">
        <f t="shared" si="27"/>
        <v>0.01</v>
      </c>
      <c r="M40" s="309"/>
      <c r="N40" s="300">
        <v>0</v>
      </c>
      <c r="O40" s="309"/>
      <c r="P40" s="300">
        <f t="shared" si="28"/>
        <v>0.01</v>
      </c>
      <c r="Q40" s="391"/>
      <c r="R40" s="309">
        <f t="shared" si="34"/>
        <v>0</v>
      </c>
      <c r="S40" s="306">
        <f t="shared" si="35"/>
        <v>0</v>
      </c>
      <c r="T40" s="386"/>
      <c r="U40" s="305">
        <f t="shared" si="10"/>
        <v>0</v>
      </c>
      <c r="V40" s="305">
        <f t="shared" si="10"/>
        <v>0</v>
      </c>
      <c r="W40" s="534">
        <f t="shared" si="10"/>
        <v>0</v>
      </c>
      <c r="X40" s="305">
        <f t="shared" si="10"/>
        <v>0</v>
      </c>
      <c r="Y40" s="305">
        <f t="shared" si="14"/>
        <v>0</v>
      </c>
      <c r="Z40" s="305">
        <f t="shared" si="14"/>
        <v>0</v>
      </c>
      <c r="AA40" s="305">
        <f t="shared" si="16"/>
        <v>0</v>
      </c>
      <c r="AB40" s="305">
        <f t="shared" si="17"/>
        <v>0</v>
      </c>
      <c r="AC40" s="305">
        <f t="shared" si="26"/>
        <v>0</v>
      </c>
      <c r="AD40" s="305">
        <f t="shared" si="19"/>
        <v>0</v>
      </c>
      <c r="AE40" s="305">
        <f t="shared" si="20"/>
        <v>0</v>
      </c>
      <c r="AF40" s="305">
        <f t="shared" si="36"/>
        <v>0</v>
      </c>
      <c r="AG40" s="306">
        <f t="shared" si="37"/>
        <v>0</v>
      </c>
      <c r="AH40" s="300">
        <f t="shared" si="30"/>
        <v>0.01</v>
      </c>
      <c r="AI40" s="301"/>
      <c r="AJ40" s="310">
        <f t="shared" si="38"/>
        <v>0</v>
      </c>
      <c r="AL40" s="305">
        <f t="shared" si="24"/>
        <v>0</v>
      </c>
      <c r="AO40" s="459">
        <f>+AL40+AH40</f>
        <v>0.01</v>
      </c>
    </row>
    <row r="41" spans="1:42" x14ac:dyDescent="0.2">
      <c r="A41" s="298">
        <f t="shared" si="31"/>
        <v>36649</v>
      </c>
      <c r="C41" s="394">
        <f t="shared" si="25"/>
        <v>0</v>
      </c>
      <c r="D41" s="305"/>
      <c r="E41" s="305">
        <f>C41*SpotRates!$F$36</f>
        <v>0</v>
      </c>
      <c r="F41" s="305"/>
      <c r="G41" s="305">
        <f t="shared" si="32"/>
        <v>0</v>
      </c>
      <c r="H41" s="306">
        <f t="shared" si="33"/>
        <v>0</v>
      </c>
      <c r="I41" s="384"/>
      <c r="J41" s="308">
        <v>34852</v>
      </c>
      <c r="K41" s="307"/>
      <c r="L41" s="299">
        <f t="shared" si="27"/>
        <v>0.01</v>
      </c>
      <c r="M41" s="309"/>
      <c r="N41" s="300">
        <v>0</v>
      </c>
      <c r="O41" s="309"/>
      <c r="P41" s="300">
        <f>L41+N41</f>
        <v>0.01</v>
      </c>
      <c r="Q41" s="391"/>
      <c r="R41" s="309">
        <f t="shared" si="34"/>
        <v>0</v>
      </c>
      <c r="S41" s="306">
        <f t="shared" si="35"/>
        <v>0</v>
      </c>
      <c r="T41" s="386"/>
      <c r="U41" s="305">
        <f t="shared" si="10"/>
        <v>0</v>
      </c>
      <c r="V41" s="305">
        <f t="shared" si="10"/>
        <v>0</v>
      </c>
      <c r="W41" s="534">
        <f t="shared" si="10"/>
        <v>0</v>
      </c>
      <c r="X41" s="305">
        <f t="shared" si="10"/>
        <v>0</v>
      </c>
      <c r="Y41" s="305">
        <f t="shared" si="14"/>
        <v>0</v>
      </c>
      <c r="Z41" s="305">
        <f t="shared" si="14"/>
        <v>0</v>
      </c>
      <c r="AA41" s="305">
        <f t="shared" si="16"/>
        <v>0</v>
      </c>
      <c r="AB41" s="305">
        <f t="shared" si="17"/>
        <v>0</v>
      </c>
      <c r="AC41" s="305">
        <f t="shared" si="26"/>
        <v>0</v>
      </c>
      <c r="AD41" s="305">
        <f t="shared" si="19"/>
        <v>0</v>
      </c>
      <c r="AE41" s="305">
        <f t="shared" si="20"/>
        <v>0</v>
      </c>
      <c r="AF41" s="305">
        <f t="shared" si="36"/>
        <v>0</v>
      </c>
      <c r="AG41" s="306">
        <f t="shared" si="37"/>
        <v>0</v>
      </c>
      <c r="AH41" s="300">
        <f>E41+L41+AE41</f>
        <v>0.01</v>
      </c>
      <c r="AI41" s="301"/>
      <c r="AJ41" s="310">
        <f t="shared" si="38"/>
        <v>0</v>
      </c>
      <c r="AL41" s="305">
        <f t="shared" si="24"/>
        <v>0</v>
      </c>
      <c r="AO41" s="459">
        <f>+AL41+AH41</f>
        <v>0.01</v>
      </c>
    </row>
    <row r="42" spans="1:42" x14ac:dyDescent="0.2">
      <c r="A42" s="292"/>
      <c r="B42" s="292"/>
      <c r="C42" s="394"/>
    </row>
    <row r="43" spans="1:42" x14ac:dyDescent="0.2">
      <c r="A43" s="292"/>
      <c r="B43" s="292"/>
      <c r="AE43" s="296" t="s">
        <v>328</v>
      </c>
      <c r="AF43" s="296"/>
      <c r="AG43" s="296"/>
      <c r="AH43" s="297">
        <f>+PriceAlberta!E24</f>
        <v>0.67391316778957844</v>
      </c>
      <c r="AI43" s="291"/>
      <c r="AJ43" s="296"/>
      <c r="AK43" s="291"/>
      <c r="AL43" s="297">
        <f>+PriceEOL!E26</f>
        <v>0</v>
      </c>
      <c r="AM43" s="291"/>
      <c r="AN43" s="291"/>
      <c r="AO43" s="463">
        <f>+Report!AC66</f>
        <v>0.67391316778957844</v>
      </c>
    </row>
    <row r="44" spans="1:42" x14ac:dyDescent="0.2">
      <c r="A44"/>
      <c r="B44" s="292"/>
      <c r="I44" s="292"/>
      <c r="J44" s="292"/>
      <c r="K44" s="292"/>
      <c r="U44" s="430"/>
      <c r="V44" s="430"/>
      <c r="W44" s="430"/>
      <c r="X44" s="430"/>
      <c r="Y44" s="430"/>
      <c r="Z44" s="430"/>
    </row>
    <row r="45" spans="1:42" x14ac:dyDescent="0.2">
      <c r="A45" s="292"/>
      <c r="B45" s="292"/>
      <c r="I45" s="292"/>
      <c r="J45" s="292"/>
      <c r="K45" s="292"/>
      <c r="AE45" s="460" t="s">
        <v>329</v>
      </c>
      <c r="AF45" s="460"/>
      <c r="AG45" s="460"/>
      <c r="AH45" s="461">
        <f>+AH43-AH41</f>
        <v>0.66391316778957843</v>
      </c>
      <c r="AI45" s="462"/>
      <c r="AJ45" s="460"/>
      <c r="AK45" s="462"/>
      <c r="AL45" s="461">
        <f>+AL43-AL41</f>
        <v>0</v>
      </c>
      <c r="AM45" s="462"/>
      <c r="AN45" s="462"/>
      <c r="AO45" s="461">
        <f>+AO43-AO41</f>
        <v>0.66391316778957843</v>
      </c>
      <c r="AP45" s="462"/>
    </row>
    <row r="46" spans="1:42" x14ac:dyDescent="0.2">
      <c r="A46" s="292"/>
      <c r="B46" s="292"/>
      <c r="I46" s="292"/>
      <c r="J46" s="292"/>
      <c r="K46" s="292"/>
      <c r="U46" s="431"/>
      <c r="V46" s="431"/>
      <c r="W46" s="431"/>
      <c r="X46" s="431"/>
      <c r="Y46" s="431"/>
      <c r="Z46" s="431"/>
      <c r="AA46" s="432"/>
      <c r="AB46" s="432"/>
      <c r="AC46" s="432"/>
      <c r="AD46" s="432"/>
      <c r="AE46" s="431"/>
    </row>
    <row r="47" spans="1:42" x14ac:dyDescent="0.2">
      <c r="A47" s="292"/>
      <c r="B47" s="292"/>
      <c r="I47" s="292"/>
      <c r="J47" s="292"/>
      <c r="K47" s="292"/>
    </row>
    <row r="48" spans="1:42" x14ac:dyDescent="0.2">
      <c r="A48" s="292"/>
      <c r="B48" s="292"/>
      <c r="I48" s="292"/>
      <c r="J48" s="292"/>
      <c r="K48" s="292"/>
    </row>
    <row r="49" spans="1:31" x14ac:dyDescent="0.2">
      <c r="A49" s="292"/>
      <c r="B49" s="292"/>
      <c r="I49" s="292"/>
      <c r="J49" s="292"/>
      <c r="K49" s="292"/>
    </row>
    <row r="50" spans="1:31" x14ac:dyDescent="0.2">
      <c r="A50" s="292"/>
      <c r="B50" s="292"/>
    </row>
    <row r="51" spans="1:31" x14ac:dyDescent="0.2">
      <c r="A51" s="292"/>
      <c r="B51" s="292"/>
    </row>
    <row r="52" spans="1:31" x14ac:dyDescent="0.2">
      <c r="A52" s="292"/>
      <c r="B52" s="292"/>
    </row>
    <row r="53" spans="1:31" x14ac:dyDescent="0.2">
      <c r="A53" s="292"/>
      <c r="B53" s="292"/>
    </row>
    <row r="54" spans="1:31" x14ac:dyDescent="0.2">
      <c r="A54" s="292"/>
      <c r="B54" s="292"/>
      <c r="U54" s="305"/>
      <c r="V54" s="305"/>
      <c r="W54" s="305"/>
      <c r="X54" s="305"/>
      <c r="Y54" s="305"/>
      <c r="Z54" s="305"/>
      <c r="AA54" s="305"/>
      <c r="AB54" s="305"/>
      <c r="AC54" s="305"/>
      <c r="AD54" s="305"/>
      <c r="AE54" s="305"/>
    </row>
    <row r="60" spans="1:31" x14ac:dyDescent="0.2">
      <c r="U60" s="305"/>
      <c r="V60" s="305"/>
      <c r="W60" s="305"/>
      <c r="X60" s="305"/>
      <c r="Y60" s="305"/>
      <c r="Z60" s="305"/>
      <c r="AA60" s="305"/>
      <c r="AB60" s="305"/>
      <c r="AC60" s="305"/>
      <c r="AD60" s="305"/>
      <c r="AE60" s="305"/>
    </row>
  </sheetData>
  <pageMargins left="0.75" right="0.75" top="0.75" bottom="0.5" header="0.5" footer="0.5"/>
  <pageSetup scale="29" orientation="portrait" horizontalDpi="4294967292" r:id="rId1"/>
  <headerFooter alignWithMargins="0"/>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X240"/>
  <sheetViews>
    <sheetView zoomScale="75" workbookViewId="0">
      <pane xSplit="2" ySplit="1" topLeftCell="C38" activePane="bottomRight" state="frozen"/>
      <selection pane="topRight" activeCell="C1" sqref="C1"/>
      <selection pane="bottomLeft" activeCell="A2" sqref="A2"/>
      <selection pane="bottomRight" activeCell="B76" sqref="B76"/>
    </sheetView>
  </sheetViews>
  <sheetFormatPr defaultRowHeight="12.75" x14ac:dyDescent="0.2"/>
  <cols>
    <col min="1" max="1" width="23.85546875" style="13" customWidth="1"/>
    <col min="2" max="2" width="14.85546875" style="13" customWidth="1"/>
    <col min="3" max="3" width="12.42578125" style="13" customWidth="1"/>
    <col min="4" max="4" width="14.85546875" style="13" customWidth="1"/>
    <col min="5" max="5" width="16"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B1" s="13">
        <f>M38</f>
        <v>3897475.2820917964</v>
      </c>
      <c r="D1" s="321"/>
      <c r="E1" s="321"/>
      <c r="F1" s="325"/>
      <c r="G1" s="324"/>
      <c r="H1" s="1"/>
      <c r="I1" s="1"/>
      <c r="J1" s="1"/>
      <c r="K1" s="1"/>
      <c r="L1" s="1"/>
      <c r="M1" s="1"/>
      <c r="N1" s="1"/>
      <c r="O1" s="1"/>
    </row>
    <row r="2" spans="1:37" ht="12.75" customHeight="1" x14ac:dyDescent="0.25">
      <c r="A2" s="101" t="s">
        <v>75</v>
      </c>
      <c r="D2" s="1"/>
      <c r="E2" s="321"/>
      <c r="F2" s="325"/>
      <c r="G2" s="1"/>
      <c r="H2" s="1"/>
      <c r="I2" s="1"/>
      <c r="J2" s="1"/>
      <c r="K2" s="1"/>
      <c r="L2" s="1"/>
      <c r="M2" s="1"/>
      <c r="N2" s="1"/>
      <c r="O2" s="1"/>
    </row>
    <row r="3" spans="1:37" ht="12.75" customHeight="1" x14ac:dyDescent="0.25">
      <c r="A3" s="257" t="s">
        <v>76</v>
      </c>
      <c r="B3" s="322" t="s">
        <v>330</v>
      </c>
      <c r="C3" s="322" t="s">
        <v>331</v>
      </c>
      <c r="D3" s="1"/>
      <c r="E3" s="321"/>
      <c r="F3" s="325"/>
      <c r="G3" s="1"/>
      <c r="H3" s="1"/>
      <c r="I3" s="1"/>
      <c r="J3" s="1"/>
      <c r="K3" s="1"/>
      <c r="L3" s="1"/>
      <c r="M3" s="1"/>
      <c r="N3" s="1"/>
      <c r="O3" s="1"/>
    </row>
    <row r="4" spans="1:37" ht="12.75" customHeight="1" x14ac:dyDescent="0.25">
      <c r="A4" s="257" t="s">
        <v>79</v>
      </c>
      <c r="B4" s="201">
        <f>PriceAlberta!B4</f>
        <v>36831</v>
      </c>
      <c r="D4" s="1"/>
      <c r="E4" s="321"/>
      <c r="F4" s="1"/>
      <c r="G4" s="1"/>
      <c r="H4" s="1"/>
      <c r="I4" s="1"/>
      <c r="J4" s="1"/>
      <c r="K4" s="1"/>
      <c r="L4" s="1"/>
      <c r="M4" s="1"/>
      <c r="N4" s="1"/>
      <c r="O4" s="1"/>
    </row>
    <row r="5" spans="1:37" ht="12.75" customHeight="1" thickBot="1" x14ac:dyDescent="0.3">
      <c r="A5" s="257" t="s">
        <v>80</v>
      </c>
      <c r="B5" s="14">
        <f>PriceAlberta!B5</f>
        <v>36847</v>
      </c>
      <c r="C5" s="15"/>
      <c r="V5" s="24"/>
      <c r="W5" s="24"/>
      <c r="X5" s="24"/>
      <c r="Y5" s="24"/>
      <c r="Z5" s="24"/>
      <c r="AA5" s="24"/>
    </row>
    <row r="6" spans="1:37" ht="12.75" customHeight="1" x14ac:dyDescent="0.25">
      <c r="A6" s="257" t="s">
        <v>81</v>
      </c>
      <c r="B6" s="268"/>
      <c r="C6" s="15"/>
      <c r="K6" s="123" t="s">
        <v>82</v>
      </c>
      <c r="L6" s="62"/>
      <c r="M6" s="62"/>
      <c r="N6" s="62"/>
      <c r="O6" s="62"/>
      <c r="P6" s="62"/>
      <c r="Q6" s="62"/>
      <c r="R6" s="7"/>
      <c r="S6" s="102" t="s">
        <v>83</v>
      </c>
      <c r="T6" s="102"/>
      <c r="V6" s="123" t="s">
        <v>84</v>
      </c>
      <c r="W6" s="62"/>
      <c r="X6" s="62"/>
      <c r="Y6" s="62"/>
      <c r="Z6" s="62"/>
      <c r="AA6" s="7"/>
    </row>
    <row r="7" spans="1:37" ht="12.75" customHeight="1" x14ac:dyDescent="0.2">
      <c r="K7" s="64"/>
      <c r="L7" s="65" t="s">
        <v>278</v>
      </c>
      <c r="M7" s="65" t="s">
        <v>88</v>
      </c>
      <c r="N7" s="65" t="s">
        <v>88</v>
      </c>
      <c r="O7" s="65" t="s">
        <v>88</v>
      </c>
      <c r="P7" s="65" t="s">
        <v>88</v>
      </c>
      <c r="Q7" s="65" t="s">
        <v>88</v>
      </c>
      <c r="R7" s="66" t="s">
        <v>4</v>
      </c>
      <c r="S7" s="103" t="s">
        <v>89</v>
      </c>
      <c r="T7" s="103" t="s">
        <v>90</v>
      </c>
      <c r="V7" s="67" t="s">
        <v>91</v>
      </c>
      <c r="W7" s="24"/>
      <c r="X7" s="24"/>
      <c r="Y7" s="24"/>
      <c r="Z7" s="24"/>
      <c r="AA7" s="68"/>
    </row>
    <row r="8" spans="1:37" ht="12.75" customHeight="1" x14ac:dyDescent="0.2">
      <c r="A8" s="16" t="s">
        <v>92</v>
      </c>
      <c r="G8" s="17" t="s">
        <v>95</v>
      </c>
      <c r="H8" s="17"/>
      <c r="K8" s="124" t="s">
        <v>96</v>
      </c>
      <c r="L8" s="24"/>
      <c r="M8" s="24"/>
      <c r="N8" s="24"/>
      <c r="O8" s="24"/>
      <c r="P8" s="24"/>
      <c r="Q8" s="9"/>
      <c r="R8" s="68"/>
      <c r="V8" s="67" t="s">
        <v>97</v>
      </c>
      <c r="W8" s="24"/>
      <c r="X8" s="24"/>
      <c r="Y8" s="24"/>
      <c r="Z8" s="24"/>
      <c r="AA8" s="68"/>
    </row>
    <row r="9" spans="1:37" ht="12.75" customHeight="1" x14ac:dyDescent="0.2">
      <c r="A9" s="13" t="s">
        <v>98</v>
      </c>
      <c r="E9" s="18">
        <f>((PriceAlberta!E9+AlbertaIndex!E9+'Price - East '!E9+Options!E9+PriceEOL!E9+EOLIndex!E9+OptionsIndex!E9+OptionsProp!E9+Straddle!E9+PriceBC!E9+BCIndex!E9)/SpotRates!$F$36)</f>
        <v>110087350.77134567</v>
      </c>
      <c r="F9" s="1" t="s">
        <v>99</v>
      </c>
      <c r="G9" s="19" t="s">
        <v>100</v>
      </c>
      <c r="H9" s="19"/>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
      <c r="A10" s="13" t="s">
        <v>102</v>
      </c>
      <c r="E10" s="18">
        <f>((PriceAlberta!E10+AlbertaIndex!E10+'Price - East '!E10+Options!E10+PriceEOL!E10+EOLIndex!E10+OptionsIndex!E10+Straddle!E10+OptionsProp!E10+PriceBC!E10+BCIndex!E10)/SpotRates!$F$36)</f>
        <v>104361429.05147398</v>
      </c>
      <c r="F10" s="1" t="s">
        <v>99</v>
      </c>
      <c r="G10" s="19" t="s">
        <v>100</v>
      </c>
      <c r="H10" s="19"/>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
      <c r="A11" s="13" t="s">
        <v>105</v>
      </c>
      <c r="E11" s="18">
        <f>((PriceAlberta!E11+AlbertaIndex!E11+'Price - East '!E11+Options!E11+PriceEOL!E11+EOLIndex!E11+OptionsIndex!E11)/SpotRates!$F$36)</f>
        <v>0</v>
      </c>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
      <c r="A12" s="13" t="s">
        <v>109</v>
      </c>
      <c r="E12" s="18">
        <f>((PriceAlberta!E12+AlbertaIndex!E12+'Price - East '!E12+Options!E12+PriceEOL!E12+EOLIndex!E12+OptionsIndex!E12)/SpotRates!$F$36)</f>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
      <c r="A13" s="13" t="s">
        <v>112</v>
      </c>
      <c r="E13" s="21">
        <f>(PriceAlberta!E13+AlbertaIndex!E13+'Price - East '!E13+Options!E13+PriceEOL!E13+EOLIndex!E13+OptionsIndex!E13)/SpotRates!$F$36</f>
        <v>1870886.7420192459</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25">
      <c r="A14" s="13" t="s">
        <v>115</v>
      </c>
      <c r="E14" s="22">
        <f>+E159</f>
        <v>-53104210</v>
      </c>
      <c r="F14" s="13" t="s">
        <v>116</v>
      </c>
      <c r="K14" s="67" t="s">
        <v>117</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118</v>
      </c>
      <c r="Z14" s="24"/>
      <c r="AA14" s="68"/>
    </row>
    <row r="15" spans="1:37" ht="12.75" customHeight="1" thickTop="1" x14ac:dyDescent="0.2">
      <c r="A15" s="13" t="s">
        <v>119</v>
      </c>
      <c r="E15" s="22">
        <f>+L159</f>
        <v>0</v>
      </c>
      <c r="F15" s="13" t="s">
        <v>116</v>
      </c>
      <c r="K15" s="67" t="s">
        <v>120</v>
      </c>
      <c r="L15" s="249">
        <v>1</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2">
      <c r="A16" s="13" t="s">
        <v>124</v>
      </c>
      <c r="E16" s="22">
        <f>+E185</f>
        <v>-3.260630089789629E-2</v>
      </c>
      <c r="F16" s="13" t="s">
        <v>116</v>
      </c>
      <c r="I16" s="23"/>
      <c r="J16" s="23"/>
      <c r="K16" s="67" t="s">
        <v>125</v>
      </c>
      <c r="L16" s="248">
        <v>0</v>
      </c>
      <c r="M16" s="248">
        <v>0</v>
      </c>
      <c r="N16" s="248">
        <v>0</v>
      </c>
      <c r="O16" s="248">
        <v>0</v>
      </c>
      <c r="P16" s="248">
        <v>0</v>
      </c>
      <c r="Q16" s="248">
        <v>0</v>
      </c>
      <c r="R16" s="251">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2"/>
      <c r="L17" s="122">
        <f t="shared" ref="L17:Q17" si="1">SUM(L15*L16)</f>
        <v>0</v>
      </c>
      <c r="M17" s="122">
        <f t="shared" si="1"/>
        <v>0</v>
      </c>
      <c r="N17" s="122">
        <f t="shared" si="1"/>
        <v>0</v>
      </c>
      <c r="O17" s="122">
        <f t="shared" si="1"/>
        <v>0</v>
      </c>
      <c r="P17" s="122">
        <f t="shared" si="1"/>
        <v>0</v>
      </c>
      <c r="Q17" s="122">
        <f t="shared" si="1"/>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8">
        <f>SUM(E9:E16)</f>
        <v>163215456.53223258</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SUM(E19)-SUM(B58+B59+B64+B65)</f>
        <v>162036736.85146275</v>
      </c>
      <c r="AA20" s="68"/>
      <c r="AB20" s="24"/>
      <c r="AC20" s="24"/>
      <c r="AD20" s="24"/>
      <c r="AE20" s="24"/>
      <c r="AF20" s="24"/>
      <c r="AG20" s="24"/>
      <c r="AH20" s="24"/>
      <c r="AI20" s="26"/>
      <c r="AJ20" s="24"/>
      <c r="AK20" s="24"/>
    </row>
    <row r="21" spans="1:37" ht="12.75" customHeight="1" thickBot="1" x14ac:dyDescent="0.25">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75" customHeight="1" x14ac:dyDescent="0.2">
      <c r="A22" s="13" t="s">
        <v>132</v>
      </c>
      <c r="E22" s="18">
        <v>-593557.86586225871</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133</v>
      </c>
      <c r="E23" s="28">
        <f>B63</f>
        <v>0</v>
      </c>
      <c r="F23" s="13" t="s">
        <v>116</v>
      </c>
      <c r="G23" s="24"/>
      <c r="I23" s="24"/>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134</v>
      </c>
      <c r="E24" s="229">
        <f>E22+E23</f>
        <v>-593557.86586225871</v>
      </c>
      <c r="F24" s="13" t="s">
        <v>116</v>
      </c>
      <c r="I24" s="24"/>
      <c r="J24" s="24"/>
      <c r="K24" s="67" t="s">
        <v>117</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135</v>
      </c>
      <c r="E25" s="22">
        <f>-M214</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136</v>
      </c>
      <c r="E26" s="25">
        <f>E24+E25</f>
        <v>-593557.86586225871</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141</v>
      </c>
      <c r="E29" s="18">
        <v>12126114.623452131</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143</v>
      </c>
      <c r="E30" s="29">
        <f>B61</f>
        <v>-11268.63448907897</v>
      </c>
      <c r="F30" s="13" t="s">
        <v>144</v>
      </c>
      <c r="I30" s="24"/>
      <c r="J30" s="24"/>
      <c r="K30" s="67" t="s">
        <v>145</v>
      </c>
      <c r="L30" s="26">
        <v>43173687.856119186</v>
      </c>
      <c r="M30" s="26">
        <v>172103528.8816835</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146</v>
      </c>
      <c r="E31" s="22">
        <f>B102</f>
        <v>0</v>
      </c>
      <c r="F31" s="13" t="s">
        <v>144</v>
      </c>
      <c r="I31" s="24"/>
      <c r="J31" s="24"/>
      <c r="K31" s="67" t="s">
        <v>147</v>
      </c>
      <c r="L31" s="26">
        <v>-2978712.5633950168</v>
      </c>
      <c r="M31" s="26">
        <v>-593557.86586225871</v>
      </c>
      <c r="N31" s="27">
        <f>M31</f>
        <v>-593557.86586225871</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148</v>
      </c>
      <c r="E32" s="29">
        <f>B118</f>
        <v>0</v>
      </c>
      <c r="F32" s="13" t="s">
        <v>144</v>
      </c>
      <c r="G32" s="19"/>
      <c r="K32" s="67" t="s">
        <v>149</v>
      </c>
      <c r="L32" s="26">
        <v>-174703.05260915065</v>
      </c>
      <c r="M32" s="26">
        <v>12126114.623452131</v>
      </c>
      <c r="N32" s="27"/>
      <c r="O32" s="24" t="s">
        <v>142</v>
      </c>
      <c r="P32" s="24"/>
      <c r="Q32" s="24"/>
      <c r="R32" s="68"/>
      <c r="AI32" s="1"/>
    </row>
    <row r="33" spans="1:47" ht="12.75" customHeight="1" x14ac:dyDescent="0.2">
      <c r="A33" s="13" t="s">
        <v>150</v>
      </c>
      <c r="E33" s="22">
        <f>+B67</f>
        <v>-42194.898426760359</v>
      </c>
      <c r="F33" s="13" t="s">
        <v>144</v>
      </c>
      <c r="K33" s="67"/>
      <c r="L33" s="9"/>
      <c r="M33" s="27"/>
      <c r="N33" s="27"/>
      <c r="O33" s="24"/>
      <c r="P33" s="24"/>
      <c r="Q33" s="24"/>
      <c r="R33" s="68"/>
    </row>
    <row r="34" spans="1:47" ht="12.75" customHeight="1" x14ac:dyDescent="0.2">
      <c r="A34" s="13" t="s">
        <v>151</v>
      </c>
      <c r="E34" s="22">
        <f>B69</f>
        <v>0</v>
      </c>
      <c r="F34" s="13" t="s">
        <v>144</v>
      </c>
      <c r="K34" s="67" t="s">
        <v>152</v>
      </c>
      <c r="L34" s="24"/>
      <c r="M34" s="27">
        <f>B76</f>
        <v>-5044060.6002749363</v>
      </c>
      <c r="N34" s="27">
        <f>B63</f>
        <v>0</v>
      </c>
      <c r="O34" s="24" t="s">
        <v>153</v>
      </c>
      <c r="P34" s="24"/>
      <c r="Q34" s="24"/>
      <c r="R34" s="68"/>
    </row>
    <row r="35" spans="1:47" ht="12.75" customHeight="1" x14ac:dyDescent="0.2">
      <c r="A35" s="13" t="s">
        <v>154</v>
      </c>
      <c r="E35" s="22">
        <f>F238</f>
        <v>0</v>
      </c>
      <c r="F35" s="13" t="s">
        <v>144</v>
      </c>
      <c r="K35" s="67"/>
      <c r="L35" s="24"/>
      <c r="M35" s="27"/>
      <c r="N35" s="27"/>
      <c r="O35" s="24"/>
      <c r="P35" s="24"/>
      <c r="Q35" s="24"/>
      <c r="R35" s="68"/>
    </row>
    <row r="36" spans="1:47" ht="12.75" customHeight="1" thickBot="1" x14ac:dyDescent="0.25">
      <c r="A36" s="17" t="s">
        <v>155</v>
      </c>
      <c r="E36" s="228">
        <f>SUM(E29:E35)</f>
        <v>12072651.090536293</v>
      </c>
      <c r="K36" s="67" t="s">
        <v>156</v>
      </c>
      <c r="L36" s="9"/>
      <c r="M36" s="27">
        <f>SUM(M30:M34)</f>
        <v>178592025.03899843</v>
      </c>
      <c r="N36" s="27">
        <f>SUM(N30:N34)</f>
        <v>-593557.86586225871</v>
      </c>
      <c r="O36" s="24"/>
      <c r="P36" s="24"/>
      <c r="Q36" s="24"/>
      <c r="R36" s="68"/>
    </row>
    <row r="37" spans="1:47" ht="12.75" customHeight="1" thickTop="1" x14ac:dyDescent="0.2">
      <c r="K37" s="206"/>
      <c r="L37" s="9"/>
      <c r="M37" s="9"/>
      <c r="N37" s="9"/>
      <c r="O37" s="24"/>
      <c r="P37" s="24"/>
      <c r="Q37" s="24"/>
      <c r="R37" s="68"/>
    </row>
    <row r="38" spans="1:47" ht="12.75" customHeight="1" thickBot="1" x14ac:dyDescent="0.3">
      <c r="A38" s="16" t="s">
        <v>157</v>
      </c>
      <c r="C38" s="20"/>
      <c r="E38" s="228">
        <f>+E36+E26+E19</f>
        <v>174694549.75690663</v>
      </c>
      <c r="K38" s="67"/>
      <c r="L38" s="207" t="s">
        <v>158</v>
      </c>
      <c r="M38" s="208">
        <f>M36-E38</f>
        <v>3897475.2820917964</v>
      </c>
      <c r="N38" s="209">
        <f>+N36-E26</f>
        <v>0</v>
      </c>
      <c r="O38" s="24"/>
      <c r="P38" s="24"/>
      <c r="Q38" s="24"/>
      <c r="R38" s="68"/>
      <c r="AN38" s="1"/>
      <c r="AO38" s="1"/>
      <c r="AP38" s="1"/>
      <c r="AQ38" s="1"/>
      <c r="AR38" s="1"/>
      <c r="AS38" s="1"/>
    </row>
    <row r="39" spans="1:47" ht="12.75" customHeight="1" thickTop="1" thickBot="1" x14ac:dyDescent="0.25">
      <c r="K39" s="74"/>
      <c r="L39" s="131"/>
      <c r="M39" s="131"/>
      <c r="N39" s="133"/>
      <c r="O39" s="131"/>
      <c r="P39" s="131"/>
      <c r="Q39" s="131"/>
      <c r="R39" s="132"/>
      <c r="AJ39" s="1"/>
      <c r="AK39" s="1"/>
      <c r="AN39" s="1"/>
      <c r="AO39" s="1"/>
      <c r="AP39" s="1"/>
      <c r="AQ39" s="1"/>
      <c r="AR39" s="1"/>
      <c r="AS39" s="1"/>
    </row>
    <row r="40" spans="1:47" ht="12.75" customHeight="1" x14ac:dyDescent="0.2">
      <c r="A40" s="318"/>
      <c r="B40" s="319"/>
      <c r="C40" s="319"/>
      <c r="D40" s="319"/>
      <c r="E40" s="319"/>
      <c r="F40" s="319"/>
      <c r="G40" s="319"/>
      <c r="H40" s="319"/>
      <c r="I40" s="319"/>
      <c r="J40" s="319"/>
      <c r="K40" s="320"/>
      <c r="L40" s="320"/>
      <c r="M40" s="320"/>
      <c r="N40" s="320"/>
      <c r="O40" s="320"/>
      <c r="P40" s="320"/>
      <c r="Q40" s="319"/>
      <c r="R40" s="319"/>
      <c r="S40" s="319"/>
      <c r="T40" s="319"/>
      <c r="U40" s="319"/>
      <c r="V40" s="319"/>
      <c r="W40" s="319"/>
      <c r="X40" s="319"/>
      <c r="Y40" s="319"/>
      <c r="Z40" s="319"/>
      <c r="AA40" s="319"/>
      <c r="AB40" s="319"/>
      <c r="AC40" s="319"/>
      <c r="AD40" s="319"/>
      <c r="AE40" s="319"/>
      <c r="AF40" s="319"/>
      <c r="AG40" s="319"/>
      <c r="AJ40" s="1"/>
      <c r="AK40" s="1"/>
      <c r="AN40" s="1"/>
      <c r="AO40" s="1"/>
      <c r="AP40" s="1"/>
      <c r="AQ40" s="1"/>
      <c r="AR40" s="1"/>
      <c r="AS40" s="1"/>
    </row>
    <row r="41" spans="1:47" ht="12.75" customHeight="1" x14ac:dyDescent="0.25">
      <c r="A41" s="56" t="s">
        <v>159</v>
      </c>
      <c r="B41" s="57"/>
      <c r="K41" s="1"/>
      <c r="L41" s="1"/>
      <c r="M41" s="43"/>
      <c r="N41" s="1"/>
      <c r="O41" s="1"/>
      <c r="P41" s="1"/>
      <c r="AJ41" s="1"/>
      <c r="AK41" s="1"/>
      <c r="AN41" s="1"/>
      <c r="AO41" s="1"/>
      <c r="AP41" s="1"/>
      <c r="AQ41" s="1"/>
      <c r="AR41" s="1"/>
      <c r="AS41" s="1"/>
    </row>
    <row r="42" spans="1:47" ht="12.75" customHeight="1" x14ac:dyDescent="0.2">
      <c r="B42" s="1"/>
      <c r="C42" s="19"/>
      <c r="AI42" s="106" t="s">
        <v>160</v>
      </c>
      <c r="AJ42" s="107"/>
      <c r="AK42" s="1"/>
      <c r="AN42" s="1"/>
      <c r="AO42" s="1"/>
      <c r="AP42" s="1"/>
      <c r="AQ42" s="1"/>
      <c r="AR42" s="1"/>
      <c r="AS42" s="1"/>
    </row>
    <row r="43" spans="1:47" ht="12.75" customHeight="1" x14ac:dyDescent="0.2">
      <c r="A43" s="30"/>
      <c r="B43" s="31" t="s">
        <v>161</v>
      </c>
      <c r="C43" s="32">
        <f t="shared" ref="C43:R43" si="3">SUM(C47:C76)-C61-C68-C69</f>
        <v>0</v>
      </c>
      <c r="D43" s="32">
        <f t="shared" si="3"/>
        <v>0</v>
      </c>
      <c r="E43" s="32">
        <f t="shared" si="3"/>
        <v>0</v>
      </c>
      <c r="F43" s="32">
        <f t="shared" si="3"/>
        <v>0</v>
      </c>
      <c r="G43" s="32">
        <f t="shared" si="3"/>
        <v>0</v>
      </c>
      <c r="H43" s="32">
        <f t="shared" si="3"/>
        <v>0</v>
      </c>
      <c r="I43" s="32">
        <f t="shared" si="3"/>
        <v>0</v>
      </c>
      <c r="J43" s="32">
        <f t="shared" si="3"/>
        <v>0</v>
      </c>
      <c r="K43" s="32">
        <f t="shared" si="3"/>
        <v>0</v>
      </c>
      <c r="L43" s="32">
        <f t="shared" si="3"/>
        <v>0</v>
      </c>
      <c r="M43" s="32">
        <f t="shared" si="3"/>
        <v>0</v>
      </c>
      <c r="N43" s="32">
        <f t="shared" si="3"/>
        <v>0</v>
      </c>
      <c r="O43" s="32">
        <f t="shared" si="3"/>
        <v>0</v>
      </c>
      <c r="P43" s="32">
        <f t="shared" si="3"/>
        <v>0</v>
      </c>
      <c r="Q43" s="32">
        <f t="shared" si="3"/>
        <v>0</v>
      </c>
      <c r="R43" s="32">
        <f t="shared" si="3"/>
        <v>0</v>
      </c>
      <c r="S43" s="32">
        <f t="shared" ref="S43:AG43" si="4">SUM(S47:S76)-S61-S68-S69</f>
        <v>0</v>
      </c>
      <c r="T43" s="32">
        <f t="shared" si="4"/>
        <v>0</v>
      </c>
      <c r="U43" s="32">
        <f t="shared" si="4"/>
        <v>0</v>
      </c>
      <c r="V43" s="32">
        <f t="shared" si="4"/>
        <v>0</v>
      </c>
      <c r="W43" s="32">
        <f t="shared" si="4"/>
        <v>0</v>
      </c>
      <c r="X43" s="32">
        <f t="shared" si="4"/>
        <v>0</v>
      </c>
      <c r="Y43" s="32">
        <f t="shared" si="4"/>
        <v>0</v>
      </c>
      <c r="Z43" s="32">
        <f t="shared" si="4"/>
        <v>0</v>
      </c>
      <c r="AA43" s="32">
        <f t="shared" si="4"/>
        <v>0</v>
      </c>
      <c r="AB43" s="32">
        <f t="shared" si="4"/>
        <v>0</v>
      </c>
      <c r="AC43" s="32">
        <f t="shared" si="4"/>
        <v>0</v>
      </c>
      <c r="AD43" s="32">
        <f t="shared" si="4"/>
        <v>0</v>
      </c>
      <c r="AE43" s="32">
        <f t="shared" si="4"/>
        <v>0</v>
      </c>
      <c r="AF43" s="32">
        <f t="shared" si="4"/>
        <v>0</v>
      </c>
      <c r="AG43" s="32">
        <f t="shared" si="4"/>
        <v>0</v>
      </c>
      <c r="AH43" s="1"/>
      <c r="AI43" s="108" t="s">
        <v>162</v>
      </c>
      <c r="AJ43" s="109" t="s">
        <v>163</v>
      </c>
      <c r="AK43" s="1"/>
      <c r="AL43" s="33"/>
      <c r="AN43" s="1"/>
      <c r="AO43" s="1"/>
      <c r="AP43" s="1"/>
      <c r="AQ43" s="1"/>
      <c r="AR43" s="1"/>
      <c r="AS43" s="1"/>
    </row>
    <row r="44" spans="1:47" s="99" customFormat="1" ht="12.75" customHeight="1" x14ac:dyDescent="0.25">
      <c r="A44" s="216" t="s">
        <v>164</v>
      </c>
      <c r="B44" s="116">
        <f>B4</f>
        <v>36831</v>
      </c>
      <c r="C44" s="104">
        <f>B44</f>
        <v>36831</v>
      </c>
      <c r="D44" s="104">
        <f t="shared" ref="D44:S44" si="5">C44+1</f>
        <v>36832</v>
      </c>
      <c r="E44" s="104">
        <f t="shared" si="5"/>
        <v>36833</v>
      </c>
      <c r="F44" s="104">
        <f t="shared" si="5"/>
        <v>36834</v>
      </c>
      <c r="G44" s="104">
        <f t="shared" si="5"/>
        <v>36835</v>
      </c>
      <c r="H44" s="104">
        <f t="shared" si="5"/>
        <v>36836</v>
      </c>
      <c r="I44" s="104">
        <f t="shared" si="5"/>
        <v>36837</v>
      </c>
      <c r="J44" s="104">
        <f t="shared" si="5"/>
        <v>36838</v>
      </c>
      <c r="K44" s="104">
        <f t="shared" si="5"/>
        <v>36839</v>
      </c>
      <c r="L44" s="104">
        <f t="shared" si="5"/>
        <v>36840</v>
      </c>
      <c r="M44" s="104">
        <f t="shared" si="5"/>
        <v>36841</v>
      </c>
      <c r="N44" s="104">
        <f t="shared" si="5"/>
        <v>36842</v>
      </c>
      <c r="O44" s="104">
        <f t="shared" si="5"/>
        <v>36843</v>
      </c>
      <c r="P44" s="104">
        <f t="shared" si="5"/>
        <v>36844</v>
      </c>
      <c r="Q44" s="104">
        <f t="shared" si="5"/>
        <v>36845</v>
      </c>
      <c r="R44" s="104">
        <f t="shared" si="5"/>
        <v>36846</v>
      </c>
      <c r="S44" s="104">
        <f t="shared" si="5"/>
        <v>36847</v>
      </c>
      <c r="T44" s="104">
        <f t="shared" ref="T44:AG44" si="6">S44+1</f>
        <v>36848</v>
      </c>
      <c r="U44" s="104">
        <f t="shared" si="6"/>
        <v>36849</v>
      </c>
      <c r="V44" s="104">
        <f t="shared" si="6"/>
        <v>36850</v>
      </c>
      <c r="W44" s="104">
        <f t="shared" si="6"/>
        <v>36851</v>
      </c>
      <c r="X44" s="104">
        <f t="shared" si="6"/>
        <v>36852</v>
      </c>
      <c r="Y44" s="104">
        <f t="shared" si="6"/>
        <v>36853</v>
      </c>
      <c r="Z44" s="104">
        <f t="shared" si="6"/>
        <v>36854</v>
      </c>
      <c r="AA44" s="104">
        <f t="shared" si="6"/>
        <v>36855</v>
      </c>
      <c r="AB44" s="104">
        <f t="shared" si="6"/>
        <v>36856</v>
      </c>
      <c r="AC44" s="104">
        <f t="shared" si="6"/>
        <v>36857</v>
      </c>
      <c r="AD44" s="104">
        <f t="shared" si="6"/>
        <v>36858</v>
      </c>
      <c r="AE44" s="104">
        <f t="shared" si="6"/>
        <v>36859</v>
      </c>
      <c r="AF44" s="104">
        <f t="shared" si="6"/>
        <v>36860</v>
      </c>
      <c r="AG44" s="104">
        <f t="shared" si="6"/>
        <v>36861</v>
      </c>
      <c r="AI44" s="110">
        <v>1</v>
      </c>
      <c r="AJ44" s="111" t="s">
        <v>165</v>
      </c>
      <c r="AL44" s="100"/>
    </row>
    <row r="45" spans="1:47" ht="12.75" customHeight="1" x14ac:dyDescent="0.25">
      <c r="A45" s="34"/>
      <c r="B45" s="34"/>
      <c r="C45" s="105" t="str">
        <f t="shared" ref="C45:R45" si="7">LOOKUP((WEEKDAY(C44,1)),$AI$44:$AI$50,$AJ$44:$AJ$50)</f>
        <v>W</v>
      </c>
      <c r="D45" s="105" t="str">
        <f t="shared" si="7"/>
        <v>R</v>
      </c>
      <c r="E45" s="105" t="str">
        <f t="shared" si="7"/>
        <v>F</v>
      </c>
      <c r="F45" s="105" t="str">
        <f t="shared" si="7"/>
        <v>S</v>
      </c>
      <c r="G45" s="105" t="str">
        <f t="shared" si="7"/>
        <v>S</v>
      </c>
      <c r="H45" s="105" t="str">
        <f t="shared" si="7"/>
        <v>M</v>
      </c>
      <c r="I45" s="105" t="str">
        <f t="shared" si="7"/>
        <v>T</v>
      </c>
      <c r="J45" s="105" t="str">
        <f t="shared" si="7"/>
        <v>W</v>
      </c>
      <c r="K45" s="105" t="str">
        <f t="shared" si="7"/>
        <v>R</v>
      </c>
      <c r="L45" s="105" t="str">
        <f t="shared" si="7"/>
        <v>F</v>
      </c>
      <c r="M45" s="105" t="str">
        <f t="shared" si="7"/>
        <v>S</v>
      </c>
      <c r="N45" s="105" t="str">
        <f t="shared" si="7"/>
        <v>S</v>
      </c>
      <c r="O45" s="105" t="str">
        <f t="shared" si="7"/>
        <v>M</v>
      </c>
      <c r="P45" s="105" t="str">
        <f t="shared" si="7"/>
        <v>T</v>
      </c>
      <c r="Q45" s="105" t="str">
        <f t="shared" si="7"/>
        <v>W</v>
      </c>
      <c r="R45" s="105" t="str">
        <f t="shared" si="7"/>
        <v>R</v>
      </c>
      <c r="S45" s="105" t="str">
        <f t="shared" ref="S45:AG45" si="8">LOOKUP((WEEKDAY(S44,1)),$AI$44:$AI$50,$AJ$44:$AJ$50)</f>
        <v>F</v>
      </c>
      <c r="T45" s="105" t="str">
        <f t="shared" si="8"/>
        <v>S</v>
      </c>
      <c r="U45" s="105" t="str">
        <f t="shared" si="8"/>
        <v>S</v>
      </c>
      <c r="V45" s="105" t="str">
        <f t="shared" si="8"/>
        <v>M</v>
      </c>
      <c r="W45" s="105" t="str">
        <f t="shared" si="8"/>
        <v>T</v>
      </c>
      <c r="X45" s="105" t="str">
        <f t="shared" si="8"/>
        <v>W</v>
      </c>
      <c r="Y45" s="105" t="str">
        <f t="shared" si="8"/>
        <v>R</v>
      </c>
      <c r="Z45" s="105" t="str">
        <f t="shared" si="8"/>
        <v>F</v>
      </c>
      <c r="AA45" s="105" t="str">
        <f t="shared" si="8"/>
        <v>S</v>
      </c>
      <c r="AB45" s="105" t="str">
        <f t="shared" si="8"/>
        <v>S</v>
      </c>
      <c r="AC45" s="105" t="str">
        <f t="shared" si="8"/>
        <v>M</v>
      </c>
      <c r="AD45" s="105" t="str">
        <f t="shared" si="8"/>
        <v>T</v>
      </c>
      <c r="AE45" s="105" t="str">
        <f t="shared" si="8"/>
        <v>W</v>
      </c>
      <c r="AF45" s="105" t="str">
        <f t="shared" si="8"/>
        <v>R</v>
      </c>
      <c r="AG45" s="105" t="str">
        <f t="shared" si="8"/>
        <v>F</v>
      </c>
      <c r="AH45" s="1"/>
      <c r="AI45" s="112">
        <v>2</v>
      </c>
      <c r="AJ45" s="113" t="s">
        <v>166</v>
      </c>
      <c r="AK45" s="1"/>
      <c r="AL45" s="24"/>
      <c r="AN45" s="1"/>
      <c r="AO45" s="1"/>
      <c r="AP45" s="1"/>
      <c r="AQ45" s="1"/>
      <c r="AR45" s="1"/>
      <c r="AS45" s="1"/>
    </row>
    <row r="46" spans="1:47" ht="12.75" customHeight="1" thickBot="1" x14ac:dyDescent="0.3">
      <c r="A46" s="217"/>
      <c r="B46" s="35" t="s">
        <v>167</v>
      </c>
      <c r="C46" s="36"/>
      <c r="D46" s="36"/>
      <c r="E46" s="36"/>
      <c r="F46" s="36"/>
      <c r="G46" s="36"/>
      <c r="H46" s="36"/>
      <c r="I46" s="36"/>
      <c r="J46" s="36"/>
      <c r="K46" s="36"/>
      <c r="L46" s="36"/>
      <c r="M46" s="36"/>
      <c r="N46" s="36"/>
      <c r="O46" s="36"/>
      <c r="P46" s="280"/>
      <c r="Q46" s="36"/>
      <c r="R46" s="280" t="s">
        <v>332</v>
      </c>
      <c r="S46" s="36"/>
      <c r="T46" s="280"/>
      <c r="U46" s="36"/>
      <c r="V46" s="36"/>
      <c r="W46" s="280"/>
      <c r="X46" s="36"/>
      <c r="Y46" s="36"/>
      <c r="Z46" s="36"/>
      <c r="AA46" s="36"/>
      <c r="AB46" s="36"/>
      <c r="AC46" s="36"/>
      <c r="AD46" s="36"/>
      <c r="AE46" s="280"/>
      <c r="AF46" s="36"/>
      <c r="AG46" s="37"/>
      <c r="AH46" s="1"/>
      <c r="AI46" s="112">
        <v>3</v>
      </c>
      <c r="AJ46" s="113" t="s">
        <v>168</v>
      </c>
      <c r="AK46" s="1"/>
      <c r="AL46" s="24"/>
      <c r="AN46" s="1"/>
      <c r="AO46" s="1"/>
      <c r="AP46" s="1"/>
      <c r="AQ46" s="1"/>
      <c r="AR46" s="1"/>
      <c r="AS46" s="1"/>
    </row>
    <row r="47" spans="1:47" ht="12.75" customHeight="1" thickTop="1" x14ac:dyDescent="0.2">
      <c r="A47" s="22" t="s">
        <v>169</v>
      </c>
      <c r="B47" s="39">
        <f>(PriceAlberta!B47+PriceBC!B47+BCIndex!B47+Straddle!B47+AlbertaIndex!B47+'Price - East '!B47+Options!B47+PriceEOL!B47+EOLIndex!B47+OptionsIndex!B47+OptionsProp!B47)/SpotRates!$F$36</f>
        <v>3405854.0552925011</v>
      </c>
      <c r="C47" s="20">
        <v>0</v>
      </c>
      <c r="D47" s="20">
        <v>0</v>
      </c>
      <c r="E47" s="20">
        <v>0</v>
      </c>
      <c r="F47" s="20">
        <v>0</v>
      </c>
      <c r="G47" s="20">
        <v>0</v>
      </c>
      <c r="H47" s="20">
        <v>0</v>
      </c>
      <c r="I47" s="20">
        <v>0</v>
      </c>
      <c r="J47" s="20">
        <v>0</v>
      </c>
      <c r="K47" s="20">
        <v>0</v>
      </c>
      <c r="L47" s="20">
        <v>0</v>
      </c>
      <c r="M47" s="20">
        <v>0</v>
      </c>
      <c r="N47" s="20">
        <v>0</v>
      </c>
      <c r="O47" s="20">
        <v>0</v>
      </c>
      <c r="P47" s="20">
        <v>0</v>
      </c>
      <c r="Q47" s="20">
        <v>0</v>
      </c>
      <c r="R47" s="20">
        <v>0</v>
      </c>
      <c r="S47" s="20">
        <v>0</v>
      </c>
      <c r="T47" s="20">
        <v>0</v>
      </c>
      <c r="U47" s="20">
        <v>0</v>
      </c>
      <c r="V47" s="20">
        <v>0</v>
      </c>
      <c r="W47" s="20">
        <v>0</v>
      </c>
      <c r="X47" s="20">
        <v>0</v>
      </c>
      <c r="Y47" s="20">
        <v>0</v>
      </c>
      <c r="Z47" s="20">
        <v>0</v>
      </c>
      <c r="AA47" s="20">
        <v>0</v>
      </c>
      <c r="AB47" s="20">
        <v>0</v>
      </c>
      <c r="AC47" s="20">
        <v>0</v>
      </c>
      <c r="AD47" s="20">
        <v>0</v>
      </c>
      <c r="AE47" s="20">
        <v>0</v>
      </c>
      <c r="AF47" s="20">
        <v>0</v>
      </c>
      <c r="AG47" s="20">
        <v>0</v>
      </c>
      <c r="AH47" s="1"/>
      <c r="AI47" s="112">
        <v>4</v>
      </c>
      <c r="AJ47" s="113" t="s">
        <v>170</v>
      </c>
      <c r="AK47" s="1"/>
      <c r="AL47" s="41"/>
      <c r="AM47" s="42"/>
      <c r="AN47" s="43"/>
      <c r="AO47" s="1"/>
      <c r="AP47" s="1"/>
      <c r="AQ47" s="1"/>
      <c r="AR47" s="1"/>
      <c r="AS47" s="1"/>
    </row>
    <row r="48" spans="1:47" ht="12.75" customHeight="1" x14ac:dyDescent="0.2">
      <c r="A48" s="44" t="s">
        <v>171</v>
      </c>
      <c r="B48" s="39">
        <f>(PriceAlberta!B48+PriceBC!B48+BCIndex!B48+Straddle!B48+AlbertaIndex!B48+'Price - East '!B48+Options!B48+PriceEOL!B48+EOLIndex!B48+OptionsIndex!B48+OptionsProp!B48)/SpotRates!$F$36</f>
        <v>-8261191.1562547749</v>
      </c>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1"/>
      <c r="AI48" s="112">
        <v>5</v>
      </c>
      <c r="AJ48" s="113" t="s">
        <v>172</v>
      </c>
      <c r="AK48" s="1"/>
      <c r="AL48" s="41"/>
      <c r="AM48" s="45"/>
      <c r="AN48" s="47"/>
      <c r="AO48" s="41"/>
      <c r="AP48" s="41"/>
      <c r="AQ48" s="41"/>
      <c r="AR48" s="41"/>
      <c r="AS48" s="41"/>
      <c r="AT48" s="46"/>
      <c r="AU48" s="46"/>
    </row>
    <row r="49" spans="1:50" ht="12.75" customHeight="1" x14ac:dyDescent="0.2">
      <c r="A49" s="44" t="s">
        <v>173</v>
      </c>
      <c r="B49" s="39">
        <f>(PriceAlberta!B49+PriceBC!B49+BCIndex!B49+Straddle!B49+AlbertaIndex!B49+'Price - East '!B49+Options!B49+PriceEOL!B49+EOLIndex!B49+OptionsIndex!B49+OptionsProp!B49)/SpotRates!$F$36</f>
        <v>-31645.52466778678</v>
      </c>
      <c r="C49" s="20">
        <v>0</v>
      </c>
      <c r="D49" s="20">
        <v>0</v>
      </c>
      <c r="E49" s="20">
        <v>0</v>
      </c>
      <c r="F49" s="20">
        <v>0</v>
      </c>
      <c r="G49" s="20">
        <v>0</v>
      </c>
      <c r="H49" s="20">
        <v>0</v>
      </c>
      <c r="I49" s="20">
        <v>0</v>
      </c>
      <c r="J49" s="20">
        <v>0</v>
      </c>
      <c r="K49" s="20">
        <v>0</v>
      </c>
      <c r="L49" s="20">
        <v>0</v>
      </c>
      <c r="M49" s="20">
        <v>0</v>
      </c>
      <c r="N49" s="20">
        <v>0</v>
      </c>
      <c r="O49" s="20">
        <v>0</v>
      </c>
      <c r="P49" s="20">
        <v>0</v>
      </c>
      <c r="Q49" s="20">
        <v>0</v>
      </c>
      <c r="R49" s="20">
        <v>0</v>
      </c>
      <c r="S49" s="20">
        <v>0</v>
      </c>
      <c r="T49" s="20">
        <v>0</v>
      </c>
      <c r="U49" s="20">
        <v>0</v>
      </c>
      <c r="V49" s="20">
        <v>0</v>
      </c>
      <c r="W49" s="20">
        <v>0</v>
      </c>
      <c r="X49" s="20">
        <v>0</v>
      </c>
      <c r="Y49" s="20">
        <v>0</v>
      </c>
      <c r="Z49" s="20">
        <v>0</v>
      </c>
      <c r="AA49" s="20">
        <v>0</v>
      </c>
      <c r="AB49" s="20">
        <v>0</v>
      </c>
      <c r="AC49" s="20">
        <v>0</v>
      </c>
      <c r="AD49" s="20">
        <v>0</v>
      </c>
      <c r="AE49" s="20">
        <v>0</v>
      </c>
      <c r="AF49" s="20">
        <v>0</v>
      </c>
      <c r="AG49" s="20">
        <v>0</v>
      </c>
      <c r="AH49" s="1"/>
      <c r="AI49" s="112">
        <v>6</v>
      </c>
      <c r="AJ49" s="113" t="s">
        <v>174</v>
      </c>
      <c r="AK49" s="1"/>
      <c r="AL49" s="41"/>
      <c r="AM49" s="45"/>
      <c r="AN49" s="47"/>
      <c r="AO49" s="41"/>
      <c r="AP49" s="41"/>
      <c r="AQ49" s="41"/>
      <c r="AR49" s="41"/>
      <c r="AS49" s="41"/>
      <c r="AT49" s="46"/>
      <c r="AU49" s="46"/>
    </row>
    <row r="50" spans="1:50" ht="12.75" customHeight="1" x14ac:dyDescent="0.2">
      <c r="A50" s="44" t="s">
        <v>175</v>
      </c>
      <c r="B50" s="39">
        <f>(PriceAlberta!B50+PriceBC!B50+BCIndex!B50+Straddle!B50+AlbertaIndex!B50+'Price - East '!B50+Options!B50+PriceEOL!B50+EOLIndex!B50+OptionsIndex!B50+OptionsProp!B50)/SpotRates!$F$36</f>
        <v>0</v>
      </c>
      <c r="C50" s="20">
        <v>0</v>
      </c>
      <c r="D50" s="20">
        <v>0</v>
      </c>
      <c r="E50" s="20">
        <v>0</v>
      </c>
      <c r="F50" s="20">
        <v>0</v>
      </c>
      <c r="G50" s="20">
        <v>0</v>
      </c>
      <c r="H50" s="20">
        <v>0</v>
      </c>
      <c r="I50" s="20">
        <v>0</v>
      </c>
      <c r="J50" s="20">
        <v>0</v>
      </c>
      <c r="K50" s="20">
        <v>0</v>
      </c>
      <c r="L50" s="20">
        <v>0</v>
      </c>
      <c r="M50" s="20">
        <v>0</v>
      </c>
      <c r="N50" s="20">
        <v>0</v>
      </c>
      <c r="O50" s="20">
        <v>0</v>
      </c>
      <c r="P50" s="20">
        <v>0</v>
      </c>
      <c r="Q50" s="20">
        <v>0</v>
      </c>
      <c r="R50" s="20">
        <v>0</v>
      </c>
      <c r="S50" s="20">
        <v>0</v>
      </c>
      <c r="T50" s="20">
        <v>0</v>
      </c>
      <c r="U50" s="20">
        <v>0</v>
      </c>
      <c r="V50" s="20">
        <v>0</v>
      </c>
      <c r="W50" s="20">
        <v>0</v>
      </c>
      <c r="X50" s="20">
        <v>0</v>
      </c>
      <c r="Y50" s="20">
        <v>0</v>
      </c>
      <c r="Z50" s="20">
        <v>0</v>
      </c>
      <c r="AA50" s="20">
        <v>0</v>
      </c>
      <c r="AB50" s="20">
        <v>0</v>
      </c>
      <c r="AC50" s="20">
        <v>0</v>
      </c>
      <c r="AD50" s="20">
        <v>0</v>
      </c>
      <c r="AE50" s="20">
        <v>0</v>
      </c>
      <c r="AF50" s="20">
        <v>0</v>
      </c>
      <c r="AG50" s="20">
        <v>0</v>
      </c>
      <c r="AH50" s="1"/>
      <c r="AI50" s="114">
        <v>7</v>
      </c>
      <c r="AJ50" s="115" t="s">
        <v>165</v>
      </c>
      <c r="AK50" s="1"/>
      <c r="AL50" s="48"/>
      <c r="AM50" s="48"/>
      <c r="AN50" s="47"/>
      <c r="AO50" s="41"/>
      <c r="AP50" s="41"/>
      <c r="AQ50" s="41"/>
      <c r="AR50" s="41"/>
      <c r="AS50" s="41"/>
      <c r="AT50" s="46"/>
      <c r="AU50" s="46"/>
    </row>
    <row r="51" spans="1:50" ht="12.75" customHeight="1" x14ac:dyDescent="0.2">
      <c r="A51" s="44" t="s">
        <v>176</v>
      </c>
      <c r="B51" s="39">
        <f>(PriceAlberta!B51+PriceBC!B51+BCIndex!B51+Straddle!B51+AlbertaIndex!B51+'Price - East '!B51+Options!B51+PriceEOL!B51+EOLIndex!B51+OptionsIndex!B51+OptionsProp!B51)/SpotRates!$F$36</f>
        <v>3543815.7934932038</v>
      </c>
      <c r="C51" s="20">
        <v>0</v>
      </c>
      <c r="D51" s="20">
        <v>0</v>
      </c>
      <c r="E51" s="20">
        <v>0</v>
      </c>
      <c r="F51" s="20">
        <v>0</v>
      </c>
      <c r="G51" s="20">
        <v>0</v>
      </c>
      <c r="H51" s="20">
        <v>0</v>
      </c>
      <c r="I51" s="20">
        <v>0</v>
      </c>
      <c r="J51" s="20">
        <v>0</v>
      </c>
      <c r="K51" s="20">
        <v>0</v>
      </c>
      <c r="L51" s="20">
        <v>0</v>
      </c>
      <c r="M51" s="20">
        <v>0</v>
      </c>
      <c r="N51" s="20">
        <v>0</v>
      </c>
      <c r="O51" s="20">
        <v>0</v>
      </c>
      <c r="P51" s="20">
        <v>0</v>
      </c>
      <c r="Q51" s="20">
        <v>0</v>
      </c>
      <c r="R51" s="20">
        <v>0</v>
      </c>
      <c r="S51" s="20">
        <v>0</v>
      </c>
      <c r="T51" s="20">
        <v>0</v>
      </c>
      <c r="U51" s="20">
        <v>0</v>
      </c>
      <c r="V51" s="20">
        <v>0</v>
      </c>
      <c r="W51" s="20">
        <v>0</v>
      </c>
      <c r="X51" s="20">
        <v>0</v>
      </c>
      <c r="Y51" s="20">
        <v>0</v>
      </c>
      <c r="Z51" s="20">
        <v>0</v>
      </c>
      <c r="AA51" s="20">
        <v>0</v>
      </c>
      <c r="AB51" s="20">
        <v>0</v>
      </c>
      <c r="AC51" s="20">
        <v>0</v>
      </c>
      <c r="AD51" s="20">
        <v>0</v>
      </c>
      <c r="AE51" s="20">
        <v>0</v>
      </c>
      <c r="AF51" s="20">
        <v>0</v>
      </c>
      <c r="AG51" s="20">
        <v>0</v>
      </c>
      <c r="AH51" s="1"/>
      <c r="AI51" s="46"/>
      <c r="AJ51" s="1"/>
      <c r="AK51" s="1"/>
      <c r="AL51" s="48"/>
      <c r="AM51" s="42"/>
      <c r="AN51" s="43"/>
      <c r="AO51" s="1"/>
      <c r="AP51" s="1"/>
      <c r="AQ51" s="1"/>
      <c r="AR51" s="1"/>
      <c r="AS51" s="1"/>
    </row>
    <row r="52" spans="1:50" ht="12.75" customHeight="1" x14ac:dyDescent="0.2">
      <c r="A52" s="44" t="s">
        <v>177</v>
      </c>
      <c r="B52" s="39">
        <f>(PriceAlberta!B52+PriceBC!B52+BCIndex!B52+Straddle!B52+AlbertaIndex!B52+'Price - East '!B52+Options!B52+PriceEOL!B52+EOLIndex!B52+OptionsIndex!B52+OptionsProp!B52)/SpotRates!$F$36</f>
        <v>0</v>
      </c>
      <c r="C52" s="20">
        <v>0</v>
      </c>
      <c r="D52" s="20">
        <v>0</v>
      </c>
      <c r="E52" s="20">
        <v>0</v>
      </c>
      <c r="F52" s="20">
        <v>0</v>
      </c>
      <c r="G52" s="20">
        <v>0</v>
      </c>
      <c r="H52" s="20">
        <v>0</v>
      </c>
      <c r="I52" s="20">
        <v>0</v>
      </c>
      <c r="J52" s="20">
        <v>0</v>
      </c>
      <c r="K52" s="20">
        <v>0</v>
      </c>
      <c r="L52" s="20">
        <v>0</v>
      </c>
      <c r="M52" s="20">
        <v>0</v>
      </c>
      <c r="N52" s="20">
        <v>0</v>
      </c>
      <c r="O52" s="20">
        <v>0</v>
      </c>
      <c r="P52" s="20">
        <v>0</v>
      </c>
      <c r="Q52" s="20">
        <v>0</v>
      </c>
      <c r="R52" s="20">
        <v>0</v>
      </c>
      <c r="S52" s="20">
        <v>0</v>
      </c>
      <c r="T52" s="20">
        <v>0</v>
      </c>
      <c r="U52" s="20">
        <v>0</v>
      </c>
      <c r="V52" s="20">
        <v>0</v>
      </c>
      <c r="W52" s="20">
        <v>0</v>
      </c>
      <c r="X52" s="20">
        <v>0</v>
      </c>
      <c r="Y52" s="20">
        <v>0</v>
      </c>
      <c r="Z52" s="20">
        <v>0</v>
      </c>
      <c r="AA52" s="20">
        <v>0</v>
      </c>
      <c r="AB52" s="20">
        <v>0</v>
      </c>
      <c r="AC52" s="20">
        <v>0</v>
      </c>
      <c r="AD52" s="20">
        <v>0</v>
      </c>
      <c r="AE52" s="20">
        <v>0</v>
      </c>
      <c r="AF52" s="20">
        <v>0</v>
      </c>
      <c r="AG52" s="20">
        <v>0</v>
      </c>
      <c r="AH52" s="1"/>
      <c r="AI52" s="46"/>
      <c r="AJ52" s="1"/>
      <c r="AK52" s="1"/>
      <c r="AL52" s="48"/>
      <c r="AM52" s="42"/>
      <c r="AN52" s="43"/>
      <c r="AO52" s="1"/>
      <c r="AP52" s="1"/>
      <c r="AQ52" s="1"/>
      <c r="AR52" s="1"/>
      <c r="AS52" s="1"/>
    </row>
    <row r="53" spans="1:50" ht="12.75" customHeight="1" x14ac:dyDescent="0.2">
      <c r="A53" s="22" t="s">
        <v>178</v>
      </c>
      <c r="B53" s="39">
        <f>(PriceAlberta!B53+PriceBC!B53+BCIndex!B53+Straddle!B53+AlbertaIndex!B53+'Price - East '!B53+Options!B53+PriceEOL!B53+EOLIndex!B53+OptionsIndex!B53+OptionsProp!B53)/SpotRates!$F$36</f>
        <v>3779370.4368413021</v>
      </c>
      <c r="C53" s="20">
        <v>0</v>
      </c>
      <c r="D53" s="20">
        <v>0</v>
      </c>
      <c r="E53" s="20">
        <v>0</v>
      </c>
      <c r="F53" s="20">
        <v>0</v>
      </c>
      <c r="G53" s="20">
        <v>0</v>
      </c>
      <c r="H53" s="20">
        <v>0</v>
      </c>
      <c r="I53" s="20">
        <v>0</v>
      </c>
      <c r="J53" s="20">
        <v>0</v>
      </c>
      <c r="K53" s="20">
        <v>0</v>
      </c>
      <c r="L53" s="20">
        <v>0</v>
      </c>
      <c r="M53" s="20">
        <v>0</v>
      </c>
      <c r="N53" s="20">
        <v>0</v>
      </c>
      <c r="O53" s="20">
        <v>0</v>
      </c>
      <c r="P53" s="20">
        <v>0</v>
      </c>
      <c r="Q53" s="20">
        <v>0</v>
      </c>
      <c r="R53" s="20">
        <v>0</v>
      </c>
      <c r="S53" s="20">
        <v>0</v>
      </c>
      <c r="T53" s="20">
        <v>0</v>
      </c>
      <c r="U53" s="20">
        <v>0</v>
      </c>
      <c r="V53" s="20">
        <v>0</v>
      </c>
      <c r="W53" s="20">
        <v>0</v>
      </c>
      <c r="X53" s="20">
        <v>0</v>
      </c>
      <c r="Y53" s="20">
        <v>0</v>
      </c>
      <c r="Z53" s="20">
        <v>0</v>
      </c>
      <c r="AA53" s="20">
        <v>0</v>
      </c>
      <c r="AB53" s="20">
        <v>0</v>
      </c>
      <c r="AC53" s="20">
        <v>0</v>
      </c>
      <c r="AD53" s="20">
        <v>0</v>
      </c>
      <c r="AE53" s="20">
        <v>0</v>
      </c>
      <c r="AF53" s="20">
        <v>0</v>
      </c>
      <c r="AG53" s="20">
        <v>0</v>
      </c>
      <c r="AH53" s="1"/>
      <c r="AJ53" s="1"/>
      <c r="AK53" s="1"/>
      <c r="AL53" s="41"/>
      <c r="AM53" s="42"/>
      <c r="AN53" s="43"/>
      <c r="AO53" s="1"/>
      <c r="AP53" s="1"/>
      <c r="AQ53" s="1"/>
      <c r="AR53" s="1"/>
      <c r="AS53" s="1"/>
    </row>
    <row r="54" spans="1:50" ht="12.75" customHeight="1" x14ac:dyDescent="0.2">
      <c r="A54" s="22" t="s">
        <v>333</v>
      </c>
      <c r="B54" s="39">
        <f>(PriceAlberta!B54+PriceBC!B54+BCIndex!B54+Straddle!B54+AlbertaIndex!B54+'Price - East '!B54+Options!B54+PriceEOL!B54+EOLIndex!B54+OptionsIndex!B54+OptionsProp!B54)/SpotRates!$F$36</f>
        <v>-9929303.4977852479</v>
      </c>
      <c r="C54" s="20">
        <v>0</v>
      </c>
      <c r="D54" s="20">
        <v>0</v>
      </c>
      <c r="E54" s="20">
        <v>0</v>
      </c>
      <c r="F54" s="20">
        <v>0</v>
      </c>
      <c r="G54" s="20">
        <v>0</v>
      </c>
      <c r="H54" s="20">
        <v>0</v>
      </c>
      <c r="I54" s="20">
        <v>0</v>
      </c>
      <c r="J54" s="20">
        <v>0</v>
      </c>
      <c r="K54" s="20">
        <v>0</v>
      </c>
      <c r="L54" s="20">
        <v>0</v>
      </c>
      <c r="M54" s="20">
        <v>0</v>
      </c>
      <c r="N54" s="20">
        <v>0</v>
      </c>
      <c r="O54" s="20">
        <v>0</v>
      </c>
      <c r="P54" s="20">
        <v>0</v>
      </c>
      <c r="Q54" s="20">
        <v>0</v>
      </c>
      <c r="R54" s="20">
        <v>0</v>
      </c>
      <c r="S54" s="20">
        <v>0</v>
      </c>
      <c r="T54" s="20">
        <v>0</v>
      </c>
      <c r="U54" s="20">
        <v>0</v>
      </c>
      <c r="V54" s="20">
        <v>0</v>
      </c>
      <c r="W54" s="20">
        <v>0</v>
      </c>
      <c r="X54" s="20">
        <v>0</v>
      </c>
      <c r="Y54" s="20">
        <v>0</v>
      </c>
      <c r="Z54" s="20">
        <v>0</v>
      </c>
      <c r="AA54" s="20">
        <v>0</v>
      </c>
      <c r="AB54" s="20">
        <v>0</v>
      </c>
      <c r="AC54" s="20">
        <v>0</v>
      </c>
      <c r="AD54" s="20">
        <v>0</v>
      </c>
      <c r="AE54" s="20">
        <v>0</v>
      </c>
      <c r="AF54" s="20">
        <v>0</v>
      </c>
      <c r="AG54" s="20">
        <v>0</v>
      </c>
      <c r="AH54" s="1"/>
      <c r="AJ54" s="1"/>
      <c r="AK54" s="1"/>
      <c r="AL54" s="41"/>
      <c r="AM54" s="42"/>
      <c r="AN54" s="43"/>
      <c r="AO54" s="1"/>
      <c r="AP54" s="1"/>
      <c r="AQ54" s="1"/>
      <c r="AR54" s="1"/>
      <c r="AS54" s="1"/>
    </row>
    <row r="55" spans="1:50" ht="12.75" customHeight="1" x14ac:dyDescent="0.2">
      <c r="A55" s="22" t="s">
        <v>180</v>
      </c>
      <c r="B55" s="39">
        <f>(PriceAlberta!B55+PriceBC!B55+BCIndex!B55+Straddle!B55+AlbertaIndex!B55+'Price - East '!B55+Options!B55+PriceEOL!B55+EOLIndex!B55+OptionsIndex!B55+OptionsProp!B55)/SpotRates!$F$36</f>
        <v>1079845.9981670997</v>
      </c>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1"/>
      <c r="AJ55" s="1"/>
      <c r="AK55" s="1"/>
      <c r="AL55" s="41"/>
      <c r="AM55" s="42"/>
      <c r="AN55" s="43"/>
      <c r="AO55" s="1"/>
      <c r="AP55" s="1"/>
      <c r="AQ55" s="1"/>
      <c r="AR55" s="1"/>
      <c r="AS55" s="1"/>
    </row>
    <row r="56" spans="1:50" ht="12.75" customHeight="1" x14ac:dyDescent="0.2">
      <c r="A56" s="22" t="s">
        <v>181</v>
      </c>
      <c r="B56" s="39">
        <f>(PriceAlberta!B56+PriceBC!B56+BCIndex!B56+Straddle!B56+AlbertaIndex!B56+'Price - East '!B56+Options!B56+PriceEOL!B56+EOLIndex!B56+OptionsIndex!B56+OptionsProp!B56)/SpotRates!$F$36</f>
        <v>-637374.71360928682</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1"/>
      <c r="AI56" s="46"/>
      <c r="AJ56" s="1"/>
      <c r="AK56" s="1"/>
      <c r="AL56" s="41"/>
      <c r="AM56" s="42"/>
      <c r="AN56" s="43"/>
      <c r="AO56" s="1"/>
      <c r="AP56" s="1"/>
      <c r="AQ56" s="1"/>
      <c r="AR56" s="1"/>
      <c r="AS56" s="1"/>
    </row>
    <row r="57" spans="1:50" ht="12.75" customHeight="1" x14ac:dyDescent="0.2">
      <c r="A57" s="44" t="s">
        <v>182</v>
      </c>
      <c r="B57" s="39">
        <f>(PriceAlberta!B57+PriceBC!B57+BCIndex!B57+Straddle!B57+AlbertaIndex!B57+'Price - East '!B57+Options!B57+PriceEOL!B57+EOLIndex!B57+OptionsIndex!B57+OptionsProp!B57)/SpotRates!$F$36</f>
        <v>714985.4131663359</v>
      </c>
      <c r="C57" s="20">
        <v>0</v>
      </c>
      <c r="D57" s="20">
        <v>0</v>
      </c>
      <c r="E57" s="20">
        <v>0</v>
      </c>
      <c r="F57" s="20">
        <v>0</v>
      </c>
      <c r="G57" s="20">
        <v>0</v>
      </c>
      <c r="H57" s="20">
        <v>0</v>
      </c>
      <c r="I57" s="20">
        <v>0</v>
      </c>
      <c r="J57" s="20">
        <v>0</v>
      </c>
      <c r="K57" s="20">
        <v>0</v>
      </c>
      <c r="L57" s="20">
        <v>0</v>
      </c>
      <c r="M57" s="20">
        <v>0</v>
      </c>
      <c r="N57" s="20">
        <v>0</v>
      </c>
      <c r="O57" s="20">
        <v>0</v>
      </c>
      <c r="P57" s="20">
        <v>0</v>
      </c>
      <c r="Q57" s="20">
        <v>0</v>
      </c>
      <c r="R57" s="20">
        <v>0</v>
      </c>
      <c r="S57" s="20">
        <v>0</v>
      </c>
      <c r="T57" s="20">
        <v>0</v>
      </c>
      <c r="U57" s="20">
        <v>0</v>
      </c>
      <c r="V57" s="20">
        <v>0</v>
      </c>
      <c r="W57" s="20">
        <v>0</v>
      </c>
      <c r="X57" s="20">
        <v>0</v>
      </c>
      <c r="Y57" s="20">
        <v>0</v>
      </c>
      <c r="Z57" s="20">
        <v>0</v>
      </c>
      <c r="AA57" s="20">
        <v>0</v>
      </c>
      <c r="AB57" s="20">
        <v>0</v>
      </c>
      <c r="AC57" s="20">
        <v>0</v>
      </c>
      <c r="AD57" s="20">
        <v>0</v>
      </c>
      <c r="AE57" s="20">
        <v>0</v>
      </c>
      <c r="AF57" s="20">
        <v>0</v>
      </c>
      <c r="AG57" s="20">
        <v>0</v>
      </c>
      <c r="AH57" s="1"/>
      <c r="AI57" s="46"/>
      <c r="AJ57" s="1"/>
      <c r="AK57" s="1"/>
      <c r="AL57" s="41"/>
      <c r="AM57" s="42"/>
      <c r="AN57" s="43"/>
      <c r="AO57" s="1"/>
      <c r="AP57" s="1"/>
      <c r="AQ57" s="1"/>
      <c r="AR57" s="1"/>
      <c r="AS57" s="1"/>
    </row>
    <row r="58" spans="1:50" ht="12.75" customHeight="1" x14ac:dyDescent="0.2">
      <c r="A58" s="44" t="s">
        <v>183</v>
      </c>
      <c r="B58" s="39">
        <f>(PriceAlberta!B58+PriceBC!B58+BCIndex!B58+Straddle!B58+AlbertaIndex!B58+'Price - East '!B58+Options!B58+PriceEOL!B58+EOLIndex!B58+OptionsIndex!B58+OptionsProp!B58)/SpotRates!$F$36</f>
        <v>545798.15182526363</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20">
        <v>0</v>
      </c>
      <c r="AF58" s="20">
        <v>0</v>
      </c>
      <c r="AG58" s="20">
        <v>0</v>
      </c>
      <c r="AH58" s="1"/>
      <c r="AI58" s="46"/>
      <c r="AJ58" s="1"/>
      <c r="AK58" s="1"/>
      <c r="AL58" s="41"/>
      <c r="AM58" s="48"/>
      <c r="AN58" s="47"/>
      <c r="AO58" s="41"/>
      <c r="AP58" s="41"/>
      <c r="AQ58" s="41"/>
      <c r="AR58" s="41"/>
      <c r="AS58" s="41"/>
      <c r="AT58" s="46"/>
      <c r="AU58" s="46"/>
      <c r="AV58" s="46"/>
      <c r="AW58" s="46"/>
      <c r="AX58" s="46"/>
    </row>
    <row r="59" spans="1:50" ht="12.75" customHeight="1" x14ac:dyDescent="0.2">
      <c r="A59" s="44" t="s">
        <v>184</v>
      </c>
      <c r="B59" s="39">
        <f>(PriceAlberta!B59+PriceBC!B59+BCIndex!B59+Straddle!B59+AlbertaIndex!B59+'Price - East '!B59+Options!B59+PriceEOL!B59+EOLIndex!B59+OptionsIndex!B59+OptionsProp!B59)/SpotRates!$F$36</f>
        <v>581892.96624408138</v>
      </c>
      <c r="C59" s="20">
        <v>0</v>
      </c>
      <c r="D59" s="20">
        <v>0</v>
      </c>
      <c r="E59" s="20">
        <v>0</v>
      </c>
      <c r="F59" s="20">
        <v>0</v>
      </c>
      <c r="G59" s="20">
        <v>0</v>
      </c>
      <c r="H59" s="20">
        <v>0</v>
      </c>
      <c r="I59" s="20">
        <v>0</v>
      </c>
      <c r="J59" s="20">
        <v>0</v>
      </c>
      <c r="K59" s="20">
        <v>0</v>
      </c>
      <c r="L59" s="20">
        <v>0</v>
      </c>
      <c r="M59" s="20">
        <v>0</v>
      </c>
      <c r="N59" s="20">
        <v>0</v>
      </c>
      <c r="O59" s="20">
        <v>0</v>
      </c>
      <c r="P59" s="20">
        <v>0</v>
      </c>
      <c r="Q59" s="20">
        <v>0</v>
      </c>
      <c r="R59" s="20">
        <v>0</v>
      </c>
      <c r="S59" s="20">
        <v>0</v>
      </c>
      <c r="T59" s="20">
        <v>0</v>
      </c>
      <c r="U59" s="20">
        <v>0</v>
      </c>
      <c r="V59" s="20">
        <v>0</v>
      </c>
      <c r="W59" s="20">
        <v>0</v>
      </c>
      <c r="X59" s="20">
        <v>0</v>
      </c>
      <c r="Y59" s="20">
        <v>0</v>
      </c>
      <c r="Z59" s="20">
        <v>0</v>
      </c>
      <c r="AA59" s="20">
        <v>0</v>
      </c>
      <c r="AB59" s="20">
        <v>0</v>
      </c>
      <c r="AC59" s="20">
        <v>0</v>
      </c>
      <c r="AD59" s="20">
        <v>0</v>
      </c>
      <c r="AE59" s="20">
        <v>0</v>
      </c>
      <c r="AF59" s="20">
        <v>0</v>
      </c>
      <c r="AG59" s="20">
        <v>0</v>
      </c>
      <c r="AH59" s="1"/>
      <c r="AI59" s="46"/>
      <c r="AJ59" s="1"/>
      <c r="AK59" s="1"/>
      <c r="AL59" s="41"/>
      <c r="AM59" s="48"/>
      <c r="AN59" s="47"/>
      <c r="AO59" s="41"/>
      <c r="AP59" s="41"/>
      <c r="AQ59" s="41"/>
      <c r="AR59" s="41"/>
      <c r="AS59" s="41"/>
      <c r="AT59" s="46"/>
      <c r="AU59" s="46"/>
      <c r="AV59" s="46"/>
      <c r="AW59" s="46"/>
      <c r="AX59" s="46"/>
    </row>
    <row r="60" spans="1:50" ht="12.75" customHeight="1" x14ac:dyDescent="0.2">
      <c r="A60" s="44" t="s">
        <v>185</v>
      </c>
      <c r="B60" s="39">
        <f>(PriceAlberta!B60+PriceBC!B60+BCIndex!B60+Straddle!B60+AlbertaIndex!B60+'Price - East '!B60+Options!B60+PriceEOL!B60+EOLIndex!B60+OptionsIndex!B60+OptionsProp!B60)/SpotRates!$F$36</f>
        <v>427074.69069802971</v>
      </c>
      <c r="C60" s="20">
        <v>0</v>
      </c>
      <c r="D60" s="20">
        <v>0</v>
      </c>
      <c r="E60" s="20">
        <v>0</v>
      </c>
      <c r="F60" s="20">
        <v>0</v>
      </c>
      <c r="G60" s="20">
        <v>0</v>
      </c>
      <c r="H60" s="20">
        <v>0</v>
      </c>
      <c r="I60" s="20">
        <v>0</v>
      </c>
      <c r="J60" s="20">
        <v>0</v>
      </c>
      <c r="K60" s="20">
        <v>0</v>
      </c>
      <c r="L60" s="20">
        <v>0</v>
      </c>
      <c r="M60" s="20">
        <v>0</v>
      </c>
      <c r="N60" s="20">
        <v>0</v>
      </c>
      <c r="O60" s="20">
        <v>0</v>
      </c>
      <c r="P60" s="20">
        <v>0</v>
      </c>
      <c r="Q60" s="20">
        <v>0</v>
      </c>
      <c r="R60" s="20">
        <v>0</v>
      </c>
      <c r="S60" s="20">
        <v>0</v>
      </c>
      <c r="T60" s="20">
        <v>0</v>
      </c>
      <c r="U60" s="20">
        <v>0</v>
      </c>
      <c r="V60" s="20">
        <v>0</v>
      </c>
      <c r="W60" s="20">
        <v>0</v>
      </c>
      <c r="X60" s="20">
        <v>0</v>
      </c>
      <c r="Y60" s="20">
        <v>0</v>
      </c>
      <c r="Z60" s="20">
        <v>0</v>
      </c>
      <c r="AA60" s="20">
        <v>0</v>
      </c>
      <c r="AB60" s="20">
        <v>0</v>
      </c>
      <c r="AC60" s="20">
        <v>0</v>
      </c>
      <c r="AD60" s="20">
        <v>0</v>
      </c>
      <c r="AE60" s="20">
        <v>0</v>
      </c>
      <c r="AF60" s="20">
        <v>0</v>
      </c>
      <c r="AG60" s="20">
        <v>0</v>
      </c>
      <c r="AH60" s="1"/>
      <c r="AI60" s="46"/>
      <c r="AJ60" s="1"/>
      <c r="AK60" s="1"/>
      <c r="AL60" s="41"/>
      <c r="AM60" s="48"/>
      <c r="AN60" s="47"/>
      <c r="AO60" s="41"/>
      <c r="AP60" s="41"/>
      <c r="AQ60" s="41"/>
      <c r="AR60" s="41"/>
      <c r="AS60" s="41"/>
      <c r="AT60" s="46"/>
      <c r="AU60" s="46"/>
      <c r="AV60" s="46"/>
      <c r="AW60" s="46"/>
      <c r="AX60" s="46"/>
    </row>
    <row r="61" spans="1:50" ht="12.75" customHeight="1" x14ac:dyDescent="0.2">
      <c r="A61" s="44" t="s">
        <v>186</v>
      </c>
      <c r="B61" s="39">
        <f>(PriceAlberta!B61+PriceBC!B61+BCIndex!B61+Straddle!B61+AlbertaIndex!B61+'Price - East '!B61+Options!B61+PriceEOL!B61+EOLIndex!B61+OptionsIndex!B61+OptionsProp!B61)/SpotRates!$F$36</f>
        <v>-11268.63448907897</v>
      </c>
      <c r="C61" s="20">
        <v>0</v>
      </c>
      <c r="D61" s="20">
        <v>0</v>
      </c>
      <c r="E61" s="20">
        <v>0</v>
      </c>
      <c r="F61" s="20">
        <v>0</v>
      </c>
      <c r="G61" s="20">
        <v>0</v>
      </c>
      <c r="H61" s="20">
        <v>0</v>
      </c>
      <c r="I61" s="20">
        <v>0</v>
      </c>
      <c r="J61" s="20">
        <v>0</v>
      </c>
      <c r="K61" s="20">
        <v>0</v>
      </c>
      <c r="L61" s="20">
        <v>0</v>
      </c>
      <c r="M61" s="20">
        <v>0</v>
      </c>
      <c r="N61" s="20">
        <v>0</v>
      </c>
      <c r="O61" s="20">
        <v>0</v>
      </c>
      <c r="P61" s="20">
        <v>0</v>
      </c>
      <c r="Q61" s="20">
        <v>0</v>
      </c>
      <c r="R61" s="20">
        <v>0</v>
      </c>
      <c r="S61" s="20">
        <v>0</v>
      </c>
      <c r="T61" s="20">
        <v>0</v>
      </c>
      <c r="U61" s="20">
        <v>0</v>
      </c>
      <c r="V61" s="20">
        <v>0</v>
      </c>
      <c r="W61" s="20">
        <v>0</v>
      </c>
      <c r="X61" s="20">
        <v>0</v>
      </c>
      <c r="Y61" s="20">
        <v>0</v>
      </c>
      <c r="Z61" s="20">
        <v>0</v>
      </c>
      <c r="AA61" s="20">
        <v>0</v>
      </c>
      <c r="AB61" s="20">
        <v>0</v>
      </c>
      <c r="AC61" s="20">
        <v>0</v>
      </c>
      <c r="AD61" s="20">
        <v>0</v>
      </c>
      <c r="AE61" s="20">
        <v>0</v>
      </c>
      <c r="AF61" s="20">
        <v>0</v>
      </c>
      <c r="AG61" s="20">
        <v>0</v>
      </c>
      <c r="AH61" s="1"/>
      <c r="AJ61" s="1"/>
      <c r="AK61" s="1"/>
      <c r="AL61" s="41"/>
      <c r="AM61" s="42"/>
      <c r="AN61" s="43"/>
      <c r="AO61" s="1"/>
      <c r="AP61" s="1"/>
      <c r="AQ61" s="1"/>
      <c r="AR61" s="1"/>
      <c r="AS61" s="1"/>
    </row>
    <row r="62" spans="1:50" ht="12.75" customHeight="1" x14ac:dyDescent="0.2">
      <c r="A62" s="44" t="s">
        <v>187</v>
      </c>
      <c r="B62" s="39">
        <f>(PriceAlberta!B62+PriceBC!B62+BCIndex!B62+Straddle!B62+AlbertaIndex!B62+'Price - East '!B62+Options!B62+PriceEOL!B62+EOLIndex!B62+OptionsIndex!B62+OptionsProp!B62)/SpotRates!$F$36</f>
        <v>-272016.87795937073</v>
      </c>
      <c r="C62" s="20">
        <v>0</v>
      </c>
      <c r="D62" s="20">
        <v>0</v>
      </c>
      <c r="E62" s="20">
        <v>0</v>
      </c>
      <c r="F62" s="20">
        <v>0</v>
      </c>
      <c r="G62" s="20">
        <v>0</v>
      </c>
      <c r="H62" s="20">
        <v>0</v>
      </c>
      <c r="I62" s="20">
        <v>0</v>
      </c>
      <c r="J62" s="20">
        <v>0</v>
      </c>
      <c r="K62" s="20">
        <v>0</v>
      </c>
      <c r="L62" s="20">
        <v>0</v>
      </c>
      <c r="M62" s="20">
        <v>0</v>
      </c>
      <c r="N62" s="20">
        <v>0</v>
      </c>
      <c r="O62" s="20">
        <v>0</v>
      </c>
      <c r="P62" s="20">
        <v>0</v>
      </c>
      <c r="Q62" s="20">
        <v>0</v>
      </c>
      <c r="R62" s="20">
        <v>0</v>
      </c>
      <c r="S62" s="20">
        <v>0</v>
      </c>
      <c r="T62" s="20">
        <v>0</v>
      </c>
      <c r="U62" s="20">
        <v>0</v>
      </c>
      <c r="V62" s="20">
        <v>0</v>
      </c>
      <c r="W62" s="20">
        <v>0</v>
      </c>
      <c r="X62" s="20">
        <v>0</v>
      </c>
      <c r="Y62" s="20">
        <v>0</v>
      </c>
      <c r="Z62" s="20">
        <v>0</v>
      </c>
      <c r="AA62" s="20">
        <v>0</v>
      </c>
      <c r="AB62" s="20">
        <v>0</v>
      </c>
      <c r="AC62" s="20">
        <v>0</v>
      </c>
      <c r="AD62" s="20">
        <v>0</v>
      </c>
      <c r="AE62" s="20">
        <v>0</v>
      </c>
      <c r="AF62" s="20">
        <v>0</v>
      </c>
      <c r="AG62" s="20">
        <v>0</v>
      </c>
      <c r="AH62" s="1"/>
      <c r="AJ62" s="1"/>
      <c r="AK62" s="1"/>
      <c r="AL62" s="41"/>
      <c r="AM62" s="42"/>
      <c r="AN62" s="43"/>
      <c r="AO62" s="43"/>
      <c r="AP62" s="1"/>
      <c r="AQ62" s="1"/>
      <c r="AR62" s="1"/>
      <c r="AS62" s="1"/>
    </row>
    <row r="63" spans="1:50" ht="12.75" customHeight="1" x14ac:dyDescent="0.2">
      <c r="A63" s="44" t="s">
        <v>140</v>
      </c>
      <c r="B63" s="39">
        <f>(PriceAlberta!B63+PriceBC!B63+BCIndex!B63+Straddle!B63+AlbertaIndex!B63+'Price - East '!B63+Options!B63+PriceEOL!B63+EOLIndex!B63+OptionsIndex!B63+OptionsProp!B63)/SpotRates!$F$36</f>
        <v>0</v>
      </c>
      <c r="C63" s="20">
        <v>0</v>
      </c>
      <c r="D63" s="20">
        <v>0</v>
      </c>
      <c r="E63" s="20">
        <v>0</v>
      </c>
      <c r="F63" s="20">
        <v>0</v>
      </c>
      <c r="G63" s="20">
        <v>0</v>
      </c>
      <c r="H63" s="20">
        <v>0</v>
      </c>
      <c r="I63" s="20">
        <v>0</v>
      </c>
      <c r="J63" s="20">
        <v>0</v>
      </c>
      <c r="K63" s="20">
        <v>0</v>
      </c>
      <c r="L63" s="20">
        <v>0</v>
      </c>
      <c r="M63" s="20">
        <v>0</v>
      </c>
      <c r="N63" s="20">
        <v>0</v>
      </c>
      <c r="O63" s="20">
        <v>0</v>
      </c>
      <c r="P63" s="20">
        <v>0</v>
      </c>
      <c r="Q63" s="20">
        <v>0</v>
      </c>
      <c r="R63" s="20">
        <v>0</v>
      </c>
      <c r="S63" s="20">
        <v>0</v>
      </c>
      <c r="T63" s="20">
        <v>0</v>
      </c>
      <c r="U63" s="20">
        <v>0</v>
      </c>
      <c r="V63" s="20">
        <v>0</v>
      </c>
      <c r="W63" s="20">
        <v>0</v>
      </c>
      <c r="X63" s="20">
        <v>0</v>
      </c>
      <c r="Y63" s="20">
        <v>0</v>
      </c>
      <c r="Z63" s="20">
        <v>0</v>
      </c>
      <c r="AA63" s="20">
        <v>0</v>
      </c>
      <c r="AB63" s="20">
        <v>0</v>
      </c>
      <c r="AC63" s="20">
        <v>0</v>
      </c>
      <c r="AD63" s="20">
        <v>0</v>
      </c>
      <c r="AE63" s="20">
        <v>0</v>
      </c>
      <c r="AF63" s="20">
        <v>0</v>
      </c>
      <c r="AG63" s="20">
        <v>0</v>
      </c>
      <c r="AH63" s="1"/>
      <c r="AI63" s="46"/>
      <c r="AJ63" s="1"/>
      <c r="AK63" s="1"/>
      <c r="AL63" s="41"/>
      <c r="AM63" s="42"/>
      <c r="AN63" s="43"/>
      <c r="AO63" s="1"/>
      <c r="AP63" s="1"/>
      <c r="AQ63" s="1"/>
      <c r="AR63" s="1"/>
      <c r="AS63" s="1"/>
    </row>
    <row r="64" spans="1:50" ht="12.75" customHeight="1" x14ac:dyDescent="0.2">
      <c r="A64" s="44" t="s">
        <v>188</v>
      </c>
      <c r="B64" s="39">
        <f>(PriceAlberta!B64+PriceBC!B64+BCIndex!B64+Straddle!B64+AlbertaIndex!B64+'Price - East '!B64+Options!B64+PriceEOL!B64+EOLIndex!B64+OptionsIndex!B64+OptionsProp!B64)/SpotRates!$F$36</f>
        <v>38050.061096685509</v>
      </c>
      <c r="C64" s="20">
        <v>0</v>
      </c>
      <c r="D64" s="20">
        <v>0</v>
      </c>
      <c r="E64" s="20">
        <v>0</v>
      </c>
      <c r="F64" s="20">
        <v>0</v>
      </c>
      <c r="G64" s="20">
        <v>0</v>
      </c>
      <c r="H64" s="20">
        <v>0</v>
      </c>
      <c r="I64" s="20">
        <v>0</v>
      </c>
      <c r="J64" s="20">
        <v>0</v>
      </c>
      <c r="K64" s="20">
        <v>0</v>
      </c>
      <c r="L64" s="20">
        <v>0</v>
      </c>
      <c r="M64" s="20">
        <v>0</v>
      </c>
      <c r="N64" s="20">
        <v>0</v>
      </c>
      <c r="O64" s="20">
        <v>0</v>
      </c>
      <c r="P64" s="20">
        <v>0</v>
      </c>
      <c r="Q64" s="20">
        <v>0</v>
      </c>
      <c r="R64" s="20">
        <v>0</v>
      </c>
      <c r="S64" s="20">
        <v>0</v>
      </c>
      <c r="T64" s="20">
        <v>0</v>
      </c>
      <c r="U64" s="20">
        <v>0</v>
      </c>
      <c r="V64" s="20">
        <v>0</v>
      </c>
      <c r="W64" s="20">
        <v>0</v>
      </c>
      <c r="X64" s="20">
        <v>0</v>
      </c>
      <c r="Y64" s="20">
        <v>0</v>
      </c>
      <c r="Z64" s="20">
        <v>0</v>
      </c>
      <c r="AA64" s="20">
        <v>0</v>
      </c>
      <c r="AB64" s="20">
        <v>0</v>
      </c>
      <c r="AC64" s="20">
        <v>0</v>
      </c>
      <c r="AD64" s="20">
        <v>0</v>
      </c>
      <c r="AE64" s="20">
        <v>0</v>
      </c>
      <c r="AF64" s="20">
        <v>0</v>
      </c>
      <c r="AG64" s="20">
        <v>0</v>
      </c>
      <c r="AH64" s="1"/>
      <c r="AI64" s="46"/>
      <c r="AJ64" s="1"/>
      <c r="AK64" s="1"/>
      <c r="AL64" s="48"/>
      <c r="AM64" s="42"/>
      <c r="AN64" s="1"/>
      <c r="AO64" s="1"/>
      <c r="AP64" s="1"/>
      <c r="AQ64" s="1"/>
      <c r="AR64" s="1"/>
      <c r="AS64" s="1"/>
    </row>
    <row r="65" spans="1:45" ht="12.75" customHeight="1" x14ac:dyDescent="0.2">
      <c r="A65" s="22" t="s">
        <v>189</v>
      </c>
      <c r="B65" s="39">
        <f>(PriceAlberta!B65+PriceBC!B65+BCIndex!B65+Straddle!B65+AlbertaIndex!B65+'Price - East '!B65+Options!B65+PriceEOL!B65+EOLIndex!B65+OptionsIndex!B65+OptionsProp!B65)/SpotRates!$F$36</f>
        <v>12978.501603787998</v>
      </c>
      <c r="C65" s="20">
        <v>0</v>
      </c>
      <c r="D65" s="20">
        <v>0</v>
      </c>
      <c r="E65" s="20">
        <v>0</v>
      </c>
      <c r="F65" s="20">
        <v>0</v>
      </c>
      <c r="G65" s="20">
        <v>0</v>
      </c>
      <c r="H65" s="20">
        <v>0</v>
      </c>
      <c r="I65" s="20">
        <v>0</v>
      </c>
      <c r="J65" s="20">
        <v>0</v>
      </c>
      <c r="K65" s="20">
        <v>0</v>
      </c>
      <c r="L65" s="20">
        <v>0</v>
      </c>
      <c r="M65" s="20">
        <v>0</v>
      </c>
      <c r="N65" s="20">
        <v>0</v>
      </c>
      <c r="O65" s="20">
        <v>0</v>
      </c>
      <c r="P65" s="20">
        <v>0</v>
      </c>
      <c r="Q65" s="20">
        <v>0</v>
      </c>
      <c r="R65" s="20">
        <v>0</v>
      </c>
      <c r="S65" s="20">
        <v>0</v>
      </c>
      <c r="T65" s="20">
        <v>0</v>
      </c>
      <c r="U65" s="20">
        <v>0</v>
      </c>
      <c r="V65" s="20">
        <v>0</v>
      </c>
      <c r="W65" s="20">
        <v>0</v>
      </c>
      <c r="X65" s="20">
        <v>0</v>
      </c>
      <c r="Y65" s="20">
        <v>0</v>
      </c>
      <c r="Z65" s="20">
        <v>0</v>
      </c>
      <c r="AA65" s="20">
        <v>0</v>
      </c>
      <c r="AB65" s="20">
        <v>0</v>
      </c>
      <c r="AC65" s="20">
        <v>0</v>
      </c>
      <c r="AD65" s="20">
        <v>0</v>
      </c>
      <c r="AE65" s="20">
        <v>0</v>
      </c>
      <c r="AF65" s="20">
        <v>0</v>
      </c>
      <c r="AG65" s="20">
        <v>0</v>
      </c>
      <c r="AH65" s="1"/>
      <c r="AJ65" s="1"/>
      <c r="AK65" s="1"/>
      <c r="AL65" s="41"/>
      <c r="AM65" s="42"/>
      <c r="AN65" s="1"/>
      <c r="AO65" s="1"/>
      <c r="AP65" s="1"/>
      <c r="AQ65" s="1"/>
      <c r="AR65" s="1"/>
      <c r="AS65" s="1"/>
    </row>
    <row r="66" spans="1:45" ht="12.75" customHeight="1" x14ac:dyDescent="0.2">
      <c r="A66" s="22" t="s">
        <v>190</v>
      </c>
      <c r="B66" s="39">
        <f>(PriceAlberta!B66+PriceBC!B66+BCIndex!B66+Straddle!B66+AlbertaIndex!B66+'Price - East '!B66+Options!B66+PriceEOL!B66+EOLIndex!B66+OptionsIndex!B66+OptionsProp!B66)/SpotRates!$F$36</f>
        <v>0</v>
      </c>
      <c r="C66" s="20">
        <v>0</v>
      </c>
      <c r="D66" s="20">
        <v>0</v>
      </c>
      <c r="E66" s="20">
        <v>0</v>
      </c>
      <c r="F66" s="20">
        <v>0</v>
      </c>
      <c r="G66" s="20">
        <v>0</v>
      </c>
      <c r="H66" s="20">
        <v>0</v>
      </c>
      <c r="I66" s="20">
        <v>0</v>
      </c>
      <c r="J66" s="20">
        <v>0</v>
      </c>
      <c r="K66" s="20">
        <v>0</v>
      </c>
      <c r="L66" s="20">
        <v>0</v>
      </c>
      <c r="M66" s="20">
        <v>0</v>
      </c>
      <c r="N66" s="20">
        <v>0</v>
      </c>
      <c r="O66" s="20">
        <v>0</v>
      </c>
      <c r="P66" s="20">
        <v>0</v>
      </c>
      <c r="Q66" s="20">
        <v>0</v>
      </c>
      <c r="R66" s="20">
        <v>0</v>
      </c>
      <c r="S66" s="20">
        <v>0</v>
      </c>
      <c r="T66" s="20">
        <v>0</v>
      </c>
      <c r="U66" s="20">
        <v>0</v>
      </c>
      <c r="V66" s="20">
        <v>0</v>
      </c>
      <c r="W66" s="20">
        <v>0</v>
      </c>
      <c r="X66" s="20">
        <v>0</v>
      </c>
      <c r="Y66" s="20">
        <v>0</v>
      </c>
      <c r="Z66" s="20">
        <v>0</v>
      </c>
      <c r="AA66" s="20">
        <v>0</v>
      </c>
      <c r="AB66" s="20">
        <v>0</v>
      </c>
      <c r="AC66" s="20">
        <v>0</v>
      </c>
      <c r="AD66" s="20">
        <v>0</v>
      </c>
      <c r="AE66" s="20">
        <v>0</v>
      </c>
      <c r="AF66" s="20">
        <v>0</v>
      </c>
      <c r="AG66" s="20">
        <v>0</v>
      </c>
      <c r="AH66" s="1"/>
      <c r="AI66" s="46"/>
      <c r="AJ66" s="1"/>
      <c r="AK66" s="1"/>
      <c r="AL66" s="41"/>
      <c r="AM66" s="42"/>
      <c r="AN66" s="1"/>
      <c r="AO66" s="1"/>
      <c r="AP66" s="1"/>
      <c r="AQ66" s="1"/>
      <c r="AR66" s="1"/>
      <c r="AS66" s="1"/>
    </row>
    <row r="67" spans="1:45" ht="12.75" customHeight="1" x14ac:dyDescent="0.2">
      <c r="A67" s="22" t="s">
        <v>191</v>
      </c>
      <c r="B67" s="39">
        <f>(PriceAlberta!B67+PriceBC!B67+BCIndex!B67+Straddle!B67+AlbertaIndex!B67+'Price - East '!B67+Options!B67+PriceEOL!B67+EOLIndex!B67+OptionsIndex!B67+OptionsProp!B67)/SpotRates!$F$36</f>
        <v>-42194.898426760359</v>
      </c>
      <c r="C67" s="20">
        <v>0</v>
      </c>
      <c r="D67" s="20">
        <v>0</v>
      </c>
      <c r="E67" s="20">
        <v>0</v>
      </c>
      <c r="F67" s="20">
        <v>0</v>
      </c>
      <c r="G67" s="20">
        <v>0</v>
      </c>
      <c r="H67" s="20">
        <v>0</v>
      </c>
      <c r="I67" s="20">
        <v>0</v>
      </c>
      <c r="J67" s="20">
        <v>0</v>
      </c>
      <c r="K67" s="20">
        <v>0</v>
      </c>
      <c r="L67" s="20">
        <v>0</v>
      </c>
      <c r="M67" s="20">
        <v>0</v>
      </c>
      <c r="N67" s="20">
        <v>0</v>
      </c>
      <c r="O67" s="20">
        <v>0</v>
      </c>
      <c r="P67" s="20">
        <v>0</v>
      </c>
      <c r="Q67" s="20">
        <v>0</v>
      </c>
      <c r="R67" s="20">
        <v>0</v>
      </c>
      <c r="S67" s="20">
        <v>0</v>
      </c>
      <c r="T67" s="20">
        <v>0</v>
      </c>
      <c r="U67" s="20">
        <v>0</v>
      </c>
      <c r="V67" s="20">
        <v>0</v>
      </c>
      <c r="W67" s="20">
        <v>0</v>
      </c>
      <c r="X67" s="20">
        <v>0</v>
      </c>
      <c r="Y67" s="20">
        <v>0</v>
      </c>
      <c r="Z67" s="20">
        <v>0</v>
      </c>
      <c r="AA67" s="20">
        <v>0</v>
      </c>
      <c r="AB67" s="20">
        <v>0</v>
      </c>
      <c r="AC67" s="20">
        <v>0</v>
      </c>
      <c r="AD67" s="20">
        <v>0</v>
      </c>
      <c r="AE67" s="20">
        <v>0</v>
      </c>
      <c r="AF67" s="20">
        <v>0</v>
      </c>
      <c r="AG67" s="20">
        <v>0</v>
      </c>
      <c r="AH67" s="1"/>
      <c r="AI67" s="46"/>
      <c r="AJ67" s="1"/>
      <c r="AK67" s="1"/>
      <c r="AL67" s="41"/>
      <c r="AM67" s="42"/>
      <c r="AN67" s="1"/>
      <c r="AO67" s="1"/>
      <c r="AP67" s="1"/>
      <c r="AQ67" s="1"/>
      <c r="AR67" s="1"/>
      <c r="AS67" s="1"/>
    </row>
    <row r="68" spans="1:45" ht="12.75" customHeight="1" x14ac:dyDescent="0.2">
      <c r="A68" s="22" t="s">
        <v>192</v>
      </c>
      <c r="B68" s="39">
        <f>(PriceAlberta!B68+PriceBC!B68+BCIndex!B68+Straddle!B68+AlbertaIndex!B68+'Price - East '!B68+Options!B68+PriceEOL!B68+EOLIndex!B68+OptionsIndex!B68+OptionsProp!B68)/SpotRates!$F$36</f>
        <v>0</v>
      </c>
      <c r="C68" s="20">
        <v>0</v>
      </c>
      <c r="D68" s="20">
        <v>0</v>
      </c>
      <c r="E68" s="20">
        <v>0</v>
      </c>
      <c r="F68" s="20">
        <v>0</v>
      </c>
      <c r="G68" s="20">
        <v>0</v>
      </c>
      <c r="H68" s="20">
        <v>0</v>
      </c>
      <c r="I68" s="20">
        <v>0</v>
      </c>
      <c r="J68" s="20">
        <v>0</v>
      </c>
      <c r="K68" s="20">
        <v>0</v>
      </c>
      <c r="L68" s="20">
        <v>0</v>
      </c>
      <c r="M68" s="20">
        <v>0</v>
      </c>
      <c r="N68" s="20">
        <v>0</v>
      </c>
      <c r="O68" s="20">
        <v>0</v>
      </c>
      <c r="P68" s="20">
        <v>0</v>
      </c>
      <c r="Q68" s="20">
        <v>0</v>
      </c>
      <c r="R68" s="20">
        <v>0</v>
      </c>
      <c r="S68" s="20">
        <v>0</v>
      </c>
      <c r="T68" s="20">
        <v>0</v>
      </c>
      <c r="U68" s="20">
        <v>0</v>
      </c>
      <c r="V68" s="20">
        <v>0</v>
      </c>
      <c r="W68" s="20">
        <v>0</v>
      </c>
      <c r="X68" s="20">
        <v>0</v>
      </c>
      <c r="Y68" s="20">
        <v>0</v>
      </c>
      <c r="Z68" s="20">
        <v>0</v>
      </c>
      <c r="AA68" s="20">
        <v>0</v>
      </c>
      <c r="AB68" s="20">
        <v>0</v>
      </c>
      <c r="AC68" s="20">
        <v>0</v>
      </c>
      <c r="AD68" s="20">
        <v>0</v>
      </c>
      <c r="AE68" s="20">
        <v>0</v>
      </c>
      <c r="AF68" s="20">
        <v>0</v>
      </c>
      <c r="AG68" s="20">
        <v>0</v>
      </c>
      <c r="AH68" s="1"/>
      <c r="AJ68" s="1"/>
      <c r="AK68" s="1"/>
      <c r="AL68" s="41"/>
      <c r="AM68" s="42"/>
      <c r="AN68" s="1"/>
      <c r="AO68" s="1"/>
      <c r="AP68" s="1"/>
      <c r="AQ68" s="1"/>
      <c r="AR68" s="1"/>
      <c r="AS68" s="1"/>
    </row>
    <row r="69" spans="1:45" ht="12.75" customHeight="1" x14ac:dyDescent="0.2">
      <c r="A69" s="44" t="s">
        <v>193</v>
      </c>
      <c r="B69" s="39">
        <f>(PriceAlberta!B69+PriceBC!B69+BCIndex!B69+Straddle!B69+AlbertaIndex!B69+'Price - East '!B69+Options!B69+PriceEOL!B69+EOLIndex!B69+OptionsIndex!B69+OptionsProp!B69)/SpotRates!$F$36</f>
        <v>0</v>
      </c>
      <c r="C69" s="20">
        <v>0</v>
      </c>
      <c r="D69" s="20">
        <v>0</v>
      </c>
      <c r="E69" s="20">
        <v>0</v>
      </c>
      <c r="F69" s="20">
        <v>0</v>
      </c>
      <c r="G69" s="20">
        <v>0</v>
      </c>
      <c r="H69" s="20">
        <v>0</v>
      </c>
      <c r="I69" s="20">
        <v>0</v>
      </c>
      <c r="J69" s="20">
        <v>0</v>
      </c>
      <c r="K69" s="20">
        <v>0</v>
      </c>
      <c r="L69" s="20">
        <v>0</v>
      </c>
      <c r="M69" s="20">
        <v>0</v>
      </c>
      <c r="N69" s="20">
        <v>0</v>
      </c>
      <c r="O69" s="20">
        <v>0</v>
      </c>
      <c r="P69" s="20">
        <v>0</v>
      </c>
      <c r="Q69" s="20">
        <v>0</v>
      </c>
      <c r="R69" s="20">
        <v>0</v>
      </c>
      <c r="S69" s="20">
        <v>0</v>
      </c>
      <c r="T69" s="20">
        <v>0</v>
      </c>
      <c r="U69" s="20">
        <v>0</v>
      </c>
      <c r="V69" s="20">
        <v>0</v>
      </c>
      <c r="W69" s="20">
        <v>0</v>
      </c>
      <c r="X69" s="20">
        <v>0</v>
      </c>
      <c r="Y69" s="20">
        <v>0</v>
      </c>
      <c r="Z69" s="20">
        <v>0</v>
      </c>
      <c r="AA69" s="20">
        <v>0</v>
      </c>
      <c r="AB69" s="20">
        <v>0</v>
      </c>
      <c r="AC69" s="20">
        <v>0</v>
      </c>
      <c r="AD69" s="20">
        <v>0</v>
      </c>
      <c r="AE69" s="20">
        <v>0</v>
      </c>
      <c r="AF69" s="20">
        <v>0</v>
      </c>
      <c r="AG69" s="20">
        <v>0</v>
      </c>
      <c r="AH69" s="1"/>
      <c r="AI69" s="46"/>
      <c r="AJ69" s="1"/>
      <c r="AK69" s="1"/>
      <c r="AL69" s="41"/>
      <c r="AM69" s="42"/>
      <c r="AN69" s="1"/>
      <c r="AO69" s="1"/>
      <c r="AP69" s="1"/>
      <c r="AQ69" s="1"/>
      <c r="AR69" s="1"/>
      <c r="AS69" s="1"/>
    </row>
    <row r="70" spans="1:45" ht="12.75" customHeight="1" x14ac:dyDescent="0.2">
      <c r="A70" s="22" t="s">
        <v>194</v>
      </c>
      <c r="B70" s="39">
        <f>(PriceAlberta!B70+PriceBC!B70+BCIndex!B70+Straddle!B70+AlbertaIndex!B70+'Price - East '!B70+Options!B70+PriceEOL!B70+EOLIndex!B70+OptionsIndex!B70+OptionsProp!B70)/SpotRates!$F$36</f>
        <v>0</v>
      </c>
      <c r="C70" s="20">
        <v>0</v>
      </c>
      <c r="D70" s="20">
        <v>0</v>
      </c>
      <c r="E70" s="20">
        <v>0</v>
      </c>
      <c r="F70" s="20">
        <v>0</v>
      </c>
      <c r="G70" s="20">
        <v>0</v>
      </c>
      <c r="H70" s="20">
        <v>0</v>
      </c>
      <c r="I70" s="20">
        <v>0</v>
      </c>
      <c r="J70" s="20">
        <v>0</v>
      </c>
      <c r="K70" s="20">
        <v>0</v>
      </c>
      <c r="L70" s="20">
        <v>0</v>
      </c>
      <c r="M70" s="20">
        <v>0</v>
      </c>
      <c r="N70" s="20">
        <v>0</v>
      </c>
      <c r="O70" s="20">
        <v>0</v>
      </c>
      <c r="P70" s="20">
        <v>0</v>
      </c>
      <c r="Q70" s="20">
        <v>0</v>
      </c>
      <c r="R70" s="20">
        <v>0</v>
      </c>
      <c r="S70" s="20">
        <v>0</v>
      </c>
      <c r="T70" s="20">
        <v>0</v>
      </c>
      <c r="U70" s="20">
        <v>0</v>
      </c>
      <c r="V70" s="20">
        <v>0</v>
      </c>
      <c r="W70" s="20">
        <v>0</v>
      </c>
      <c r="X70" s="20">
        <v>0</v>
      </c>
      <c r="Y70" s="20">
        <v>0</v>
      </c>
      <c r="Z70" s="20">
        <v>0</v>
      </c>
      <c r="AA70" s="20">
        <v>0</v>
      </c>
      <c r="AB70" s="20">
        <v>0</v>
      </c>
      <c r="AC70" s="20">
        <v>0</v>
      </c>
      <c r="AD70" s="20">
        <v>0</v>
      </c>
      <c r="AE70" s="20">
        <v>0</v>
      </c>
      <c r="AF70" s="20">
        <v>0</v>
      </c>
      <c r="AG70" s="20">
        <v>0</v>
      </c>
      <c r="AH70" s="1"/>
      <c r="AJ70" s="1"/>
      <c r="AK70" s="1"/>
      <c r="AL70" s="41"/>
      <c r="AM70" s="42"/>
      <c r="AN70" s="1"/>
      <c r="AO70" s="1"/>
      <c r="AP70" s="1"/>
      <c r="AQ70" s="1"/>
      <c r="AR70" s="1"/>
      <c r="AS70" s="1"/>
    </row>
    <row r="71" spans="1:45" ht="12.75" customHeight="1" x14ac:dyDescent="0.2">
      <c r="A71" s="22" t="s">
        <v>195</v>
      </c>
      <c r="B71" s="39" t="s">
        <v>196</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197</v>
      </c>
      <c r="B76" s="52">
        <f>SUM(B47:B75)-B61-B68-B69</f>
        <v>-5044060.6002749363</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AH78" s="24"/>
      <c r="AJ78" s="24"/>
      <c r="AK78" s="20"/>
      <c r="AL78" s="41"/>
      <c r="AM78" s="42"/>
    </row>
    <row r="79" spans="1:45" ht="12.75" customHeight="1" x14ac:dyDescent="0.25">
      <c r="A79" s="56" t="s">
        <v>273</v>
      </c>
      <c r="B79" s="57"/>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t="s">
        <v>161</v>
      </c>
      <c r="C81" s="32">
        <f t="shared" ref="C81:R81" si="9">SUM(C85:C101)</f>
        <v>0</v>
      </c>
      <c r="D81" s="32">
        <f t="shared" si="9"/>
        <v>0</v>
      </c>
      <c r="E81" s="32">
        <f t="shared" si="9"/>
        <v>0</v>
      </c>
      <c r="F81" s="32">
        <f t="shared" si="9"/>
        <v>0</v>
      </c>
      <c r="G81" s="32">
        <f t="shared" si="9"/>
        <v>0</v>
      </c>
      <c r="H81" s="32">
        <f t="shared" si="9"/>
        <v>0</v>
      </c>
      <c r="I81" s="32">
        <f t="shared" si="9"/>
        <v>0</v>
      </c>
      <c r="J81" s="32">
        <f t="shared" si="9"/>
        <v>0</v>
      </c>
      <c r="K81" s="32">
        <f t="shared" si="9"/>
        <v>0</v>
      </c>
      <c r="L81" s="32">
        <f t="shared" si="9"/>
        <v>0</v>
      </c>
      <c r="M81" s="32">
        <f t="shared" si="9"/>
        <v>0</v>
      </c>
      <c r="N81" s="32">
        <f t="shared" si="9"/>
        <v>0</v>
      </c>
      <c r="O81" s="32">
        <f t="shared" si="9"/>
        <v>0</v>
      </c>
      <c r="P81" s="32">
        <f t="shared" si="9"/>
        <v>0</v>
      </c>
      <c r="Q81" s="32">
        <f t="shared" si="9"/>
        <v>0</v>
      </c>
      <c r="R81" s="32">
        <f t="shared" si="9"/>
        <v>0</v>
      </c>
      <c r="S81" s="32">
        <f t="shared" ref="S81:AG81" si="10">SUM(S85:S101)</f>
        <v>0</v>
      </c>
      <c r="T81" s="32">
        <f t="shared" si="10"/>
        <v>0</v>
      </c>
      <c r="U81" s="32">
        <f t="shared" si="10"/>
        <v>0</v>
      </c>
      <c r="V81" s="32">
        <f t="shared" si="10"/>
        <v>0</v>
      </c>
      <c r="W81" s="32">
        <f t="shared" si="10"/>
        <v>0</v>
      </c>
      <c r="X81" s="32">
        <f t="shared" si="10"/>
        <v>0</v>
      </c>
      <c r="Y81" s="32">
        <f t="shared" si="10"/>
        <v>0</v>
      </c>
      <c r="Z81" s="32">
        <f t="shared" si="10"/>
        <v>0</v>
      </c>
      <c r="AA81" s="32">
        <f t="shared" si="10"/>
        <v>0</v>
      </c>
      <c r="AB81" s="32">
        <f t="shared" si="10"/>
        <v>0</v>
      </c>
      <c r="AC81" s="32">
        <f t="shared" si="10"/>
        <v>0</v>
      </c>
      <c r="AD81" s="32">
        <f t="shared" si="10"/>
        <v>0</v>
      </c>
      <c r="AE81" s="32">
        <f t="shared" si="10"/>
        <v>0</v>
      </c>
      <c r="AF81" s="32">
        <f t="shared" si="10"/>
        <v>0</v>
      </c>
      <c r="AG81" s="32">
        <f t="shared" si="10"/>
        <v>0</v>
      </c>
      <c r="AH81" s="1"/>
      <c r="AI81" s="117"/>
      <c r="AJ81" s="118"/>
      <c r="AK81" s="1"/>
      <c r="AL81" s="33"/>
      <c r="AN81" s="1"/>
      <c r="AO81" s="1"/>
      <c r="AP81" s="1"/>
      <c r="AQ81" s="1"/>
      <c r="AR81" s="1"/>
      <c r="AS81" s="1"/>
    </row>
    <row r="82" spans="1:45" s="99" customFormat="1" ht="12.75" customHeight="1" x14ac:dyDescent="0.25">
      <c r="A82" s="216" t="s">
        <v>199</v>
      </c>
      <c r="B82" s="116">
        <f t="shared" ref="B82:AG82" si="11">B44</f>
        <v>36831</v>
      </c>
      <c r="C82" s="104">
        <f t="shared" si="11"/>
        <v>36831</v>
      </c>
      <c r="D82" s="104">
        <f t="shared" si="11"/>
        <v>36832</v>
      </c>
      <c r="E82" s="104">
        <f t="shared" si="11"/>
        <v>36833</v>
      </c>
      <c r="F82" s="104">
        <f t="shared" si="11"/>
        <v>36834</v>
      </c>
      <c r="G82" s="104">
        <f t="shared" si="11"/>
        <v>36835</v>
      </c>
      <c r="H82" s="104">
        <f t="shared" si="11"/>
        <v>36836</v>
      </c>
      <c r="I82" s="104">
        <f t="shared" si="11"/>
        <v>36837</v>
      </c>
      <c r="J82" s="104">
        <f t="shared" si="11"/>
        <v>36838</v>
      </c>
      <c r="K82" s="104">
        <f t="shared" si="11"/>
        <v>36839</v>
      </c>
      <c r="L82" s="104">
        <f t="shared" si="11"/>
        <v>36840</v>
      </c>
      <c r="M82" s="104">
        <f t="shared" si="11"/>
        <v>36841</v>
      </c>
      <c r="N82" s="104">
        <f t="shared" si="11"/>
        <v>36842</v>
      </c>
      <c r="O82" s="104">
        <f t="shared" si="11"/>
        <v>36843</v>
      </c>
      <c r="P82" s="104">
        <f t="shared" si="11"/>
        <v>36844</v>
      </c>
      <c r="Q82" s="104">
        <f t="shared" si="11"/>
        <v>36845</v>
      </c>
      <c r="R82" s="104">
        <f t="shared" si="11"/>
        <v>36846</v>
      </c>
      <c r="S82" s="104">
        <f t="shared" si="11"/>
        <v>36847</v>
      </c>
      <c r="T82" s="104">
        <f t="shared" si="11"/>
        <v>36848</v>
      </c>
      <c r="U82" s="104">
        <f t="shared" si="11"/>
        <v>36849</v>
      </c>
      <c r="V82" s="104">
        <f t="shared" si="11"/>
        <v>36850</v>
      </c>
      <c r="W82" s="104">
        <f t="shared" si="11"/>
        <v>36851</v>
      </c>
      <c r="X82" s="104">
        <f t="shared" si="11"/>
        <v>36852</v>
      </c>
      <c r="Y82" s="104">
        <f t="shared" si="11"/>
        <v>36853</v>
      </c>
      <c r="Z82" s="104">
        <f t="shared" si="11"/>
        <v>36854</v>
      </c>
      <c r="AA82" s="104">
        <f t="shared" si="11"/>
        <v>36855</v>
      </c>
      <c r="AB82" s="104">
        <f t="shared" si="11"/>
        <v>36856</v>
      </c>
      <c r="AC82" s="104">
        <f t="shared" si="11"/>
        <v>36857</v>
      </c>
      <c r="AD82" s="104">
        <f t="shared" si="11"/>
        <v>36858</v>
      </c>
      <c r="AE82" s="104">
        <f t="shared" si="11"/>
        <v>36859</v>
      </c>
      <c r="AF82" s="104">
        <f t="shared" si="11"/>
        <v>36860</v>
      </c>
      <c r="AG82" s="104">
        <f t="shared" si="11"/>
        <v>36861</v>
      </c>
      <c r="AI82" s="117"/>
      <c r="AJ82" s="119"/>
      <c r="AL82" s="100"/>
    </row>
    <row r="83" spans="1:45" ht="12.75" customHeight="1" x14ac:dyDescent="0.25">
      <c r="A83" s="34"/>
      <c r="B83" s="34"/>
      <c r="C83" s="105" t="str">
        <f t="shared" ref="C83:AG83" si="12">C45</f>
        <v>W</v>
      </c>
      <c r="D83" s="105" t="str">
        <f t="shared" si="12"/>
        <v>R</v>
      </c>
      <c r="E83" s="105" t="str">
        <f t="shared" si="12"/>
        <v>F</v>
      </c>
      <c r="F83" s="105" t="str">
        <f t="shared" si="12"/>
        <v>S</v>
      </c>
      <c r="G83" s="105" t="str">
        <f t="shared" si="12"/>
        <v>S</v>
      </c>
      <c r="H83" s="105" t="str">
        <f t="shared" si="12"/>
        <v>M</v>
      </c>
      <c r="I83" s="105" t="str">
        <f t="shared" si="12"/>
        <v>T</v>
      </c>
      <c r="J83" s="105" t="str">
        <f t="shared" si="12"/>
        <v>W</v>
      </c>
      <c r="K83" s="105" t="str">
        <f t="shared" si="12"/>
        <v>R</v>
      </c>
      <c r="L83" s="105" t="str">
        <f t="shared" si="12"/>
        <v>F</v>
      </c>
      <c r="M83" s="105" t="str">
        <f t="shared" si="12"/>
        <v>S</v>
      </c>
      <c r="N83" s="105" t="str">
        <f t="shared" si="12"/>
        <v>S</v>
      </c>
      <c r="O83" s="105" t="str">
        <f t="shared" si="12"/>
        <v>M</v>
      </c>
      <c r="P83" s="105" t="str">
        <f t="shared" si="12"/>
        <v>T</v>
      </c>
      <c r="Q83" s="105" t="str">
        <f t="shared" si="12"/>
        <v>W</v>
      </c>
      <c r="R83" s="105" t="str">
        <f t="shared" si="12"/>
        <v>R</v>
      </c>
      <c r="S83" s="105" t="str">
        <f t="shared" si="12"/>
        <v>F</v>
      </c>
      <c r="T83" s="105" t="str">
        <f t="shared" si="12"/>
        <v>S</v>
      </c>
      <c r="U83" s="105" t="str">
        <f t="shared" si="12"/>
        <v>S</v>
      </c>
      <c r="V83" s="105" t="str">
        <f t="shared" si="12"/>
        <v>M</v>
      </c>
      <c r="W83" s="105" t="str">
        <f t="shared" si="12"/>
        <v>T</v>
      </c>
      <c r="X83" s="105" t="str">
        <f t="shared" si="12"/>
        <v>W</v>
      </c>
      <c r="Y83" s="105" t="str">
        <f t="shared" si="12"/>
        <v>R</v>
      </c>
      <c r="Z83" s="105" t="str">
        <f t="shared" si="12"/>
        <v>F</v>
      </c>
      <c r="AA83" s="105" t="str">
        <f t="shared" si="12"/>
        <v>S</v>
      </c>
      <c r="AB83" s="105" t="str">
        <f t="shared" si="12"/>
        <v>S</v>
      </c>
      <c r="AC83" s="105" t="str">
        <f t="shared" si="12"/>
        <v>M</v>
      </c>
      <c r="AD83" s="105" t="str">
        <f t="shared" si="12"/>
        <v>T</v>
      </c>
      <c r="AE83" s="105" t="str">
        <f t="shared" si="12"/>
        <v>W</v>
      </c>
      <c r="AF83" s="105" t="str">
        <f t="shared" si="12"/>
        <v>R</v>
      </c>
      <c r="AG83" s="105" t="str">
        <f t="shared" si="12"/>
        <v>F</v>
      </c>
      <c r="AH83" s="1"/>
      <c r="AI83" s="117"/>
      <c r="AJ83" s="118"/>
      <c r="AK83" s="1"/>
      <c r="AL83" s="24"/>
      <c r="AN83" s="1"/>
      <c r="AO83" s="1"/>
      <c r="AP83" s="1"/>
      <c r="AQ83" s="1"/>
      <c r="AR83" s="1"/>
      <c r="AS83" s="1"/>
    </row>
    <row r="84" spans="1:45" ht="12.75" customHeight="1" thickBot="1" x14ac:dyDescent="0.3">
      <c r="A84" s="217"/>
      <c r="B84" s="35" t="s">
        <v>167</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200</v>
      </c>
      <c r="B85" s="39">
        <f t="shared" ref="B85:B97" si="13">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201</v>
      </c>
      <c r="B86" s="39">
        <f t="shared" si="13"/>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202</v>
      </c>
      <c r="B87" s="39">
        <f t="shared" si="13"/>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203</v>
      </c>
      <c r="B88" s="39">
        <f t="shared" si="13"/>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204</v>
      </c>
      <c r="B89" s="39">
        <f t="shared" si="13"/>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205</v>
      </c>
      <c r="B90" s="39">
        <f t="shared" si="13"/>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206</v>
      </c>
      <c r="B91" s="39">
        <f t="shared" si="13"/>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207</v>
      </c>
      <c r="B92" s="39">
        <f t="shared" si="13"/>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208</v>
      </c>
      <c r="B93" s="39">
        <f t="shared" si="13"/>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209</v>
      </c>
      <c r="B94" s="39">
        <f t="shared" si="13"/>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210</v>
      </c>
      <c r="B95" s="39">
        <f t="shared" si="13"/>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211</v>
      </c>
      <c r="B96" s="39">
        <f t="shared" si="13"/>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212</v>
      </c>
      <c r="B97" s="39">
        <f t="shared" si="13"/>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19" t="s">
        <v>213</v>
      </c>
      <c r="B102" s="51">
        <f>SUM(B87:B101)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161</v>
      </c>
      <c r="C104" s="32">
        <f t="shared" ref="C104:R104" si="14">SUM(C108:C117)</f>
        <v>0</v>
      </c>
      <c r="D104" s="32">
        <f t="shared" si="14"/>
        <v>0</v>
      </c>
      <c r="E104" s="32">
        <f t="shared" si="14"/>
        <v>0</v>
      </c>
      <c r="F104" s="32">
        <f t="shared" si="14"/>
        <v>0</v>
      </c>
      <c r="G104" s="32">
        <f t="shared" si="14"/>
        <v>0</v>
      </c>
      <c r="H104" s="32">
        <f t="shared" si="14"/>
        <v>0</v>
      </c>
      <c r="I104" s="32">
        <f t="shared" si="14"/>
        <v>0</v>
      </c>
      <c r="J104" s="32">
        <f t="shared" si="14"/>
        <v>0</v>
      </c>
      <c r="K104" s="32">
        <f t="shared" si="14"/>
        <v>0</v>
      </c>
      <c r="L104" s="32">
        <f t="shared" si="14"/>
        <v>0</v>
      </c>
      <c r="M104" s="32">
        <f t="shared" si="14"/>
        <v>0</v>
      </c>
      <c r="N104" s="32">
        <f t="shared" si="14"/>
        <v>0</v>
      </c>
      <c r="O104" s="32">
        <f t="shared" si="14"/>
        <v>0</v>
      </c>
      <c r="P104" s="32">
        <f t="shared" si="14"/>
        <v>0</v>
      </c>
      <c r="Q104" s="32">
        <f t="shared" si="14"/>
        <v>0</v>
      </c>
      <c r="R104" s="32">
        <f t="shared" si="14"/>
        <v>0</v>
      </c>
      <c r="S104" s="32">
        <f t="shared" ref="S104:AG104" si="15">SUM(S108:S117)</f>
        <v>0</v>
      </c>
      <c r="T104" s="32">
        <f t="shared" si="15"/>
        <v>0</v>
      </c>
      <c r="U104" s="32">
        <f t="shared" si="15"/>
        <v>0</v>
      </c>
      <c r="V104" s="32">
        <f t="shared" si="15"/>
        <v>0</v>
      </c>
      <c r="W104" s="32">
        <f t="shared" si="15"/>
        <v>0</v>
      </c>
      <c r="X104" s="32">
        <f t="shared" si="15"/>
        <v>0</v>
      </c>
      <c r="Y104" s="32">
        <f t="shared" si="15"/>
        <v>0</v>
      </c>
      <c r="Z104" s="32">
        <f t="shared" si="15"/>
        <v>0</v>
      </c>
      <c r="AA104" s="32">
        <f t="shared" si="15"/>
        <v>0</v>
      </c>
      <c r="AB104" s="32">
        <f t="shared" si="15"/>
        <v>0</v>
      </c>
      <c r="AC104" s="32">
        <f t="shared" si="15"/>
        <v>0</v>
      </c>
      <c r="AD104" s="32">
        <f t="shared" si="15"/>
        <v>0</v>
      </c>
      <c r="AE104" s="32">
        <f t="shared" si="15"/>
        <v>0</v>
      </c>
      <c r="AF104" s="32">
        <f t="shared" si="15"/>
        <v>0</v>
      </c>
      <c r="AG104" s="32">
        <f t="shared" si="15"/>
        <v>0</v>
      </c>
      <c r="AH104" s="1"/>
      <c r="AI104" s="117"/>
      <c r="AJ104" s="118"/>
      <c r="AK104" s="1"/>
      <c r="AL104" s="33"/>
      <c r="AN104" s="1"/>
      <c r="AO104" s="1"/>
      <c r="AP104" s="1"/>
      <c r="AQ104" s="1"/>
      <c r="AR104" s="1"/>
      <c r="AS104" s="1"/>
    </row>
    <row r="105" spans="1:45" s="99" customFormat="1" ht="12.75" customHeight="1" x14ac:dyDescent="0.25">
      <c r="A105" s="216" t="s">
        <v>214</v>
      </c>
      <c r="B105" s="116">
        <f t="shared" ref="B105:AG105" si="16">B44</f>
        <v>36831</v>
      </c>
      <c r="C105" s="104">
        <f t="shared" si="16"/>
        <v>36831</v>
      </c>
      <c r="D105" s="104">
        <f t="shared" si="16"/>
        <v>36832</v>
      </c>
      <c r="E105" s="104">
        <f t="shared" si="16"/>
        <v>36833</v>
      </c>
      <c r="F105" s="104">
        <f t="shared" si="16"/>
        <v>36834</v>
      </c>
      <c r="G105" s="104">
        <f t="shared" si="16"/>
        <v>36835</v>
      </c>
      <c r="H105" s="104">
        <f t="shared" si="16"/>
        <v>36836</v>
      </c>
      <c r="I105" s="104">
        <f t="shared" si="16"/>
        <v>36837</v>
      </c>
      <c r="J105" s="104">
        <f t="shared" si="16"/>
        <v>36838</v>
      </c>
      <c r="K105" s="104">
        <f t="shared" si="16"/>
        <v>36839</v>
      </c>
      <c r="L105" s="104">
        <f t="shared" si="16"/>
        <v>36840</v>
      </c>
      <c r="M105" s="104">
        <f t="shared" si="16"/>
        <v>36841</v>
      </c>
      <c r="N105" s="104">
        <f t="shared" si="16"/>
        <v>36842</v>
      </c>
      <c r="O105" s="104">
        <f t="shared" si="16"/>
        <v>36843</v>
      </c>
      <c r="P105" s="104">
        <f t="shared" si="16"/>
        <v>36844</v>
      </c>
      <c r="Q105" s="104">
        <f t="shared" si="16"/>
        <v>36845</v>
      </c>
      <c r="R105" s="104">
        <f t="shared" si="16"/>
        <v>36846</v>
      </c>
      <c r="S105" s="104">
        <f t="shared" si="16"/>
        <v>36847</v>
      </c>
      <c r="T105" s="104">
        <f t="shared" si="16"/>
        <v>36848</v>
      </c>
      <c r="U105" s="104">
        <f t="shared" si="16"/>
        <v>36849</v>
      </c>
      <c r="V105" s="104">
        <f t="shared" si="16"/>
        <v>36850</v>
      </c>
      <c r="W105" s="104">
        <f t="shared" si="16"/>
        <v>36851</v>
      </c>
      <c r="X105" s="104">
        <f t="shared" si="16"/>
        <v>36852</v>
      </c>
      <c r="Y105" s="104">
        <f t="shared" si="16"/>
        <v>36853</v>
      </c>
      <c r="Z105" s="104">
        <f t="shared" si="16"/>
        <v>36854</v>
      </c>
      <c r="AA105" s="104">
        <f t="shared" si="16"/>
        <v>36855</v>
      </c>
      <c r="AB105" s="104">
        <f t="shared" si="16"/>
        <v>36856</v>
      </c>
      <c r="AC105" s="104">
        <f t="shared" si="16"/>
        <v>36857</v>
      </c>
      <c r="AD105" s="104">
        <f t="shared" si="16"/>
        <v>36858</v>
      </c>
      <c r="AE105" s="104">
        <f t="shared" si="16"/>
        <v>36859</v>
      </c>
      <c r="AF105" s="104">
        <f t="shared" si="16"/>
        <v>36860</v>
      </c>
      <c r="AG105" s="104">
        <f t="shared" si="16"/>
        <v>36861</v>
      </c>
      <c r="AI105" s="117"/>
      <c r="AJ105" s="119"/>
      <c r="AL105" s="100"/>
    </row>
    <row r="106" spans="1:45" ht="12.75" customHeight="1" x14ac:dyDescent="0.25">
      <c r="A106" s="34"/>
      <c r="B106" s="34"/>
      <c r="C106" s="105" t="str">
        <f t="shared" ref="C106:AG106" si="17">C45</f>
        <v>W</v>
      </c>
      <c r="D106" s="105" t="str">
        <f t="shared" si="17"/>
        <v>R</v>
      </c>
      <c r="E106" s="105" t="str">
        <f t="shared" si="17"/>
        <v>F</v>
      </c>
      <c r="F106" s="105" t="str">
        <f t="shared" si="17"/>
        <v>S</v>
      </c>
      <c r="G106" s="105" t="str">
        <f t="shared" si="17"/>
        <v>S</v>
      </c>
      <c r="H106" s="105" t="str">
        <f t="shared" si="17"/>
        <v>M</v>
      </c>
      <c r="I106" s="105" t="str">
        <f t="shared" si="17"/>
        <v>T</v>
      </c>
      <c r="J106" s="105" t="str">
        <f t="shared" si="17"/>
        <v>W</v>
      </c>
      <c r="K106" s="105" t="str">
        <f t="shared" si="17"/>
        <v>R</v>
      </c>
      <c r="L106" s="105" t="str">
        <f t="shared" si="17"/>
        <v>F</v>
      </c>
      <c r="M106" s="105" t="str">
        <f t="shared" si="17"/>
        <v>S</v>
      </c>
      <c r="N106" s="105" t="str">
        <f t="shared" si="17"/>
        <v>S</v>
      </c>
      <c r="O106" s="105" t="str">
        <f t="shared" si="17"/>
        <v>M</v>
      </c>
      <c r="P106" s="105" t="str">
        <f t="shared" si="17"/>
        <v>T</v>
      </c>
      <c r="Q106" s="105" t="str">
        <f t="shared" si="17"/>
        <v>W</v>
      </c>
      <c r="R106" s="105" t="str">
        <f t="shared" si="17"/>
        <v>R</v>
      </c>
      <c r="S106" s="105" t="str">
        <f t="shared" si="17"/>
        <v>F</v>
      </c>
      <c r="T106" s="105" t="str">
        <f t="shared" si="17"/>
        <v>S</v>
      </c>
      <c r="U106" s="105" t="str">
        <f t="shared" si="17"/>
        <v>S</v>
      </c>
      <c r="V106" s="105" t="str">
        <f t="shared" si="17"/>
        <v>M</v>
      </c>
      <c r="W106" s="105" t="str">
        <f t="shared" si="17"/>
        <v>T</v>
      </c>
      <c r="X106" s="105" t="str">
        <f t="shared" si="17"/>
        <v>W</v>
      </c>
      <c r="Y106" s="105" t="str">
        <f t="shared" si="17"/>
        <v>R</v>
      </c>
      <c r="Z106" s="105" t="str">
        <f t="shared" si="17"/>
        <v>F</v>
      </c>
      <c r="AA106" s="105" t="str">
        <f t="shared" si="17"/>
        <v>S</v>
      </c>
      <c r="AB106" s="105" t="str">
        <f t="shared" si="17"/>
        <v>S</v>
      </c>
      <c r="AC106" s="105" t="str">
        <f t="shared" si="17"/>
        <v>M</v>
      </c>
      <c r="AD106" s="105" t="str">
        <f t="shared" si="17"/>
        <v>T</v>
      </c>
      <c r="AE106" s="105" t="str">
        <f t="shared" si="17"/>
        <v>W</v>
      </c>
      <c r="AF106" s="105" t="str">
        <f t="shared" si="17"/>
        <v>R</v>
      </c>
      <c r="AG106" s="105" t="str">
        <f t="shared" si="17"/>
        <v>F</v>
      </c>
      <c r="AH106" s="1"/>
      <c r="AI106" s="117"/>
      <c r="AJ106" s="118"/>
      <c r="AK106" s="1"/>
      <c r="AL106" s="24"/>
      <c r="AN106" s="1"/>
      <c r="AO106" s="1"/>
      <c r="AP106" s="1"/>
      <c r="AQ106" s="1"/>
      <c r="AR106" s="1"/>
      <c r="AS106" s="1"/>
    </row>
    <row r="107" spans="1:45" ht="12.75" customHeight="1" thickBot="1" x14ac:dyDescent="0.3">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205</v>
      </c>
      <c r="B108" s="39">
        <f t="shared" ref="B108:B113" si="18">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207</v>
      </c>
      <c r="B109" s="39">
        <f t="shared" si="18"/>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208</v>
      </c>
      <c r="B110" s="39">
        <f t="shared" si="18"/>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209</v>
      </c>
      <c r="B111" s="39">
        <f t="shared" si="18"/>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210</v>
      </c>
      <c r="B112" s="39">
        <f t="shared" si="18"/>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212</v>
      </c>
      <c r="B113" s="39">
        <f t="shared" si="18"/>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216</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217</v>
      </c>
      <c r="B124" s="76"/>
      <c r="C124" s="77"/>
      <c r="D124" s="77"/>
      <c r="E124" s="78"/>
      <c r="G124" s="75" t="s">
        <v>218</v>
      </c>
      <c r="H124" s="75"/>
      <c r="I124" s="76"/>
      <c r="J124" s="77"/>
      <c r="K124" s="77"/>
      <c r="L124" s="78"/>
      <c r="M124" s="9"/>
      <c r="N124" s="9"/>
      <c r="O124" s="1"/>
      <c r="P124" s="1"/>
    </row>
    <row r="125" spans="1:39" ht="12.75" customHeight="1" thickTop="1" x14ac:dyDescent="0.2">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
      <c r="A126" s="152" t="s">
        <v>253</v>
      </c>
      <c r="B126" s="24" t="s">
        <v>254</v>
      </c>
      <c r="C126" s="24"/>
      <c r="D126" s="38"/>
      <c r="E126" s="141">
        <f>-16307313-1</f>
        <v>-16307314</v>
      </c>
      <c r="G126" s="79"/>
      <c r="H126" s="80"/>
      <c r="I126" s="24"/>
      <c r="J126" s="1"/>
      <c r="K126" s="149"/>
      <c r="L126" s="141"/>
      <c r="M126" s="1"/>
      <c r="N126" s="1"/>
      <c r="O126" s="1"/>
      <c r="P126" s="1"/>
    </row>
    <row r="127" spans="1:39" ht="12.75" customHeight="1" x14ac:dyDescent="0.2">
      <c r="A127" s="436" t="s">
        <v>222</v>
      </c>
      <c r="B127" s="24" t="s">
        <v>223</v>
      </c>
      <c r="C127" s="1"/>
      <c r="D127" s="49"/>
      <c r="E127" s="141">
        <v>-9060279</v>
      </c>
      <c r="G127" s="81"/>
      <c r="H127" s="9"/>
      <c r="I127" s="82"/>
      <c r="J127" s="1"/>
      <c r="K127" s="149"/>
      <c r="L127" s="141"/>
      <c r="M127" s="1"/>
      <c r="N127" s="1"/>
      <c r="O127" s="1"/>
      <c r="P127" s="1"/>
    </row>
    <row r="128" spans="1:39" ht="12.75" customHeight="1" x14ac:dyDescent="0.2">
      <c r="A128" s="436" t="s">
        <v>224</v>
      </c>
      <c r="B128" s="24" t="s">
        <v>225</v>
      </c>
      <c r="C128" s="1"/>
      <c r="D128" s="49"/>
      <c r="E128" s="141">
        <v>-14320697</v>
      </c>
      <c r="G128" s="81"/>
      <c r="H128" s="24"/>
      <c r="I128" s="1"/>
      <c r="J128" s="1"/>
      <c r="K128" s="149"/>
      <c r="L128" s="141"/>
      <c r="M128" s="1"/>
      <c r="N128" s="1"/>
      <c r="O128" s="1"/>
      <c r="P128" s="1"/>
    </row>
    <row r="129" spans="1:16" ht="12.75" customHeight="1" x14ac:dyDescent="0.2">
      <c r="A129" s="153">
        <v>36161</v>
      </c>
      <c r="B129" s="24" t="s">
        <v>226</v>
      </c>
      <c r="C129" s="1"/>
      <c r="D129" s="38"/>
      <c r="E129" s="141">
        <f>89879-772067-15407-17173</f>
        <v>-714768</v>
      </c>
      <c r="G129" s="81"/>
      <c r="H129" s="24"/>
      <c r="I129" s="1"/>
      <c r="J129" s="1"/>
      <c r="K129" s="38"/>
      <c r="L129" s="142"/>
      <c r="M129" s="1"/>
      <c r="N129" s="1"/>
      <c r="O129" s="1"/>
      <c r="P129" s="1"/>
    </row>
    <row r="130" spans="1:16" ht="12.75" customHeight="1" x14ac:dyDescent="0.2">
      <c r="A130" s="153">
        <v>36192</v>
      </c>
      <c r="B130" s="24" t="s">
        <v>227</v>
      </c>
      <c r="C130" s="1"/>
      <c r="D130" s="38"/>
      <c r="E130" s="141">
        <f>3823407-739746+372424-73031+1</f>
        <v>3383055</v>
      </c>
      <c r="G130" s="81"/>
      <c r="H130" s="24"/>
      <c r="I130" s="1"/>
      <c r="J130" s="1"/>
      <c r="K130" s="38"/>
      <c r="L130" s="141"/>
      <c r="M130" s="1"/>
      <c r="N130" s="1"/>
      <c r="O130" s="1"/>
      <c r="P130" s="1"/>
    </row>
    <row r="131" spans="1:16" ht="12.75" customHeight="1" x14ac:dyDescent="0.2">
      <c r="A131" s="153">
        <v>36220</v>
      </c>
      <c r="B131" s="24" t="s">
        <v>228</v>
      </c>
      <c r="C131" s="24"/>
      <c r="D131" s="38"/>
      <c r="E131" s="141">
        <f>-2514110-889103-272651-56970</f>
        <v>-3732834</v>
      </c>
      <c r="G131" s="81"/>
      <c r="H131" s="24"/>
      <c r="I131" s="1"/>
      <c r="J131" s="1"/>
      <c r="K131" s="38"/>
      <c r="L131" s="141"/>
      <c r="M131" s="1"/>
      <c r="N131" s="1"/>
      <c r="O131" s="1"/>
      <c r="P131" s="1"/>
    </row>
    <row r="132" spans="1:16" ht="12.75" customHeight="1" x14ac:dyDescent="0.2">
      <c r="A132" s="153">
        <v>36251</v>
      </c>
      <c r="B132" s="24" t="s">
        <v>229</v>
      </c>
      <c r="C132" s="24"/>
      <c r="D132" s="38"/>
      <c r="E132" s="141">
        <f>625062-702433+174699-130411</f>
        <v>-33083</v>
      </c>
      <c r="G132" s="81"/>
      <c r="H132" s="1"/>
      <c r="I132" s="1"/>
      <c r="J132" s="1"/>
      <c r="K132" s="149"/>
      <c r="L132" s="142"/>
      <c r="M132" s="1"/>
      <c r="N132" s="1"/>
      <c r="O132" s="1"/>
      <c r="P132" s="1"/>
    </row>
    <row r="133" spans="1:16" ht="12.75" customHeight="1" x14ac:dyDescent="0.2">
      <c r="A133" s="153">
        <v>36281</v>
      </c>
      <c r="B133" s="24" t="s">
        <v>230</v>
      </c>
      <c r="C133" s="24"/>
      <c r="D133" s="38"/>
      <c r="E133" s="141">
        <f>2272391-620556+633168-171822</f>
        <v>2113181</v>
      </c>
      <c r="G133" s="81"/>
      <c r="H133" s="24"/>
      <c r="I133" s="1"/>
      <c r="J133" s="1"/>
      <c r="K133" s="38"/>
      <c r="L133" s="142"/>
      <c r="M133" s="1"/>
      <c r="N133" s="1"/>
      <c r="O133" s="1"/>
      <c r="P133" s="1"/>
    </row>
    <row r="134" spans="1:16" ht="12.75" customHeight="1" x14ac:dyDescent="0.2">
      <c r="A134" s="153">
        <v>36312</v>
      </c>
      <c r="B134" s="24" t="s">
        <v>231</v>
      </c>
      <c r="C134" s="24"/>
      <c r="D134" s="38"/>
      <c r="E134" s="141">
        <f>668469-748303+165915-212109</f>
        <v>-126028</v>
      </c>
      <c r="G134" s="81"/>
      <c r="H134" s="24"/>
      <c r="I134" s="1"/>
      <c r="J134" s="1"/>
      <c r="K134" s="38"/>
      <c r="L134" s="141"/>
      <c r="M134" s="43"/>
      <c r="N134" s="42"/>
      <c r="O134" s="1"/>
      <c r="P134" s="1"/>
    </row>
    <row r="135" spans="1:16" ht="12.75" customHeight="1" x14ac:dyDescent="0.2">
      <c r="A135" s="153">
        <v>36342</v>
      </c>
      <c r="B135" s="24" t="s">
        <v>232</v>
      </c>
      <c r="C135" s="24"/>
      <c r="D135" s="38"/>
      <c r="E135" s="141">
        <f>1895896-707586+393936-136822</f>
        <v>1445424</v>
      </c>
      <c r="G135" s="81"/>
      <c r="H135" s="24"/>
      <c r="I135" s="1"/>
      <c r="J135" s="1"/>
      <c r="K135" s="38"/>
      <c r="L135" s="141"/>
      <c r="M135" s="43"/>
      <c r="N135" s="1"/>
      <c r="O135" s="1"/>
      <c r="P135" s="1"/>
    </row>
    <row r="136" spans="1:16" ht="12.75" customHeight="1" x14ac:dyDescent="0.2">
      <c r="A136" s="153">
        <v>36373</v>
      </c>
      <c r="B136" s="24" t="s">
        <v>233</v>
      </c>
      <c r="C136" s="24"/>
      <c r="D136" s="38"/>
      <c r="E136" s="141">
        <f>23796-802892-103276-101049</f>
        <v>-983421</v>
      </c>
      <c r="G136" s="81"/>
      <c r="H136" s="24"/>
      <c r="I136" s="1"/>
      <c r="J136" s="1"/>
      <c r="K136" s="38"/>
      <c r="L136" s="141"/>
      <c r="M136" s="1"/>
      <c r="N136" s="43"/>
      <c r="O136" s="1"/>
      <c r="P136" s="1"/>
    </row>
    <row r="137" spans="1:16" ht="12.75" customHeight="1" x14ac:dyDescent="0.2">
      <c r="A137" s="153">
        <v>36404</v>
      </c>
      <c r="B137" s="24" t="s">
        <v>234</v>
      </c>
      <c r="C137" s="24"/>
      <c r="D137" s="38"/>
      <c r="E137" s="141">
        <f>-(495135+726325+81557+172139)</f>
        <v>-1475156</v>
      </c>
      <c r="G137" s="81"/>
      <c r="H137" s="24"/>
      <c r="I137" s="1"/>
      <c r="J137" s="1"/>
      <c r="K137" s="38"/>
      <c r="L137" s="141"/>
      <c r="M137" s="1"/>
      <c r="N137" s="43"/>
      <c r="O137" s="1"/>
      <c r="P137" s="1"/>
    </row>
    <row r="138" spans="1:16" ht="12.75" customHeight="1" x14ac:dyDescent="0.2">
      <c r="A138" s="153">
        <v>36434</v>
      </c>
      <c r="B138" s="24" t="s">
        <v>235</v>
      </c>
      <c r="C138" s="24"/>
      <c r="D138" s="38"/>
      <c r="E138" s="141">
        <f>1217665-717834+321203-151954</f>
        <v>669080</v>
      </c>
      <c r="G138" s="81"/>
      <c r="H138" s="24"/>
      <c r="I138" s="1"/>
      <c r="J138" s="1"/>
      <c r="K138" s="38"/>
      <c r="L138" s="141"/>
      <c r="M138" s="1"/>
      <c r="N138" s="1"/>
      <c r="O138" s="1"/>
      <c r="P138" s="1"/>
    </row>
    <row r="139" spans="1:16" ht="12.75" customHeight="1" x14ac:dyDescent="0.2">
      <c r="A139" s="153">
        <v>36465</v>
      </c>
      <c r="B139" s="24" t="s">
        <v>236</v>
      </c>
      <c r="C139" s="24"/>
      <c r="D139" s="38"/>
      <c r="E139" s="141">
        <v>-277983</v>
      </c>
      <c r="G139" s="81"/>
      <c r="H139" s="24"/>
      <c r="I139" s="1"/>
      <c r="J139" s="1"/>
      <c r="K139" s="38"/>
      <c r="L139" s="141"/>
      <c r="M139" s="1"/>
      <c r="N139" s="1"/>
      <c r="O139" s="1"/>
      <c r="P139" s="1"/>
    </row>
    <row r="140" spans="1:16" ht="12.75" customHeight="1" x14ac:dyDescent="0.2">
      <c r="A140" s="153">
        <v>36495</v>
      </c>
      <c r="B140" s="24" t="s">
        <v>237</v>
      </c>
      <c r="C140" s="24"/>
      <c r="D140" s="38"/>
      <c r="E140" s="141">
        <v>-505828</v>
      </c>
      <c r="G140" s="81"/>
      <c r="H140" s="24"/>
      <c r="I140" s="1"/>
      <c r="J140" s="1"/>
      <c r="K140" s="38"/>
      <c r="L140" s="141"/>
      <c r="M140" s="1"/>
      <c r="N140" s="1"/>
      <c r="O140" s="1"/>
      <c r="P140" s="1"/>
    </row>
    <row r="141" spans="1:16" ht="12.75" customHeight="1" x14ac:dyDescent="0.2">
      <c r="A141" s="153">
        <v>36526</v>
      </c>
      <c r="B141" s="24" t="s">
        <v>238</v>
      </c>
      <c r="C141" s="24"/>
      <c r="D141" s="38"/>
      <c r="E141" s="141">
        <f>1969030-976206+504786-190902</f>
        <v>1306708</v>
      </c>
      <c r="G141" s="81"/>
      <c r="H141" s="24"/>
      <c r="I141" s="1"/>
      <c r="J141" s="1"/>
      <c r="K141" s="38"/>
      <c r="L141" s="141"/>
      <c r="M141" s="1"/>
      <c r="N141" s="1"/>
      <c r="O141" s="1"/>
      <c r="P141" s="1"/>
    </row>
    <row r="142" spans="1:16" ht="12.75" customHeight="1" x14ac:dyDescent="0.2">
      <c r="A142" s="153">
        <v>36557</v>
      </c>
      <c r="B142" s="24" t="s">
        <v>239</v>
      </c>
      <c r="C142" s="24"/>
      <c r="D142" s="38"/>
      <c r="E142" s="141">
        <v>-3963775</v>
      </c>
      <c r="G142" s="81"/>
      <c r="H142" s="24"/>
      <c r="I142" s="1"/>
      <c r="J142" s="1"/>
      <c r="K142" s="38"/>
      <c r="L142" s="141"/>
      <c r="M142" s="1"/>
      <c r="N142" s="1"/>
      <c r="O142" s="1"/>
      <c r="P142" s="1"/>
    </row>
    <row r="143" spans="1:16" ht="12.75" customHeight="1" x14ac:dyDescent="0.2">
      <c r="A143" s="153">
        <v>36586</v>
      </c>
      <c r="B143" s="24" t="s">
        <v>240</v>
      </c>
      <c r="C143" s="24"/>
      <c r="D143" s="38"/>
      <c r="E143" s="141">
        <v>-1448812</v>
      </c>
      <c r="G143" s="81"/>
      <c r="H143" s="24"/>
      <c r="I143" s="1"/>
      <c r="J143" s="1"/>
      <c r="K143" s="38"/>
      <c r="L143" s="141"/>
      <c r="M143" s="1"/>
      <c r="N143" s="1"/>
      <c r="O143" s="1"/>
      <c r="P143" s="1"/>
    </row>
    <row r="144" spans="1:16" ht="12.75" customHeight="1" x14ac:dyDescent="0.2">
      <c r="A144" s="153">
        <v>36617</v>
      </c>
      <c r="B144" s="24" t="s">
        <v>479</v>
      </c>
      <c r="C144" s="24"/>
      <c r="D144" s="38"/>
      <c r="E144" s="141">
        <v>367706</v>
      </c>
      <c r="G144" s="81"/>
      <c r="H144" s="24"/>
      <c r="I144" s="1"/>
      <c r="J144" s="1"/>
      <c r="K144" s="38"/>
      <c r="L144" s="141"/>
      <c r="M144" s="1"/>
      <c r="N144" s="1"/>
      <c r="O144" s="1"/>
      <c r="P144" s="1"/>
    </row>
    <row r="145" spans="1:16" ht="12.75" customHeight="1" x14ac:dyDescent="0.2">
      <c r="A145" s="153">
        <v>36647</v>
      </c>
      <c r="B145" s="24" t="s">
        <v>487</v>
      </c>
      <c r="C145" s="24"/>
      <c r="D145" s="38"/>
      <c r="E145" s="141">
        <v>-1615095</v>
      </c>
      <c r="G145" s="81"/>
      <c r="H145" s="24"/>
      <c r="I145" s="1"/>
      <c r="J145" s="1"/>
      <c r="K145" s="38"/>
      <c r="L145" s="141"/>
      <c r="M145" s="1"/>
      <c r="N145" s="1"/>
      <c r="O145" s="1"/>
      <c r="P145" s="1"/>
    </row>
    <row r="146" spans="1:16" ht="12.75" customHeight="1" x14ac:dyDescent="0.2">
      <c r="A146" s="153">
        <v>36678</v>
      </c>
      <c r="B146" s="24" t="s">
        <v>487</v>
      </c>
      <c r="C146" s="24"/>
      <c r="D146" s="38"/>
      <c r="E146" s="141">
        <v>-2575301</v>
      </c>
      <c r="G146" s="81"/>
      <c r="H146" s="24"/>
      <c r="I146" s="1"/>
      <c r="J146" s="1"/>
      <c r="K146" s="38"/>
      <c r="L146" s="141"/>
      <c r="M146" s="1"/>
      <c r="N146" s="1"/>
      <c r="O146" s="1"/>
      <c r="P146" s="1"/>
    </row>
    <row r="147" spans="1:16" ht="12.75" customHeight="1" x14ac:dyDescent="0.2">
      <c r="A147" s="153">
        <v>36708</v>
      </c>
      <c r="B147" s="24" t="s">
        <v>494</v>
      </c>
      <c r="C147" s="24"/>
      <c r="D147" s="38"/>
      <c r="E147" s="141">
        <v>-886991</v>
      </c>
      <c r="G147" s="81"/>
      <c r="H147" s="24"/>
      <c r="I147" s="1"/>
      <c r="J147" s="1"/>
      <c r="K147" s="38"/>
      <c r="L147" s="141"/>
      <c r="M147" s="1"/>
      <c r="N147" s="1"/>
      <c r="O147" s="1"/>
      <c r="P147" s="1"/>
    </row>
    <row r="148" spans="1:16" ht="12.75" customHeight="1" x14ac:dyDescent="0.2">
      <c r="A148" s="153">
        <v>36739</v>
      </c>
      <c r="B148" s="24" t="s">
        <v>499</v>
      </c>
      <c r="C148" s="24"/>
      <c r="D148" s="38"/>
      <c r="E148" s="141">
        <v>-2584296</v>
      </c>
      <c r="G148" s="81"/>
      <c r="H148" s="24"/>
      <c r="I148" s="1"/>
      <c r="J148" s="1"/>
      <c r="K148" s="38"/>
      <c r="L148" s="141"/>
      <c r="M148" s="1"/>
      <c r="N148" s="1"/>
      <c r="O148" s="1"/>
      <c r="P148" s="1"/>
    </row>
    <row r="149" spans="1:16" ht="12.75" customHeight="1" x14ac:dyDescent="0.2">
      <c r="A149" s="153">
        <v>36770</v>
      </c>
      <c r="B149" s="24" t="s">
        <v>510</v>
      </c>
      <c r="C149" s="24"/>
      <c r="D149" s="38"/>
      <c r="E149" s="141">
        <v>-1365417</v>
      </c>
      <c r="G149" s="81"/>
      <c r="H149" s="24"/>
      <c r="I149" s="1"/>
      <c r="J149" s="1"/>
      <c r="K149" s="38"/>
      <c r="L149" s="141"/>
      <c r="M149" s="1"/>
      <c r="N149" s="1"/>
      <c r="O149" s="1"/>
      <c r="P149" s="1"/>
    </row>
    <row r="150" spans="1:16" ht="12.75" customHeight="1" x14ac:dyDescent="0.2">
      <c r="A150" s="153">
        <v>36800</v>
      </c>
      <c r="B150" s="24" t="s">
        <v>519</v>
      </c>
      <c r="C150" s="24"/>
      <c r="D150" s="38"/>
      <c r="E150" s="141">
        <v>-412286</v>
      </c>
      <c r="F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3"/>
      <c r="M158" s="1"/>
      <c r="N158" s="1"/>
      <c r="O158" s="1"/>
      <c r="P158" s="1"/>
    </row>
    <row r="159" spans="1:16" ht="12.75" customHeight="1" thickBot="1" x14ac:dyDescent="0.25">
      <c r="A159" s="63"/>
      <c r="B159" s="24"/>
      <c r="C159" s="24"/>
      <c r="D159" s="145" t="s">
        <v>241</v>
      </c>
      <c r="E159" s="144">
        <f>SUM(E126:E158)</f>
        <v>-53104210</v>
      </c>
      <c r="G159" s="63"/>
      <c r="H159" s="24"/>
      <c r="I159" s="1"/>
      <c r="J159" s="1"/>
      <c r="K159" s="145" t="s">
        <v>242</v>
      </c>
      <c r="L159" s="144">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243</v>
      </c>
      <c r="B163" s="77"/>
      <c r="C163" s="77"/>
      <c r="D163" s="77"/>
      <c r="E163" s="78"/>
      <c r="AJ163" s="1"/>
      <c r="AK163" s="1"/>
      <c r="AL163" s="1"/>
      <c r="AM163" s="1"/>
    </row>
    <row r="164" spans="1:39" ht="12.75" customHeight="1" thickTop="1" x14ac:dyDescent="0.2">
      <c r="A164" s="136" t="s">
        <v>219</v>
      </c>
      <c r="B164" s="137" t="s">
        <v>220</v>
      </c>
      <c r="C164" s="138"/>
      <c r="D164" s="139"/>
      <c r="E164" s="210" t="s">
        <v>221</v>
      </c>
      <c r="AJ164" s="1"/>
      <c r="AK164" s="1"/>
      <c r="AL164" s="1"/>
      <c r="AM164" s="1"/>
    </row>
    <row r="165" spans="1:39" ht="12.75" customHeight="1" x14ac:dyDescent="0.2">
      <c r="A165" s="221">
        <v>34759</v>
      </c>
      <c r="B165" s="24" t="s">
        <v>255</v>
      </c>
      <c r="C165" s="24"/>
      <c r="D165" s="38"/>
      <c r="E165" s="141">
        <v>187000</v>
      </c>
      <c r="AJ165" s="1"/>
      <c r="AK165" s="1"/>
      <c r="AL165" s="1"/>
      <c r="AM165" s="1"/>
    </row>
    <row r="166" spans="1:39" ht="12.75" customHeight="1" x14ac:dyDescent="0.2">
      <c r="A166" s="221">
        <v>34614</v>
      </c>
      <c r="B166" s="24" t="s">
        <v>257</v>
      </c>
      <c r="C166" s="24"/>
      <c r="D166" s="38"/>
      <c r="E166" s="141">
        <v>1836917</v>
      </c>
      <c r="AJ166" s="1"/>
      <c r="AK166" s="1"/>
      <c r="AL166" s="1"/>
      <c r="AM166" s="1"/>
    </row>
    <row r="167" spans="1:39" ht="12.75" customHeight="1" x14ac:dyDescent="0.2">
      <c r="A167" s="221">
        <v>34759</v>
      </c>
      <c r="B167" s="24" t="s">
        <v>334</v>
      </c>
      <c r="C167" s="24"/>
      <c r="D167" s="38"/>
      <c r="E167" s="141">
        <v>-419408</v>
      </c>
      <c r="AJ167" s="1"/>
      <c r="AK167" s="1"/>
      <c r="AL167" s="1"/>
      <c r="AM167" s="1"/>
    </row>
    <row r="168" spans="1:39" ht="12.75" customHeight="1" x14ac:dyDescent="0.2">
      <c r="A168" s="221">
        <v>34835</v>
      </c>
      <c r="B168" s="24" t="s">
        <v>335</v>
      </c>
      <c r="C168" s="24"/>
      <c r="D168" s="38"/>
      <c r="E168" s="142">
        <v>704656</v>
      </c>
      <c r="AJ168" s="1"/>
      <c r="AK168" s="1"/>
      <c r="AL168" s="1"/>
      <c r="AM168" s="1"/>
    </row>
    <row r="169" spans="1:39" ht="12.75" customHeight="1" x14ac:dyDescent="0.2">
      <c r="A169" s="221">
        <v>35185</v>
      </c>
      <c r="B169" s="24" t="s">
        <v>264</v>
      </c>
      <c r="C169" s="24"/>
      <c r="D169" s="38"/>
      <c r="E169" s="141">
        <f>2272857/1.3617</f>
        <v>1669131.9673936991</v>
      </c>
      <c r="AJ169" s="1"/>
      <c r="AK169" s="1"/>
      <c r="AL169" s="1"/>
      <c r="AM169" s="1"/>
    </row>
    <row r="170" spans="1:39" ht="12.75" customHeight="1" x14ac:dyDescent="0.2">
      <c r="A170" s="221">
        <v>35915</v>
      </c>
      <c r="B170" s="24" t="s">
        <v>265</v>
      </c>
      <c r="C170" s="24"/>
      <c r="D170" s="38"/>
      <c r="E170" s="141">
        <v>1154961</v>
      </c>
      <c r="AJ170" s="1"/>
      <c r="AK170" s="1"/>
      <c r="AL170" s="1"/>
      <c r="AM170" s="1"/>
    </row>
    <row r="171" spans="1:39" ht="12.75" customHeight="1" x14ac:dyDescent="0.2">
      <c r="A171" s="221">
        <v>35927</v>
      </c>
      <c r="B171" s="24" t="s">
        <v>266</v>
      </c>
      <c r="C171" s="82"/>
      <c r="D171" s="140"/>
      <c r="E171" s="142">
        <v>-1154961</v>
      </c>
      <c r="AJ171" s="1"/>
      <c r="AK171" s="1"/>
      <c r="AL171" s="1"/>
      <c r="AM171" s="1"/>
    </row>
    <row r="172" spans="1:39" ht="12.75" customHeight="1" x14ac:dyDescent="0.2">
      <c r="A172" s="221">
        <v>36615</v>
      </c>
      <c r="B172" s="80" t="s">
        <v>459</v>
      </c>
      <c r="C172" s="82"/>
      <c r="D172" s="140"/>
      <c r="E172" s="142">
        <v>-3978297</v>
      </c>
      <c r="AJ172" s="1"/>
      <c r="AK172" s="1"/>
      <c r="AL172" s="1"/>
      <c r="AM172" s="1"/>
    </row>
    <row r="173" spans="1:39" ht="12.75" customHeight="1" x14ac:dyDescent="0.2">
      <c r="A173" s="221"/>
      <c r="B173" s="80"/>
      <c r="C173" s="24"/>
      <c r="D173" s="38"/>
      <c r="E173" s="141"/>
      <c r="AJ173" s="1"/>
      <c r="AK173" s="1"/>
      <c r="AL173" s="1"/>
      <c r="AM173" s="1"/>
    </row>
    <row r="174" spans="1:39" ht="12.75" customHeight="1" x14ac:dyDescent="0.2">
      <c r="A174" s="221"/>
      <c r="B174" s="24"/>
      <c r="C174" s="24"/>
      <c r="D174" s="38"/>
      <c r="E174" s="141"/>
      <c r="AJ174" s="1"/>
      <c r="AK174" s="1"/>
      <c r="AL174" s="1"/>
      <c r="AM174" s="1"/>
    </row>
    <row r="175" spans="1:39" ht="12.75" customHeight="1" x14ac:dyDescent="0.2">
      <c r="A175" s="221"/>
      <c r="B175" s="24"/>
      <c r="C175" s="24"/>
      <c r="D175" s="38"/>
      <c r="E175" s="142"/>
      <c r="AJ175" s="1"/>
      <c r="AK175" s="1"/>
      <c r="AL175" s="1"/>
      <c r="AM175" s="1"/>
    </row>
    <row r="176" spans="1:39" ht="12.75" customHeight="1" x14ac:dyDescent="0.2">
      <c r="A176" s="221"/>
      <c r="B176" s="24"/>
      <c r="C176" s="24"/>
      <c r="D176" s="38"/>
      <c r="E176" s="141"/>
      <c r="AJ176" s="1"/>
      <c r="AK176" s="1"/>
      <c r="AL176" s="1"/>
      <c r="AM176" s="1"/>
    </row>
    <row r="177" spans="1:39" ht="12.75" customHeight="1" x14ac:dyDescent="0.2">
      <c r="A177" s="221"/>
      <c r="B177" s="24"/>
      <c r="C177" s="24"/>
      <c r="D177" s="38"/>
      <c r="E177" s="141"/>
      <c r="AJ177" s="1"/>
      <c r="AK177" s="1"/>
      <c r="AL177" s="1"/>
      <c r="AM177" s="1"/>
    </row>
    <row r="178" spans="1:39" ht="12.75" customHeight="1" x14ac:dyDescent="0.2">
      <c r="A178" s="221"/>
      <c r="B178" s="9"/>
      <c r="C178" s="82"/>
      <c r="D178" s="140"/>
      <c r="E178" s="142"/>
      <c r="AJ178" s="1"/>
      <c r="AK178" s="1"/>
      <c r="AL178" s="1"/>
      <c r="AM178" s="1"/>
    </row>
    <row r="179" spans="1:39" ht="12.75" customHeight="1" x14ac:dyDescent="0.2">
      <c r="A179" s="221"/>
      <c r="B179" s="9"/>
      <c r="C179" s="82"/>
      <c r="D179" s="140"/>
      <c r="E179" s="142"/>
      <c r="AJ179" s="1"/>
      <c r="AK179" s="1"/>
      <c r="AL179" s="1"/>
      <c r="AM179" s="1"/>
    </row>
    <row r="180" spans="1:39" ht="12.75" customHeight="1" x14ac:dyDescent="0.2">
      <c r="A180" s="221"/>
      <c r="B180" s="9"/>
      <c r="C180" s="82"/>
      <c r="D180" s="140"/>
      <c r="E180" s="141"/>
      <c r="AJ180" s="1"/>
      <c r="AK180" s="1"/>
      <c r="AL180" s="1"/>
      <c r="AM180" s="1"/>
    </row>
    <row r="181" spans="1:39" ht="12.75" customHeight="1" x14ac:dyDescent="0.2">
      <c r="A181" s="221"/>
      <c r="B181" s="24"/>
      <c r="C181" s="24"/>
      <c r="D181" s="38"/>
      <c r="E181" s="141"/>
      <c r="AJ181" s="1"/>
      <c r="AK181" s="1"/>
      <c r="AL181" s="1"/>
      <c r="AM181" s="1"/>
    </row>
    <row r="182" spans="1:39" ht="12.75" customHeight="1" x14ac:dyDescent="0.2">
      <c r="A182" s="221"/>
      <c r="B182" s="24"/>
      <c r="C182" s="24"/>
      <c r="D182" s="38"/>
      <c r="E182" s="141"/>
      <c r="AJ182" s="1"/>
      <c r="AK182" s="1"/>
      <c r="AL182" s="1"/>
      <c r="AM182" s="1"/>
    </row>
    <row r="183" spans="1:39" ht="12.75" customHeight="1" x14ac:dyDescent="0.2">
      <c r="A183" s="221"/>
      <c r="B183" s="24"/>
      <c r="C183" s="24"/>
      <c r="D183" s="38"/>
      <c r="E183" s="141"/>
      <c r="AJ183" s="1"/>
      <c r="AK183" s="1"/>
      <c r="AL183" s="1"/>
      <c r="AM183" s="1"/>
    </row>
    <row r="184" spans="1:39" ht="12.75" customHeight="1" x14ac:dyDescent="0.2">
      <c r="A184" s="221"/>
      <c r="B184" s="24"/>
      <c r="C184" s="24"/>
      <c r="D184" s="38"/>
      <c r="E184" s="143"/>
      <c r="AJ184" s="1"/>
      <c r="AK184" s="1"/>
      <c r="AL184" s="1"/>
      <c r="AM184" s="1"/>
    </row>
    <row r="185" spans="1:39" ht="12.75" customHeight="1" thickBot="1" x14ac:dyDescent="0.25">
      <c r="A185" s="222"/>
      <c r="B185" s="24"/>
      <c r="C185" s="24"/>
      <c r="D185" s="145" t="s">
        <v>244</v>
      </c>
      <c r="E185" s="144">
        <f>SUM(E165:E184)</f>
        <v>-3.260630089789629E-2</v>
      </c>
      <c r="AJ185" s="1"/>
      <c r="AK185" s="1"/>
      <c r="AL185" s="1"/>
      <c r="AM185" s="1"/>
    </row>
    <row r="186" spans="1:39" ht="12.75" customHeight="1" thickTop="1" thickBot="1" x14ac:dyDescent="0.25">
      <c r="A186" s="220"/>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245</v>
      </c>
      <c r="B189" s="59"/>
      <c r="C189" s="59"/>
      <c r="D189" s="59"/>
      <c r="E189" s="59"/>
      <c r="F189" s="59"/>
      <c r="G189" s="59"/>
      <c r="H189" s="59"/>
      <c r="I189" s="59"/>
      <c r="J189" s="59"/>
      <c r="K189" s="59"/>
      <c r="L189" s="59"/>
      <c r="M189" s="60"/>
      <c r="O189" s="1"/>
      <c r="P189" s="1"/>
      <c r="Q189" s="1"/>
      <c r="R189" s="1"/>
    </row>
    <row r="190" spans="1:39" ht="12.75" customHeight="1" x14ac:dyDescent="0.2">
      <c r="A190" s="85" t="s">
        <v>246</v>
      </c>
      <c r="B190" s="86" t="s">
        <v>219</v>
      </c>
      <c r="C190" s="87" t="s">
        <v>247</v>
      </c>
      <c r="D190" s="88" t="s">
        <v>248</v>
      </c>
      <c r="E190" s="135" t="s">
        <v>220</v>
      </c>
      <c r="F190" s="89"/>
      <c r="G190" s="89"/>
      <c r="H190" s="89"/>
      <c r="I190" s="89"/>
      <c r="J190" s="89"/>
      <c r="K190" s="89"/>
      <c r="L190" s="89"/>
      <c r="M190" s="211" t="s">
        <v>221</v>
      </c>
      <c r="O190" s="1"/>
      <c r="P190" s="1"/>
      <c r="Q190" s="1"/>
      <c r="R190" s="1"/>
    </row>
    <row r="191" spans="1:39" ht="12.75" customHeight="1" x14ac:dyDescent="0.2">
      <c r="A191" s="227"/>
      <c r="B191" s="134"/>
      <c r="C191" s="224"/>
      <c r="D191" s="38"/>
      <c r="E191" s="24"/>
      <c r="F191" s="24"/>
      <c r="G191" s="24"/>
      <c r="H191" s="24"/>
      <c r="I191" s="24"/>
      <c r="J191" s="24"/>
      <c r="K191" s="24"/>
      <c r="L191" s="24"/>
      <c r="M191" s="91"/>
      <c r="O191" s="1"/>
      <c r="P191" s="1"/>
      <c r="Q191" s="1"/>
      <c r="R191" s="1"/>
    </row>
    <row r="192" spans="1:39" ht="12.75" customHeight="1" x14ac:dyDescent="0.2">
      <c r="A192" s="227"/>
      <c r="B192" s="134"/>
      <c r="C192" s="224"/>
      <c r="D192" s="38"/>
      <c r="E192" s="24"/>
      <c r="F192" s="24"/>
      <c r="G192" s="24"/>
      <c r="H192" s="24"/>
      <c r="I192" s="24"/>
      <c r="J192" s="24"/>
      <c r="K192" s="24"/>
      <c r="L192" s="24"/>
      <c r="M192" s="91"/>
      <c r="O192" s="1"/>
      <c r="P192" s="1"/>
      <c r="Q192" s="1"/>
      <c r="R192" s="1"/>
    </row>
    <row r="193" spans="1:18" ht="12.75" customHeight="1" x14ac:dyDescent="0.2">
      <c r="A193" s="227"/>
      <c r="B193" s="134"/>
      <c r="C193" s="224"/>
      <c r="D193" s="38"/>
      <c r="E193" s="24"/>
      <c r="F193" s="24"/>
      <c r="G193" s="24"/>
      <c r="H193" s="24"/>
      <c r="I193" s="24"/>
      <c r="J193" s="24"/>
      <c r="K193" s="24"/>
      <c r="L193" s="24"/>
      <c r="M193" s="91"/>
      <c r="O193" s="1"/>
      <c r="P193" s="1"/>
      <c r="Q193" s="1"/>
      <c r="R193" s="1"/>
    </row>
    <row r="194" spans="1:18" ht="12.75" customHeight="1" x14ac:dyDescent="0.2">
      <c r="A194" s="227"/>
      <c r="B194" s="134"/>
      <c r="C194" s="224"/>
      <c r="D194" s="38"/>
      <c r="E194" s="24"/>
      <c r="F194" s="24"/>
      <c r="G194" s="24"/>
      <c r="H194" s="24"/>
      <c r="I194" s="24"/>
      <c r="J194" s="24"/>
      <c r="K194" s="24"/>
      <c r="L194" s="24"/>
      <c r="M194" s="91"/>
      <c r="O194" s="1"/>
      <c r="P194" s="1"/>
      <c r="Q194" s="1"/>
      <c r="R194" s="1"/>
    </row>
    <row r="195" spans="1:18" ht="12.75" customHeight="1" x14ac:dyDescent="0.2">
      <c r="A195" s="227"/>
      <c r="B195" s="134"/>
      <c r="C195" s="224"/>
      <c r="D195" s="38"/>
      <c r="E195" s="24"/>
      <c r="F195" s="24"/>
      <c r="G195" s="24"/>
      <c r="H195" s="24"/>
      <c r="I195" s="24"/>
      <c r="J195" s="24"/>
      <c r="K195" s="24"/>
      <c r="L195" s="24"/>
      <c r="M195" s="91"/>
      <c r="O195" s="1"/>
      <c r="P195" s="1"/>
      <c r="Q195" s="1"/>
      <c r="R195" s="1"/>
    </row>
    <row r="196" spans="1:18" ht="12.75" customHeight="1" x14ac:dyDescent="0.2">
      <c r="A196" s="227"/>
      <c r="B196" s="134"/>
      <c r="C196" s="224"/>
      <c r="D196" s="38"/>
      <c r="E196" s="24"/>
      <c r="F196" s="24"/>
      <c r="G196" s="24"/>
      <c r="H196" s="24"/>
      <c r="I196" s="24"/>
      <c r="J196" s="24"/>
      <c r="K196" s="24"/>
      <c r="L196" s="24"/>
      <c r="M196" s="91"/>
    </row>
    <row r="197" spans="1:18" ht="12.75" customHeight="1" x14ac:dyDescent="0.2">
      <c r="A197" s="227"/>
      <c r="B197" s="134"/>
      <c r="C197" s="224"/>
      <c r="D197" s="38"/>
      <c r="E197" s="24"/>
      <c r="F197" s="24"/>
      <c r="G197" s="24"/>
      <c r="H197" s="24"/>
      <c r="I197" s="24"/>
      <c r="J197" s="24"/>
      <c r="K197" s="24"/>
      <c r="L197" s="24"/>
      <c r="M197" s="91"/>
    </row>
    <row r="198" spans="1:18" ht="12.75" customHeight="1" x14ac:dyDescent="0.2">
      <c r="A198" s="227"/>
      <c r="B198" s="134"/>
      <c r="C198" s="224"/>
      <c r="D198" s="38"/>
      <c r="E198" s="24"/>
      <c r="F198" s="24"/>
      <c r="G198" s="24"/>
      <c r="H198" s="24"/>
      <c r="I198" s="24"/>
      <c r="J198" s="24"/>
      <c r="K198" s="24"/>
      <c r="L198" s="24"/>
      <c r="M198" s="91"/>
    </row>
    <row r="199" spans="1:18" ht="12.75" customHeight="1" x14ac:dyDescent="0.2">
      <c r="A199" s="227"/>
      <c r="B199" s="134"/>
      <c r="C199" s="224"/>
      <c r="D199" s="38"/>
      <c r="E199" s="24"/>
      <c r="F199" s="24"/>
      <c r="G199" s="24"/>
      <c r="H199" s="24"/>
      <c r="I199" s="24"/>
      <c r="J199" s="24"/>
      <c r="K199" s="24"/>
      <c r="L199" s="24"/>
      <c r="M199" s="91"/>
    </row>
    <row r="200" spans="1:18" ht="12.75" customHeight="1" x14ac:dyDescent="0.2">
      <c r="A200" s="227"/>
      <c r="B200" s="134"/>
      <c r="C200" s="224"/>
      <c r="D200" s="38"/>
      <c r="E200" s="24"/>
      <c r="F200" s="24"/>
      <c r="G200" s="24"/>
      <c r="H200" s="24"/>
      <c r="I200" s="24"/>
      <c r="J200" s="24"/>
      <c r="K200" s="24"/>
      <c r="L200" s="24"/>
      <c r="M200" s="91"/>
    </row>
    <row r="201" spans="1:18" ht="12.75" customHeight="1" x14ac:dyDescent="0.2">
      <c r="A201" s="90"/>
      <c r="B201" s="134"/>
      <c r="C201" s="224"/>
      <c r="D201" s="38"/>
      <c r="E201" s="24"/>
      <c r="F201" s="24"/>
      <c r="G201" s="24"/>
      <c r="H201" s="24"/>
      <c r="I201" s="24"/>
      <c r="J201" s="24"/>
      <c r="K201" s="24"/>
      <c r="L201" s="24"/>
      <c r="M201" s="91"/>
    </row>
    <row r="202" spans="1:18" ht="12.75" customHeight="1" x14ac:dyDescent="0.2">
      <c r="A202" s="90"/>
      <c r="B202" s="134"/>
      <c r="C202" s="224"/>
      <c r="D202" s="38"/>
      <c r="E202" s="24"/>
      <c r="F202" s="24"/>
      <c r="G202" s="24"/>
      <c r="H202" s="24"/>
      <c r="I202" s="24"/>
      <c r="J202" s="24"/>
      <c r="K202" s="24"/>
      <c r="L202" s="24"/>
      <c r="M202" s="91"/>
    </row>
    <row r="203" spans="1:18" ht="12.75" customHeight="1" x14ac:dyDescent="0.2">
      <c r="A203" s="90"/>
      <c r="B203" s="134"/>
      <c r="C203" s="224"/>
      <c r="D203" s="38"/>
      <c r="E203" s="24"/>
      <c r="F203" s="24"/>
      <c r="G203" s="24"/>
      <c r="H203" s="24"/>
      <c r="I203" s="24"/>
      <c r="J203" s="24"/>
      <c r="K203" s="24"/>
      <c r="L203" s="24"/>
      <c r="M203" s="91"/>
    </row>
    <row r="204" spans="1:18" ht="12.75" customHeight="1" x14ac:dyDescent="0.2">
      <c r="A204" s="90"/>
      <c r="B204" s="134"/>
      <c r="C204" s="224"/>
      <c r="D204" s="38"/>
      <c r="E204" s="24"/>
      <c r="F204" s="24"/>
      <c r="G204" s="24"/>
      <c r="H204" s="24"/>
      <c r="I204" s="24"/>
      <c r="J204" s="24"/>
      <c r="K204" s="24"/>
      <c r="L204" s="24"/>
      <c r="M204" s="91"/>
    </row>
    <row r="205" spans="1:18" ht="12.75" customHeight="1" x14ac:dyDescent="0.2">
      <c r="A205" s="90"/>
      <c r="B205" s="134"/>
      <c r="C205" s="226"/>
      <c r="D205" s="38"/>
      <c r="E205" s="24"/>
      <c r="F205" s="24"/>
      <c r="G205" s="24"/>
      <c r="H205" s="24"/>
      <c r="I205" s="24"/>
      <c r="J205" s="24"/>
      <c r="K205" s="24"/>
      <c r="L205" s="24"/>
      <c r="M205" s="91"/>
    </row>
    <row r="206" spans="1:18" ht="12.75" customHeight="1" x14ac:dyDescent="0.2">
      <c r="A206" s="90"/>
      <c r="B206" s="134"/>
      <c r="C206" s="226"/>
      <c r="D206" s="38"/>
      <c r="E206" s="24"/>
      <c r="F206" s="24"/>
      <c r="G206" s="24"/>
      <c r="H206" s="24"/>
      <c r="I206" s="24"/>
      <c r="J206" s="24"/>
      <c r="K206" s="24"/>
      <c r="L206" s="24"/>
      <c r="M206" s="91"/>
    </row>
    <row r="207" spans="1:18" ht="12.75" customHeight="1" x14ac:dyDescent="0.2">
      <c r="A207" s="90"/>
      <c r="B207" s="134"/>
      <c r="C207" s="226"/>
      <c r="D207" s="38"/>
      <c r="E207" s="24"/>
      <c r="F207" s="24"/>
      <c r="G207" s="24"/>
      <c r="H207" s="24"/>
      <c r="I207" s="24"/>
      <c r="J207" s="24"/>
      <c r="K207" s="24"/>
      <c r="L207" s="24"/>
      <c r="M207" s="91"/>
    </row>
    <row r="208" spans="1:18" ht="12.75" customHeight="1" x14ac:dyDescent="0.2">
      <c r="A208" s="90"/>
      <c r="B208" s="134"/>
      <c r="C208" s="225"/>
      <c r="D208" s="38"/>
      <c r="E208" s="24"/>
      <c r="F208" s="24"/>
      <c r="G208" s="24"/>
      <c r="H208" s="24"/>
      <c r="I208" s="24"/>
      <c r="J208" s="24"/>
      <c r="K208" s="24"/>
      <c r="L208" s="24"/>
      <c r="M208" s="91"/>
    </row>
    <row r="209" spans="1:14" ht="12.75" customHeight="1" x14ac:dyDescent="0.2">
      <c r="A209" s="90"/>
      <c r="B209" s="134"/>
      <c r="C209" s="225"/>
      <c r="D209" s="38"/>
      <c r="E209" s="24"/>
      <c r="F209" s="24"/>
      <c r="G209" s="24"/>
      <c r="H209" s="24"/>
      <c r="I209" s="24"/>
      <c r="J209" s="24"/>
      <c r="K209" s="24"/>
      <c r="L209" s="24"/>
      <c r="M209" s="91"/>
    </row>
    <row r="210" spans="1:14" ht="12.75" customHeight="1" x14ac:dyDescent="0.2">
      <c r="A210" s="90"/>
      <c r="B210" s="134"/>
      <c r="C210" s="225"/>
      <c r="D210" s="38"/>
      <c r="E210" s="24"/>
      <c r="F210" s="24"/>
      <c r="G210" s="24"/>
      <c r="H210" s="24"/>
      <c r="I210" s="24"/>
      <c r="J210" s="24"/>
      <c r="K210" s="24"/>
      <c r="L210" s="24"/>
      <c r="M210" s="91"/>
    </row>
    <row r="211" spans="1:14" ht="12.75" customHeight="1" x14ac:dyDescent="0.2">
      <c r="A211" s="90"/>
      <c r="B211" s="134"/>
      <c r="C211" s="225"/>
      <c r="D211" s="38"/>
      <c r="E211" s="24"/>
      <c r="F211" s="24"/>
      <c r="G211" s="24"/>
      <c r="H211" s="24"/>
      <c r="I211" s="24"/>
      <c r="J211" s="24"/>
      <c r="K211" s="24"/>
      <c r="L211" s="24"/>
      <c r="M211" s="91"/>
    </row>
    <row r="212" spans="1:14" ht="12.75" customHeight="1" x14ac:dyDescent="0.2">
      <c r="A212" s="90"/>
      <c r="B212" s="134"/>
      <c r="C212" s="225"/>
      <c r="D212" s="38"/>
      <c r="E212" s="24"/>
      <c r="F212" s="24"/>
      <c r="G212" s="24"/>
      <c r="H212" s="24"/>
      <c r="I212" s="24"/>
      <c r="J212" s="24"/>
      <c r="K212" s="24"/>
      <c r="L212" s="24"/>
      <c r="M212" s="91"/>
    </row>
    <row r="213" spans="1:14" ht="12.75" customHeight="1" x14ac:dyDescent="0.2">
      <c r="A213" s="90"/>
      <c r="B213" s="134"/>
      <c r="C213" s="225"/>
      <c r="D213" s="38"/>
      <c r="E213" s="24"/>
      <c r="F213" s="24"/>
      <c r="G213" s="24"/>
      <c r="H213" s="24"/>
      <c r="I213" s="24"/>
      <c r="J213" s="24"/>
      <c r="K213" s="24"/>
      <c r="L213" s="24"/>
      <c r="M213" s="91"/>
    </row>
    <row r="214" spans="1:14" ht="12.75" customHeight="1" thickBot="1" x14ac:dyDescent="0.25">
      <c r="A214" s="90"/>
      <c r="B214" s="134"/>
      <c r="C214" s="223"/>
      <c r="D214" s="38"/>
      <c r="E214" s="24"/>
      <c r="F214" s="24"/>
      <c r="G214" s="24"/>
      <c r="H214" s="24"/>
      <c r="I214" s="24"/>
      <c r="J214" s="24"/>
      <c r="K214" s="24"/>
      <c r="L214" s="145" t="s">
        <v>249</v>
      </c>
      <c r="M214" s="92">
        <f>SUM(M191:M213)</f>
        <v>0</v>
      </c>
    </row>
    <row r="215" spans="1:14" ht="12.75" customHeight="1" thickTop="1" thickBot="1" x14ac:dyDescent="0.25">
      <c r="A215" s="93"/>
      <c r="B215" s="151"/>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5" t="s">
        <v>250</v>
      </c>
      <c r="B218" s="154"/>
      <c r="C218" s="154"/>
      <c r="D218" s="154"/>
      <c r="E218" s="154"/>
      <c r="F218" s="157"/>
      <c r="G218" s="94"/>
      <c r="H218" s="94"/>
      <c r="I218" s="94"/>
      <c r="J218" s="94"/>
      <c r="K218" s="94"/>
      <c r="L218" s="94"/>
      <c r="M218" s="94"/>
      <c r="N218" s="94"/>
    </row>
    <row r="219" spans="1:14" ht="12.75" customHeight="1" thickBot="1" x14ac:dyDescent="0.25">
      <c r="A219" s="156" t="s">
        <v>246</v>
      </c>
      <c r="B219" s="95" t="s">
        <v>219</v>
      </c>
      <c r="C219" s="96" t="s">
        <v>247</v>
      </c>
      <c r="D219" s="165" t="s">
        <v>248</v>
      </c>
      <c r="E219" s="166"/>
      <c r="F219" s="158" t="s">
        <v>221</v>
      </c>
      <c r="G219" s="94"/>
      <c r="H219" s="94"/>
      <c r="I219" s="94"/>
      <c r="J219" s="94"/>
      <c r="K219" s="94"/>
      <c r="L219" s="94"/>
      <c r="M219" s="94"/>
      <c r="N219" s="94"/>
    </row>
    <row r="220" spans="1:14" ht="12.75" customHeight="1" x14ac:dyDescent="0.2">
      <c r="A220" s="231"/>
      <c r="B220" s="134"/>
      <c r="C220" s="97"/>
      <c r="D220" s="24"/>
      <c r="E220" s="167"/>
      <c r="F220" s="232"/>
      <c r="G220" s="98"/>
      <c r="H220" s="98"/>
      <c r="I220" s="98"/>
      <c r="J220" s="98"/>
      <c r="K220" s="98"/>
      <c r="L220" s="98"/>
      <c r="M220" s="98"/>
      <c r="N220" s="98"/>
    </row>
    <row r="221" spans="1:14" ht="12.75" customHeight="1" x14ac:dyDescent="0.2">
      <c r="A221" s="231"/>
      <c r="B221" s="134"/>
      <c r="C221" s="94"/>
      <c r="D221" s="233"/>
      <c r="E221" s="167"/>
      <c r="F221" s="159"/>
      <c r="G221" s="98"/>
      <c r="H221" s="98"/>
      <c r="I221" s="98"/>
      <c r="J221" s="98"/>
      <c r="K221" s="98"/>
      <c r="L221" s="98"/>
      <c r="M221" s="98"/>
      <c r="N221" s="98"/>
    </row>
    <row r="222" spans="1:14" ht="12.75" customHeight="1" x14ac:dyDescent="0.2">
      <c r="A222" s="231"/>
      <c r="B222" s="134"/>
      <c r="C222" s="94"/>
      <c r="D222" s="233"/>
      <c r="E222" s="167"/>
      <c r="F222" s="160"/>
      <c r="G222" s="94"/>
      <c r="H222" s="94"/>
      <c r="I222" s="94"/>
      <c r="J222" s="94"/>
      <c r="K222" s="94"/>
      <c r="L222" s="94"/>
      <c r="M222" s="94"/>
      <c r="N222" s="94"/>
    </row>
    <row r="223" spans="1:14" ht="12.75" customHeight="1" x14ac:dyDescent="0.2">
      <c r="A223" s="231"/>
      <c r="B223" s="134"/>
      <c r="C223" s="94"/>
      <c r="D223" s="233"/>
      <c r="E223" s="167"/>
      <c r="F223" s="160"/>
      <c r="G223" s="94"/>
      <c r="H223" s="94"/>
      <c r="I223" s="94"/>
      <c r="J223" s="94"/>
      <c r="K223" s="94"/>
      <c r="L223" s="94"/>
      <c r="M223" s="94"/>
      <c r="N223" s="94"/>
    </row>
    <row r="224" spans="1:14" ht="12.75" customHeight="1" x14ac:dyDescent="0.2">
      <c r="A224" s="231"/>
      <c r="B224" s="134"/>
      <c r="C224" s="94"/>
      <c r="D224" s="233"/>
      <c r="E224" s="167"/>
      <c r="F224" s="160"/>
      <c r="G224" s="94"/>
      <c r="H224" s="94"/>
      <c r="I224" s="94"/>
      <c r="J224" s="94"/>
      <c r="K224" s="94"/>
      <c r="L224" s="94"/>
      <c r="M224" s="94"/>
      <c r="N224" s="94"/>
    </row>
    <row r="225" spans="1:14" ht="12.75" customHeight="1" x14ac:dyDescent="0.2">
      <c r="A225" s="231"/>
      <c r="B225" s="134"/>
      <c r="C225" s="94"/>
      <c r="D225" s="233"/>
      <c r="E225" s="167"/>
      <c r="F225" s="160"/>
      <c r="G225" s="94"/>
      <c r="H225" s="94"/>
      <c r="I225" s="94"/>
      <c r="J225" s="94"/>
      <c r="K225" s="94"/>
      <c r="L225" s="94"/>
      <c r="M225" s="94"/>
      <c r="N225" s="94"/>
    </row>
    <row r="226" spans="1:14" ht="12.75" customHeight="1" x14ac:dyDescent="0.2">
      <c r="A226" s="231"/>
      <c r="B226" s="134"/>
      <c r="C226" s="94"/>
      <c r="D226" s="233"/>
      <c r="E226" s="167"/>
      <c r="F226" s="160"/>
      <c r="G226" s="94"/>
      <c r="H226" s="94"/>
      <c r="I226" s="94"/>
      <c r="J226" s="94"/>
      <c r="K226" s="94"/>
      <c r="L226" s="94"/>
      <c r="M226" s="94"/>
      <c r="N226" s="94"/>
    </row>
    <row r="227" spans="1:14" ht="12.75" customHeight="1" x14ac:dyDescent="0.2">
      <c r="A227" s="231"/>
      <c r="B227" s="134"/>
      <c r="C227" s="94"/>
      <c r="D227" s="233"/>
      <c r="E227" s="167"/>
      <c r="F227" s="160"/>
      <c r="G227" s="94"/>
      <c r="H227" s="94"/>
      <c r="I227" s="94"/>
      <c r="J227" s="94"/>
      <c r="K227" s="94"/>
      <c r="L227" s="94"/>
      <c r="M227" s="94"/>
      <c r="N227" s="94"/>
    </row>
    <row r="228" spans="1:14" ht="12.75" customHeight="1" x14ac:dyDescent="0.2">
      <c r="A228" s="231"/>
      <c r="B228" s="134"/>
      <c r="C228" s="94"/>
      <c r="D228" s="233"/>
      <c r="E228" s="167"/>
      <c r="F228" s="160"/>
      <c r="G228" s="94"/>
      <c r="H228" s="94"/>
      <c r="I228" s="94"/>
      <c r="J228" s="94"/>
      <c r="K228" s="94"/>
      <c r="L228" s="94"/>
      <c r="M228" s="94"/>
      <c r="N228" s="94"/>
    </row>
    <row r="229" spans="1:14" ht="12.75" customHeight="1" x14ac:dyDescent="0.2">
      <c r="A229" s="231"/>
      <c r="B229" s="134"/>
      <c r="C229" s="94"/>
      <c r="D229" s="233"/>
      <c r="E229" s="167"/>
      <c r="F229" s="160"/>
      <c r="G229" s="94"/>
      <c r="H229" s="94"/>
      <c r="I229" s="94"/>
      <c r="J229" s="94"/>
      <c r="K229" s="94"/>
      <c r="L229" s="94"/>
      <c r="M229" s="94"/>
      <c r="N229" s="94"/>
    </row>
    <row r="230" spans="1:14" ht="12.75" customHeight="1" x14ac:dyDescent="0.2">
      <c r="A230" s="231"/>
      <c r="B230" s="134"/>
      <c r="C230" s="94"/>
      <c r="D230" s="233"/>
      <c r="E230" s="167"/>
      <c r="F230" s="160"/>
      <c r="G230" s="94"/>
      <c r="H230" s="94"/>
      <c r="I230" s="94"/>
      <c r="J230" s="94"/>
      <c r="K230" s="94"/>
      <c r="L230" s="94"/>
      <c r="M230" s="94"/>
      <c r="N230" s="94"/>
    </row>
    <row r="231" spans="1:14" ht="12.75" customHeight="1" x14ac:dyDescent="0.2">
      <c r="A231" s="231"/>
      <c r="B231" s="134"/>
      <c r="C231" s="94"/>
      <c r="D231" s="233"/>
      <c r="E231" s="167"/>
      <c r="F231" s="160"/>
      <c r="G231" s="94"/>
      <c r="H231" s="94"/>
      <c r="I231" s="94"/>
      <c r="J231" s="94"/>
      <c r="K231" s="94"/>
      <c r="L231" s="94"/>
      <c r="M231" s="94"/>
      <c r="N231" s="94"/>
    </row>
    <row r="232" spans="1:14" ht="12.75" customHeight="1" x14ac:dyDescent="0.2">
      <c r="A232" s="231"/>
      <c r="B232" s="134"/>
      <c r="C232" s="94"/>
      <c r="D232" s="233"/>
      <c r="E232" s="167"/>
      <c r="F232" s="160"/>
      <c r="G232" s="94"/>
      <c r="H232" s="94"/>
      <c r="I232" s="94"/>
      <c r="J232" s="94"/>
      <c r="K232" s="94"/>
      <c r="L232" s="94"/>
      <c r="M232" s="94"/>
      <c r="N232" s="94"/>
    </row>
    <row r="233" spans="1:14" ht="12.75" customHeight="1" x14ac:dyDescent="0.2">
      <c r="A233" s="231"/>
      <c r="B233" s="134"/>
      <c r="C233" s="94"/>
      <c r="D233" s="233"/>
      <c r="E233" s="167"/>
      <c r="F233" s="160"/>
      <c r="G233" s="94"/>
      <c r="H233" s="94"/>
      <c r="I233" s="94"/>
      <c r="J233" s="94"/>
      <c r="K233" s="94"/>
      <c r="L233" s="94"/>
      <c r="M233" s="94"/>
      <c r="N233" s="94"/>
    </row>
    <row r="234" spans="1:14" ht="12.75" customHeight="1" x14ac:dyDescent="0.2">
      <c r="A234" s="231"/>
      <c r="B234" s="134"/>
      <c r="C234" s="94"/>
      <c r="D234" s="233"/>
      <c r="E234" s="167"/>
      <c r="F234" s="160"/>
      <c r="G234" s="94"/>
      <c r="H234" s="94"/>
      <c r="I234" s="94"/>
      <c r="J234" s="94"/>
      <c r="K234" s="94"/>
      <c r="L234" s="94"/>
      <c r="M234" s="94"/>
      <c r="N234" s="94"/>
    </row>
    <row r="235" spans="1:14" ht="12.75" customHeight="1" x14ac:dyDescent="0.2">
      <c r="A235" s="231"/>
      <c r="B235" s="134"/>
      <c r="C235" s="94"/>
      <c r="D235" s="233"/>
      <c r="E235" s="167"/>
      <c r="F235" s="160"/>
      <c r="G235" s="94"/>
      <c r="H235" s="94"/>
      <c r="I235" s="94"/>
      <c r="J235" s="94"/>
      <c r="K235" s="94"/>
      <c r="L235" s="94"/>
      <c r="M235" s="94"/>
      <c r="N235" s="94"/>
    </row>
    <row r="236" spans="1:14" ht="12.75" customHeight="1" x14ac:dyDescent="0.2">
      <c r="A236" s="231"/>
      <c r="B236" s="134"/>
      <c r="C236" s="94"/>
      <c r="D236" s="233"/>
      <c r="E236" s="167"/>
      <c r="F236" s="160"/>
      <c r="G236" s="94"/>
      <c r="H236" s="94"/>
      <c r="I236" s="94"/>
      <c r="J236" s="94"/>
      <c r="K236" s="94"/>
      <c r="L236" s="94"/>
      <c r="M236" s="94"/>
      <c r="N236" s="94"/>
    </row>
    <row r="237" spans="1:14" ht="12.75" customHeight="1" x14ac:dyDescent="0.2">
      <c r="A237" s="231"/>
      <c r="B237" s="134"/>
      <c r="C237" s="94"/>
      <c r="D237" s="233"/>
      <c r="E237" s="167"/>
      <c r="F237" s="160"/>
      <c r="G237" s="94"/>
      <c r="H237" s="94"/>
      <c r="I237" s="94"/>
      <c r="J237" s="94"/>
      <c r="K237" s="94"/>
      <c r="L237" s="94"/>
      <c r="M237" s="94"/>
      <c r="N237" s="94"/>
    </row>
    <row r="238" spans="1:14" ht="12.75" customHeight="1" thickBot="1" x14ac:dyDescent="0.25">
      <c r="A238" s="231"/>
      <c r="B238" s="134"/>
      <c r="C238" s="94"/>
      <c r="D238" s="94"/>
      <c r="E238" s="145" t="s">
        <v>251</v>
      </c>
      <c r="F238" s="168">
        <f>SUM(F219:F237)</f>
        <v>0</v>
      </c>
      <c r="G238" s="94"/>
      <c r="H238" s="94"/>
      <c r="I238" s="94"/>
      <c r="J238" s="94"/>
      <c r="K238" s="94"/>
      <c r="L238" s="94"/>
      <c r="M238" s="94"/>
      <c r="N238" s="94"/>
    </row>
    <row r="239" spans="1:14" ht="12.75" customHeight="1" thickTop="1" thickBot="1" x14ac:dyDescent="0.25">
      <c r="A239" s="161"/>
      <c r="B239" s="162"/>
      <c r="C239" s="163"/>
      <c r="D239" s="163"/>
      <c r="E239" s="212"/>
      <c r="F239" s="164"/>
      <c r="G239" s="94"/>
      <c r="H239" s="94"/>
      <c r="I239" s="94"/>
      <c r="J239" s="94"/>
      <c r="K239" s="94"/>
      <c r="L239" s="94"/>
      <c r="M239" s="94"/>
      <c r="N239" s="94"/>
    </row>
    <row r="240" spans="1:14" ht="12.75" customHeight="1" thickTop="1" x14ac:dyDescent="0.2"/>
  </sheetData>
  <customSheetViews>
    <customSheetView guid="{535643D6-B9EE-11D2-A857-00805F2505DF}" scale="75" fitToPage="1" showRuler="0" topLeftCell="A120">
      <selection activeCell="A121" sqref="A121:M239"/>
      <pageMargins left="0.25" right="0.25" top="0.25" bottom="0.25" header="0.25" footer="0.25"/>
      <printOptions horizontalCentered="1"/>
      <pageSetup paperSize="5"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D-B9EE-11D2-A857-00805F2505DF}" scale="75" fitToPage="1" showRuler="0" topLeftCell="A40">
      <selection activeCell="A41" sqref="A41:AG118"/>
      <pageMargins left="0.25" right="0.25" top="0.25" bottom="0.25" header="0.25" footer="0.25"/>
      <printOptions horizontalCentered="1"/>
      <pageSetup paperSize="5"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4-B9EE-11D2-A857-00805F2505DF}" scale="75" fitToPage="1" showRuler="0" topLeftCell="O18">
      <selection activeCell="A6" sqref="A6:R40"/>
      <pageMargins left="0.25" right="0.25" top="0.25" bottom="0.25" header="0.25" footer="0.25"/>
      <printOptions horizontalCentered="1"/>
      <pageSetup paperSize="5"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scale="48" orientation="landscape" horizontalDpi="4294967292" verticalDpi="4294967292" r:id="rId4"/>
  <headerFooter alignWithMargins="0">
    <oddFooter>&amp;L&amp;"Times New Roman,Italic"&amp;F/&amp;A&amp;R&amp;"Times New Roman,Italic"&amp;D &amp;T</oddFooter>
  </headerFooter>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L46"/>
  <sheetViews>
    <sheetView topLeftCell="A16" workbookViewId="0">
      <selection activeCell="F32" sqref="F32"/>
    </sheetView>
  </sheetViews>
  <sheetFormatPr defaultRowHeight="12.75" x14ac:dyDescent="0.2"/>
  <cols>
    <col min="1" max="1" width="18" customWidth="1"/>
    <col min="2" max="2" width="4.5703125" customWidth="1"/>
    <col min="3" max="3" width="4.140625" customWidth="1"/>
    <col min="6" max="6" width="12.42578125" customWidth="1"/>
    <col min="7" max="7" width="15.5703125" style="786" customWidth="1"/>
    <col min="8" max="8" width="15.7109375" style="786" customWidth="1"/>
    <col min="9" max="9" width="14.7109375" customWidth="1"/>
  </cols>
  <sheetData>
    <row r="1" spans="1:12" ht="23.25" x14ac:dyDescent="0.35">
      <c r="A1" s="562" t="s">
        <v>448</v>
      </c>
      <c r="B1" s="562"/>
      <c r="C1" s="307"/>
      <c r="D1" s="307"/>
      <c r="E1" s="307"/>
      <c r="F1" s="307"/>
      <c r="G1" s="785"/>
      <c r="H1" s="785"/>
      <c r="I1" s="307"/>
      <c r="J1" s="307"/>
      <c r="K1" s="307"/>
      <c r="L1" s="307"/>
    </row>
    <row r="3" spans="1:12" x14ac:dyDescent="0.2">
      <c r="A3" s="830">
        <f>Report!A4</f>
        <v>36847</v>
      </c>
      <c r="B3" s="563"/>
    </row>
    <row r="5" spans="1:12" ht="20.25" x14ac:dyDescent="0.3">
      <c r="B5" s="564" t="s">
        <v>477</v>
      </c>
      <c r="C5" s="564"/>
    </row>
    <row r="7" spans="1:12" ht="15.75" x14ac:dyDescent="0.25">
      <c r="B7" s="565" t="s">
        <v>482</v>
      </c>
      <c r="C7" s="565"/>
      <c r="D7" s="401"/>
      <c r="E7" s="401"/>
      <c r="F7" s="401"/>
      <c r="G7" s="787"/>
      <c r="H7" s="787"/>
    </row>
    <row r="9" spans="1:12" x14ac:dyDescent="0.2">
      <c r="C9" s="576" t="s">
        <v>563</v>
      </c>
      <c r="D9" s="576"/>
      <c r="E9" s="576"/>
      <c r="F9" s="576"/>
      <c r="G9" s="788"/>
    </row>
    <row r="10" spans="1:12" ht="16.5" customHeight="1" x14ac:dyDescent="0.2">
      <c r="D10" t="s">
        <v>564</v>
      </c>
      <c r="G10" s="789">
        <v>1155365</v>
      </c>
    </row>
    <row r="11" spans="1:12" ht="16.5" customHeight="1" x14ac:dyDescent="0.2">
      <c r="D11" t="s">
        <v>456</v>
      </c>
      <c r="G11" s="789">
        <v>0</v>
      </c>
    </row>
    <row r="12" spans="1:12" ht="16.5" customHeight="1" x14ac:dyDescent="0.2">
      <c r="D12" t="s">
        <v>457</v>
      </c>
      <c r="G12" s="789">
        <v>0</v>
      </c>
      <c r="H12" s="785">
        <f>SUM(G10:G12)</f>
        <v>1155365</v>
      </c>
    </row>
    <row r="13" spans="1:12" x14ac:dyDescent="0.2">
      <c r="C13" s="576" t="s">
        <v>452</v>
      </c>
      <c r="D13" s="576"/>
      <c r="E13" s="576"/>
      <c r="F13" s="576"/>
      <c r="G13" s="788"/>
    </row>
    <row r="14" spans="1:12" ht="17.25" customHeight="1" x14ac:dyDescent="0.2">
      <c r="D14" t="s">
        <v>509</v>
      </c>
      <c r="G14" s="789">
        <v>185455</v>
      </c>
    </row>
    <row r="15" spans="1:12" ht="17.25" customHeight="1" x14ac:dyDescent="0.2">
      <c r="D15" t="s">
        <v>456</v>
      </c>
      <c r="G15" s="789">
        <v>0</v>
      </c>
      <c r="H15" s="790">
        <f>SUM(G14:G15)</f>
        <v>185455</v>
      </c>
    </row>
    <row r="16" spans="1:12" ht="17.25" customHeight="1" x14ac:dyDescent="0.2">
      <c r="G16" s="789"/>
      <c r="H16" s="790"/>
    </row>
    <row r="17" spans="2:9" x14ac:dyDescent="0.2">
      <c r="C17" s="576" t="s">
        <v>449</v>
      </c>
      <c r="D17" s="576"/>
      <c r="E17" s="576"/>
      <c r="F17" s="576"/>
      <c r="G17" s="788"/>
      <c r="H17" s="788">
        <v>0</v>
      </c>
      <c r="I17" s="577"/>
    </row>
    <row r="18" spans="2:9" x14ac:dyDescent="0.2">
      <c r="C18" s="576" t="s">
        <v>454</v>
      </c>
      <c r="D18" s="576"/>
      <c r="E18" s="576"/>
      <c r="F18" s="576"/>
      <c r="G18" s="788"/>
      <c r="H18" s="786">
        <v>0</v>
      </c>
      <c r="I18" s="577"/>
    </row>
    <row r="19" spans="2:9" ht="14.25" customHeight="1" x14ac:dyDescent="0.2">
      <c r="D19" t="s">
        <v>455</v>
      </c>
      <c r="G19" s="835">
        <f>I44-G14-G10</f>
        <v>-51628</v>
      </c>
      <c r="I19" s="577"/>
    </row>
    <row r="20" spans="2:9" ht="14.25" customHeight="1" x14ac:dyDescent="0.2">
      <c r="D20" t="s">
        <v>456</v>
      </c>
      <c r="G20" s="835">
        <f>I45-G15-G11</f>
        <v>0</v>
      </c>
      <c r="H20" s="786">
        <v>0</v>
      </c>
      <c r="I20" s="577"/>
    </row>
    <row r="21" spans="2:9" ht="14.25" customHeight="1" x14ac:dyDescent="0.2">
      <c r="D21" t="s">
        <v>498</v>
      </c>
      <c r="H21" s="789">
        <v>0</v>
      </c>
      <c r="I21" s="577"/>
    </row>
    <row r="22" spans="2:9" x14ac:dyDescent="0.2">
      <c r="D22" t="s">
        <v>498</v>
      </c>
      <c r="H22" s="785">
        <v>0</v>
      </c>
      <c r="I22" s="577"/>
    </row>
    <row r="23" spans="2:9" x14ac:dyDescent="0.2">
      <c r="H23" s="792">
        <f>SUM(H12:H22)+G19+G20</f>
        <v>1289192</v>
      </c>
    </row>
    <row r="24" spans="2:9" x14ac:dyDescent="0.2">
      <c r="H24" s="817">
        <f>+H23-Report!M85</f>
        <v>0</v>
      </c>
    </row>
    <row r="25" spans="2:9" ht="15.75" x14ac:dyDescent="0.25">
      <c r="B25" s="565" t="s">
        <v>477</v>
      </c>
      <c r="C25" s="565"/>
      <c r="D25" s="401"/>
      <c r="E25" s="401"/>
      <c r="F25" s="401"/>
      <c r="G25" s="787"/>
      <c r="H25" s="787"/>
    </row>
    <row r="27" spans="2:9" x14ac:dyDescent="0.2">
      <c r="D27" t="s">
        <v>455</v>
      </c>
      <c r="G27" s="786">
        <v>920404</v>
      </c>
    </row>
    <row r="28" spans="2:9" x14ac:dyDescent="0.2">
      <c r="D28" t="s">
        <v>456</v>
      </c>
      <c r="G28" s="668">
        <v>-990</v>
      </c>
      <c r="H28" s="785">
        <f>SUM(G27:G28)</f>
        <v>919414</v>
      </c>
    </row>
    <row r="29" spans="2:9" x14ac:dyDescent="0.2">
      <c r="H29" s="786">
        <v>0</v>
      </c>
    </row>
    <row r="30" spans="2:9" x14ac:dyDescent="0.2">
      <c r="D30" s="509" t="s">
        <v>449</v>
      </c>
      <c r="H30" s="786">
        <v>0</v>
      </c>
      <c r="I30" s="577"/>
    </row>
    <row r="31" spans="2:9" x14ac:dyDescent="0.2">
      <c r="D31" t="s">
        <v>572</v>
      </c>
      <c r="H31" s="789">
        <v>-1175</v>
      </c>
      <c r="I31" s="577"/>
    </row>
    <row r="32" spans="2:9" x14ac:dyDescent="0.2">
      <c r="D32" t="s">
        <v>498</v>
      </c>
      <c r="H32" s="786">
        <v>0</v>
      </c>
      <c r="I32" s="577"/>
    </row>
    <row r="33" spans="2:9" x14ac:dyDescent="0.2">
      <c r="D33" t="s">
        <v>498</v>
      </c>
      <c r="G33" s="791"/>
      <c r="H33" s="789">
        <v>0</v>
      </c>
    </row>
    <row r="34" spans="2:9" x14ac:dyDescent="0.2">
      <c r="G34" s="791"/>
      <c r="H34" s="789">
        <v>0</v>
      </c>
    </row>
    <row r="35" spans="2:9" x14ac:dyDescent="0.2">
      <c r="G35" s="791"/>
      <c r="H35" s="792">
        <f>SUBTOTAL(9,H27:H34)</f>
        <v>918239</v>
      </c>
    </row>
    <row r="36" spans="2:9" x14ac:dyDescent="0.2">
      <c r="G36" s="791"/>
      <c r="H36" s="634"/>
    </row>
    <row r="37" spans="2:9" ht="16.5" thickBot="1" x14ac:dyDescent="0.3">
      <c r="B37" s="797" t="s">
        <v>483</v>
      </c>
      <c r="C37" s="794"/>
      <c r="D37" s="794"/>
      <c r="E37" s="794"/>
      <c r="F37" s="794"/>
      <c r="G37" s="795"/>
      <c r="H37" s="796">
        <f>H35+H23</f>
        <v>2207431</v>
      </c>
      <c r="I37" s="509"/>
    </row>
    <row r="38" spans="2:9" ht="13.5" thickTop="1" x14ac:dyDescent="0.2"/>
    <row r="39" spans="2:9" x14ac:dyDescent="0.2">
      <c r="G39" s="793" t="s">
        <v>450</v>
      </c>
      <c r="H39" s="575">
        <f>+Report!G85+Report!M85-NewDeals!H37</f>
        <v>0</v>
      </c>
    </row>
    <row r="43" spans="2:9" x14ac:dyDescent="0.2">
      <c r="E43" s="798"/>
      <c r="F43" s="799"/>
      <c r="G43" s="800"/>
      <c r="H43" s="801"/>
      <c r="I43" s="802" t="s">
        <v>476</v>
      </c>
    </row>
    <row r="44" spans="2:9" x14ac:dyDescent="0.2">
      <c r="E44" s="803"/>
      <c r="F44" s="804"/>
      <c r="G44" s="805" t="s">
        <v>453</v>
      </c>
      <c r="H44" s="806"/>
      <c r="I44" s="807">
        <v>1289192</v>
      </c>
    </row>
    <row r="45" spans="2:9" x14ac:dyDescent="0.2">
      <c r="E45" s="803"/>
      <c r="F45" s="804"/>
      <c r="G45" s="808" t="s">
        <v>456</v>
      </c>
      <c r="H45" s="806"/>
      <c r="I45" s="807">
        <v>0</v>
      </c>
    </row>
    <row r="46" spans="2:9" x14ac:dyDescent="0.2">
      <c r="E46" s="809"/>
      <c r="F46" s="810"/>
      <c r="G46" s="811" t="s">
        <v>478</v>
      </c>
      <c r="H46" s="812"/>
      <c r="I46" s="813"/>
    </row>
  </sheetData>
  <pageMargins left="0.75" right="0.75" top="0.67" bottom="1" header="0.5" footer="0.5"/>
  <pageSetup scale="86" orientation="landscape"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ransitionEvaluation="1" codeName="Sheet9">
    <pageSetUpPr fitToPage="1"/>
  </sheetPr>
  <dimension ref="A1:AP221"/>
  <sheetViews>
    <sheetView showGridLines="0" topLeftCell="A61" zoomScale="75" workbookViewId="0">
      <selection activeCell="O97" sqref="O97"/>
    </sheetView>
  </sheetViews>
  <sheetFormatPr defaultColWidth="8.42578125" defaultRowHeight="12.75" customHeight="1" x14ac:dyDescent="0.2"/>
  <cols>
    <col min="1" max="1" width="8.85546875" style="234" customWidth="1"/>
    <col min="2" max="2" width="1.7109375" style="234" customWidth="1"/>
    <col min="3" max="3" width="10.7109375" style="241" customWidth="1"/>
    <col min="4" max="4" width="1.5703125" style="234" customWidth="1"/>
    <col min="5" max="5" width="19" style="234" customWidth="1"/>
    <col min="6" max="6" width="3.28515625" style="234" customWidth="1"/>
    <col min="7" max="7" width="29.42578125" style="234" customWidth="1"/>
    <col min="8" max="8" width="3" style="234" customWidth="1"/>
    <col min="9" max="9" width="34.140625" style="234" customWidth="1"/>
    <col min="10" max="10" width="3.28515625" style="234" hidden="1" customWidth="1"/>
    <col min="11" max="11" width="6.85546875" style="282" hidden="1" customWidth="1"/>
    <col min="12" max="12" width="1.5703125" style="282" hidden="1" customWidth="1"/>
    <col min="13" max="13" width="9.85546875" style="282" hidden="1" customWidth="1"/>
    <col min="14" max="14" width="3.28515625" style="234" hidden="1" customWidth="1"/>
    <col min="15" max="15" width="18.85546875" style="340" customWidth="1"/>
    <col min="16" max="16" width="3.28515625" style="234" customWidth="1"/>
    <col min="17" max="17" width="18.140625" style="234" customWidth="1"/>
    <col min="18" max="18" width="14.28515625" style="260" customWidth="1"/>
    <col min="19" max="19" width="11" style="42" customWidth="1"/>
    <col min="20" max="20" width="4.140625" style="234" customWidth="1"/>
    <col min="21" max="21" width="2.42578125" style="234" customWidth="1"/>
    <col min="22" max="22" width="8.42578125" style="234" customWidth="1"/>
    <col min="23" max="23" width="2.42578125" style="234" customWidth="1"/>
    <col min="24" max="24" width="5" style="234" customWidth="1"/>
    <col min="25" max="25" width="2.42578125" style="234" customWidth="1"/>
    <col min="26" max="26" width="6.7109375" style="234" customWidth="1"/>
    <col min="27" max="27" width="2.42578125" style="234" customWidth="1"/>
    <col min="28" max="28" width="6.7109375" style="234" customWidth="1"/>
    <col min="29" max="29" width="2.42578125" style="234" customWidth="1"/>
    <col min="30" max="30" width="17.85546875" style="234" customWidth="1"/>
    <col min="31" max="31" width="3.28515625" style="234" customWidth="1"/>
    <col min="32" max="32" width="13.5703125" style="234" customWidth="1"/>
    <col min="33" max="33" width="3.28515625" style="234" customWidth="1"/>
    <col min="34" max="34" width="11" style="234" customWidth="1"/>
    <col min="35" max="35" width="2.42578125" style="234" customWidth="1"/>
    <col min="36" max="36" width="5" style="234" customWidth="1"/>
    <col min="37" max="37" width="1.5703125" style="234" customWidth="1"/>
    <col min="38" max="38" width="5.85546875" style="234" customWidth="1"/>
    <col min="39" max="39" width="3.28515625" style="234" customWidth="1"/>
    <col min="40" max="40" width="9.28515625" style="234" customWidth="1"/>
    <col min="41" max="41" width="2.42578125" style="234" customWidth="1"/>
    <col min="42" max="42" width="15.7109375" style="234" bestFit="1" customWidth="1"/>
    <col min="43" max="16384" width="8.42578125" style="234"/>
  </cols>
  <sheetData>
    <row r="1" spans="1:42" ht="12.75" customHeight="1" x14ac:dyDescent="0.2">
      <c r="A1"/>
      <c r="B1" s="366"/>
      <c r="C1"/>
      <c r="D1" s="237"/>
      <c r="E1"/>
      <c r="F1"/>
      <c r="G1" s="368" t="s">
        <v>336</v>
      </c>
      <c r="H1" s="261"/>
      <c r="I1" s="237"/>
      <c r="J1" s="237"/>
      <c r="K1" s="370"/>
      <c r="L1" s="370"/>
      <c r="M1" s="370"/>
      <c r="N1" s="366"/>
      <c r="O1" s="367"/>
      <c r="S1" s="236"/>
      <c r="AE1" s="261" t="s">
        <v>337</v>
      </c>
      <c r="AG1" s="235"/>
    </row>
    <row r="2" spans="1:42" ht="12.75" customHeight="1" x14ac:dyDescent="0.2">
      <c r="A2"/>
      <c r="B2" s="366"/>
      <c r="C2"/>
      <c r="D2" s="237"/>
      <c r="E2"/>
      <c r="F2"/>
      <c r="G2" s="261" t="str">
        <f>PriceAlberta!B3</f>
        <v>Canadian Gas (C4) - AB &amp; BC</v>
      </c>
      <c r="H2" s="261"/>
      <c r="I2" s="237"/>
      <c r="J2" s="237"/>
      <c r="K2" s="370"/>
      <c r="L2" s="370"/>
      <c r="M2" s="370"/>
      <c r="N2" s="366"/>
      <c r="O2" s="367"/>
    </row>
    <row r="3" spans="1:42" ht="12.75" customHeight="1" x14ac:dyDescent="0.25">
      <c r="A3"/>
      <c r="B3" s="366"/>
      <c r="C3" t="s">
        <v>17</v>
      </c>
      <c r="D3" s="237"/>
      <c r="E3"/>
      <c r="F3"/>
      <c r="G3" s="369">
        <f>PriceAlberta!B5</f>
        <v>36847</v>
      </c>
      <c r="H3" s="261"/>
      <c r="I3" s="237"/>
      <c r="J3" s="237"/>
      <c r="K3" s="370"/>
      <c r="L3" s="370"/>
      <c r="M3" s="370"/>
      <c r="N3" s="366"/>
      <c r="O3" s="367"/>
    </row>
    <row r="4" spans="1:42" ht="12.75" customHeight="1" x14ac:dyDescent="0.2">
      <c r="F4" s="235"/>
      <c r="G4" s="262"/>
      <c r="H4" s="235"/>
    </row>
    <row r="5" spans="1:42" ht="12.75" customHeight="1" x14ac:dyDescent="0.2">
      <c r="C5" s="440"/>
      <c r="L5" s="371" t="s">
        <v>338</v>
      </c>
      <c r="O5" s="237" t="s">
        <v>339</v>
      </c>
      <c r="Q5" s="237" t="s">
        <v>340</v>
      </c>
    </row>
    <row r="6" spans="1:42" ht="12.75" customHeight="1" x14ac:dyDescent="0.2">
      <c r="A6" s="1"/>
      <c r="B6" s="1"/>
      <c r="C6" s="441"/>
      <c r="D6" s="1"/>
      <c r="E6" s="1"/>
      <c r="F6" s="1"/>
      <c r="G6" s="1"/>
      <c r="H6" s="1"/>
      <c r="I6" s="1"/>
      <c r="K6" s="372"/>
      <c r="L6" s="371" t="s">
        <v>341</v>
      </c>
      <c r="M6" s="372"/>
      <c r="O6" s="341" t="s">
        <v>342</v>
      </c>
      <c r="P6"/>
      <c r="Q6" s="341" t="s">
        <v>342</v>
      </c>
      <c r="R6" s="349" t="s">
        <v>488</v>
      </c>
      <c r="V6" s="236" t="s">
        <v>439</v>
      </c>
    </row>
    <row r="7" spans="1:42" ht="12.75" customHeight="1" x14ac:dyDescent="0.2">
      <c r="A7" s="238" t="s">
        <v>343</v>
      </c>
      <c r="B7" s="238"/>
      <c r="C7" s="238" t="s">
        <v>219</v>
      </c>
      <c r="D7" s="238"/>
      <c r="E7" s="238" t="s">
        <v>344</v>
      </c>
      <c r="G7" s="238" t="s">
        <v>345</v>
      </c>
      <c r="I7" s="238" t="s">
        <v>346</v>
      </c>
      <c r="K7" s="373" t="s">
        <v>347</v>
      </c>
      <c r="M7" s="373" t="s">
        <v>348</v>
      </c>
      <c r="O7" s="342" t="s">
        <v>349</v>
      </c>
      <c r="P7"/>
      <c r="Q7" s="342" t="s">
        <v>349</v>
      </c>
      <c r="R7" s="342" t="s">
        <v>489</v>
      </c>
      <c r="S7" s="342" t="s">
        <v>490</v>
      </c>
      <c r="V7" s="533" t="s">
        <v>440</v>
      </c>
    </row>
    <row r="8" spans="1:42" ht="12.75" customHeight="1" x14ac:dyDescent="0.2">
      <c r="P8"/>
      <c r="Q8" s="340"/>
      <c r="R8"/>
      <c r="S8" s="551"/>
      <c r="V8" s="236" t="s">
        <v>441</v>
      </c>
      <c r="AP8" s="234" t="s">
        <v>506</v>
      </c>
    </row>
    <row r="9" spans="1:42" ht="12.75" customHeight="1" x14ac:dyDescent="0.2">
      <c r="A9" s="234" t="s">
        <v>521</v>
      </c>
      <c r="C9" s="464">
        <v>36832</v>
      </c>
      <c r="G9" s="235" t="s">
        <v>351</v>
      </c>
      <c r="H9" s="1"/>
      <c r="I9" s="425" t="s">
        <v>505</v>
      </c>
      <c r="O9" s="551">
        <f>3172/1000</f>
        <v>3.1720000000000002</v>
      </c>
      <c r="P9" s="558"/>
      <c r="Q9" s="836">
        <f>O9*R9</f>
        <v>4.8563320000000001</v>
      </c>
      <c r="R9" s="820">
        <f>VLOOKUP(C9,SpotRates!$A$4:$D$34,4,FALSE)</f>
        <v>1.5309999999999999</v>
      </c>
      <c r="S9" s="551">
        <f>+(SpotRates!$D$36-'Orig Sched'!R9)*'Orig Sched'!O9</f>
        <v>8.7230000000000252E-2</v>
      </c>
      <c r="T9"/>
      <c r="U9"/>
      <c r="V9" s="291" t="s">
        <v>442</v>
      </c>
      <c r="AP9" s="831" t="s">
        <v>501</v>
      </c>
    </row>
    <row r="10" spans="1:42" ht="12.75" customHeight="1" x14ac:dyDescent="0.2">
      <c r="C10" s="464"/>
      <c r="F10" s="1"/>
      <c r="G10" s="234" t="s">
        <v>350</v>
      </c>
      <c r="H10" s="1"/>
      <c r="I10" s="425"/>
      <c r="J10" s="1"/>
      <c r="K10" s="43"/>
      <c r="L10" s="43"/>
      <c r="M10" s="42"/>
      <c r="N10" s="1"/>
      <c r="O10" s="551">
        <v>0</v>
      </c>
      <c r="P10" s="559"/>
      <c r="Q10" s="551">
        <f>+O10*SpotRates!$D$36</f>
        <v>0</v>
      </c>
      <c r="R10" s="820"/>
      <c r="S10" s="551"/>
      <c r="T10"/>
      <c r="U10"/>
      <c r="V10" s="291" t="s">
        <v>443</v>
      </c>
      <c r="AP10" s="832" t="s">
        <v>500</v>
      </c>
    </row>
    <row r="11" spans="1:42" ht="12.75" customHeight="1" x14ac:dyDescent="0.2">
      <c r="I11" s="348"/>
      <c r="O11" s="551"/>
      <c r="P11" s="558"/>
      <c r="Q11" s="551"/>
      <c r="R11"/>
      <c r="S11"/>
      <c r="T11"/>
      <c r="U11"/>
      <c r="V11"/>
      <c r="AP11" s="832" t="s">
        <v>502</v>
      </c>
    </row>
    <row r="12" spans="1:42" ht="12.75" customHeight="1" x14ac:dyDescent="0.2">
      <c r="A12" s="234" t="s">
        <v>522</v>
      </c>
      <c r="C12" s="464">
        <v>36832</v>
      </c>
      <c r="G12" s="235" t="s">
        <v>351</v>
      </c>
      <c r="H12" s="1"/>
      <c r="I12" s="425" t="s">
        <v>505</v>
      </c>
      <c r="O12" s="558">
        <f>10294.59/1000/R12</f>
        <v>6.724095362508165</v>
      </c>
      <c r="P12" s="558"/>
      <c r="Q12" s="836">
        <f>O12*R12</f>
        <v>10.294589999999999</v>
      </c>
      <c r="R12" s="820">
        <f>VLOOKUP(C12,SpotRates!$A$4:$D$34,4,FALSE)</f>
        <v>1.5309999999999999</v>
      </c>
      <c r="S12" s="551">
        <f>+(SpotRates!$D$36-'Orig Sched'!R12)*'Orig Sched'!O12</f>
        <v>0.18491262246897508</v>
      </c>
      <c r="AP12" s="832" t="s">
        <v>503</v>
      </c>
    </row>
    <row r="13" spans="1:42" ht="12.75" customHeight="1" x14ac:dyDescent="0.2">
      <c r="C13" s="464"/>
      <c r="F13" s="1"/>
      <c r="G13" s="234" t="s">
        <v>350</v>
      </c>
      <c r="H13" s="1"/>
      <c r="I13" s="425"/>
      <c r="J13" s="1"/>
      <c r="K13" s="43"/>
      <c r="L13" s="43"/>
      <c r="M13" s="42"/>
      <c r="N13" s="1"/>
      <c r="O13" s="551">
        <v>0</v>
      </c>
      <c r="P13" s="559"/>
      <c r="Q13" s="551">
        <f>+O13*SpotRates!$D$36</f>
        <v>0</v>
      </c>
      <c r="R13" s="1"/>
      <c r="S13" s="551"/>
      <c r="AP13" s="832" t="s">
        <v>497</v>
      </c>
    </row>
    <row r="14" spans="1:42" ht="12.75" customHeight="1" x14ac:dyDescent="0.2">
      <c r="F14" s="1"/>
      <c r="H14" s="1"/>
      <c r="I14" s="1"/>
      <c r="J14" s="1"/>
      <c r="K14" s="43"/>
      <c r="L14" s="43"/>
      <c r="M14" s="42"/>
      <c r="N14" s="1"/>
      <c r="O14" s="551"/>
      <c r="P14" s="559"/>
      <c r="Q14" s="551"/>
      <c r="R14" s="1"/>
      <c r="S14"/>
      <c r="AP14" s="832" t="s">
        <v>504</v>
      </c>
    </row>
    <row r="15" spans="1:42" ht="12.75" customHeight="1" x14ac:dyDescent="0.2">
      <c r="A15" s="234" t="s">
        <v>524</v>
      </c>
      <c r="C15" s="464">
        <v>36833</v>
      </c>
      <c r="G15" s="235" t="s">
        <v>351</v>
      </c>
      <c r="H15" s="1"/>
      <c r="I15" s="425" t="s">
        <v>497</v>
      </c>
      <c r="O15" s="558">
        <f>40963.23/1000</f>
        <v>40.963230000000003</v>
      </c>
      <c r="P15" s="558"/>
      <c r="Q15" s="836">
        <f>O15*R15</f>
        <v>62.755668360000008</v>
      </c>
      <c r="R15" s="820">
        <f>VLOOKUP(C15,SpotRates!$A$4:$D$34,4,FALSE)</f>
        <v>1.532</v>
      </c>
      <c r="S15" s="551">
        <f>+(SpotRates!$D$36-'Orig Sched'!R15)*'Orig Sched'!O15</f>
        <v>1.0855255949999987</v>
      </c>
      <c r="AP15" s="832" t="s">
        <v>505</v>
      </c>
    </row>
    <row r="16" spans="1:42" ht="12.75" customHeight="1" x14ac:dyDescent="0.2">
      <c r="C16" s="464"/>
      <c r="F16" s="1"/>
      <c r="G16" s="234" t="s">
        <v>350</v>
      </c>
      <c r="H16" s="1"/>
      <c r="I16" s="425"/>
      <c r="J16" s="1"/>
      <c r="K16" s="43"/>
      <c r="L16" s="43"/>
      <c r="M16" s="42"/>
      <c r="N16" s="1"/>
      <c r="O16" s="551">
        <v>0</v>
      </c>
      <c r="P16" s="559"/>
      <c r="Q16" s="551">
        <f>+O16*SpotRates!$D$36</f>
        <v>0</v>
      </c>
      <c r="R16" s="1"/>
      <c r="S16" s="551"/>
      <c r="AP16" s="832" t="s">
        <v>507</v>
      </c>
    </row>
    <row r="17" spans="1:42" ht="12.75" customHeight="1" x14ac:dyDescent="0.2">
      <c r="F17" s="1"/>
      <c r="H17" s="1"/>
      <c r="I17" s="1"/>
      <c r="J17" s="1"/>
      <c r="K17" s="43"/>
      <c r="L17" s="43"/>
      <c r="M17" s="42"/>
      <c r="N17" s="1"/>
      <c r="O17" s="551"/>
      <c r="P17" s="559"/>
      <c r="Q17" s="551"/>
      <c r="R17" s="1"/>
      <c r="S17"/>
      <c r="AP17" s="832" t="s">
        <v>508</v>
      </c>
    </row>
    <row r="18" spans="1:42" ht="12.75" customHeight="1" x14ac:dyDescent="0.2">
      <c r="A18" s="234" t="s">
        <v>525</v>
      </c>
      <c r="C18" s="464">
        <v>36833</v>
      </c>
      <c r="G18" s="235" t="s">
        <v>351</v>
      </c>
      <c r="H18" s="1"/>
      <c r="I18" s="425" t="s">
        <v>497</v>
      </c>
      <c r="O18" s="558">
        <f>7709.02/1000</f>
        <v>7.7090200000000006</v>
      </c>
      <c r="P18" s="558"/>
      <c r="Q18" s="836">
        <f>O18*R18</f>
        <v>11.81021864</v>
      </c>
      <c r="R18" s="820">
        <f>VLOOKUP(C18,SpotRates!$A$4:$D$34,4,FALSE)</f>
        <v>1.532</v>
      </c>
      <c r="S18" s="551">
        <f>+(SpotRates!$D$36-'Orig Sched'!R18)*'Orig Sched'!O18</f>
        <v>0.20428902999999976</v>
      </c>
      <c r="AP18" s="832" t="s">
        <v>542</v>
      </c>
    </row>
    <row r="19" spans="1:42" ht="12.75" customHeight="1" x14ac:dyDescent="0.2">
      <c r="C19" s="464"/>
      <c r="F19" s="1"/>
      <c r="G19" s="234" t="s">
        <v>350</v>
      </c>
      <c r="H19" s="1"/>
      <c r="I19" s="425"/>
      <c r="J19" s="1"/>
      <c r="K19" s="43"/>
      <c r="L19" s="43"/>
      <c r="M19" s="42"/>
      <c r="N19" s="1"/>
      <c r="O19" s="551">
        <v>0</v>
      </c>
      <c r="P19" s="559"/>
      <c r="Q19" s="551">
        <f>+O19*SpotRates!$D$36</f>
        <v>0</v>
      </c>
      <c r="R19" s="1"/>
      <c r="S19" s="551"/>
      <c r="AP19" s="832"/>
    </row>
    <row r="20" spans="1:42" ht="12.75" customHeight="1" x14ac:dyDescent="0.2">
      <c r="F20" s="1"/>
      <c r="H20" s="1"/>
      <c r="I20" s="425"/>
      <c r="J20" s="1"/>
      <c r="K20" s="43"/>
      <c r="L20" s="43"/>
      <c r="M20" s="42"/>
      <c r="N20" s="1"/>
      <c r="O20" s="551"/>
      <c r="P20" s="559"/>
      <c r="Q20" s="551"/>
      <c r="R20" s="1"/>
      <c r="S20"/>
      <c r="AP20" s="832"/>
    </row>
    <row r="21" spans="1:42" ht="12.75" customHeight="1" x14ac:dyDescent="0.2">
      <c r="A21" s="234" t="s">
        <v>532</v>
      </c>
      <c r="C21" s="464">
        <v>36836</v>
      </c>
      <c r="G21" s="235" t="s">
        <v>351</v>
      </c>
      <c r="H21" s="1"/>
      <c r="I21" s="425" t="s">
        <v>497</v>
      </c>
      <c r="O21" s="558">
        <f>9131/R21/1000</f>
        <v>5.9679738562091504</v>
      </c>
      <c r="P21" s="558"/>
      <c r="Q21" s="836">
        <f>O21*R21</f>
        <v>9.1310000000000002</v>
      </c>
      <c r="R21" s="820">
        <f>VLOOKUP(C21,SpotRates!$A$4:$D$34,4,FALSE)</f>
        <v>1.53</v>
      </c>
      <c r="S21" s="551">
        <f>+(SpotRates!$D$36-'Orig Sched'!R21)*'Orig Sched'!O21</f>
        <v>0.17008725490196061</v>
      </c>
      <c r="AP21" s="832"/>
    </row>
    <row r="22" spans="1:42" ht="12.75" customHeight="1" x14ac:dyDescent="0.2">
      <c r="C22" s="464"/>
      <c r="F22" s="1"/>
      <c r="G22" s="234" t="s">
        <v>350</v>
      </c>
      <c r="H22" s="1"/>
      <c r="I22" s="425"/>
      <c r="J22" s="1"/>
      <c r="K22" s="43"/>
      <c r="L22" s="43"/>
      <c r="M22" s="42"/>
      <c r="N22" s="1"/>
      <c r="O22" s="551">
        <v>0</v>
      </c>
      <c r="P22" s="559"/>
      <c r="Q22" s="551">
        <f>+O22*SpotRates!$D$36</f>
        <v>0</v>
      </c>
      <c r="R22" s="1"/>
      <c r="S22" s="551"/>
      <c r="AP22" s="832"/>
    </row>
    <row r="23" spans="1:42" customFormat="1" ht="12.75" customHeight="1" x14ac:dyDescent="0.2">
      <c r="A23" s="234"/>
      <c r="B23" s="234"/>
      <c r="C23" s="241"/>
      <c r="D23" s="234"/>
      <c r="E23" s="234"/>
      <c r="G23" s="234"/>
      <c r="O23" s="551"/>
      <c r="P23" s="558"/>
      <c r="Q23" s="551"/>
      <c r="AP23" s="833"/>
    </row>
    <row r="24" spans="1:42" ht="12.75" customHeight="1" x14ac:dyDescent="0.2">
      <c r="A24" s="234" t="s">
        <v>533</v>
      </c>
      <c r="C24" s="464">
        <v>36837</v>
      </c>
      <c r="E24" s="234" t="s">
        <v>534</v>
      </c>
      <c r="G24" s="235" t="s">
        <v>351</v>
      </c>
      <c r="H24" s="1"/>
      <c r="I24" s="425" t="s">
        <v>497</v>
      </c>
      <c r="O24" s="558">
        <v>29.858000000000001</v>
      </c>
      <c r="P24" s="558"/>
      <c r="Q24" s="836">
        <f>O24*R24</f>
        <v>45.778285599999997</v>
      </c>
      <c r="R24" s="820">
        <f>VLOOKUP(C24,SpotRates!$A$4:$D$34,4,FALSE)</f>
        <v>1.5331999999999999</v>
      </c>
      <c r="S24" s="551">
        <f>+(SpotRates!$D$36-'Orig Sched'!R24)*'Orig Sched'!O24</f>
        <v>0.75540740000000306</v>
      </c>
      <c r="T24"/>
      <c r="U24"/>
      <c r="V24"/>
      <c r="AP24" s="832"/>
    </row>
    <row r="25" spans="1:42" ht="12.75" customHeight="1" x14ac:dyDescent="0.2">
      <c r="C25" s="464"/>
      <c r="E25" s="829"/>
      <c r="F25" s="1"/>
      <c r="G25" s="234" t="s">
        <v>350</v>
      </c>
      <c r="H25" s="1"/>
      <c r="I25" s="425"/>
      <c r="J25" s="1"/>
      <c r="K25" s="43"/>
      <c r="L25" s="43"/>
      <c r="M25" s="42"/>
      <c r="N25" s="1"/>
      <c r="O25" s="551">
        <v>0</v>
      </c>
      <c r="P25" s="559"/>
      <c r="Q25" s="551">
        <f>+O25*SpotRates!$D$36</f>
        <v>0</v>
      </c>
      <c r="R25"/>
      <c r="S25" s="551"/>
      <c r="T25"/>
      <c r="U25"/>
      <c r="V25"/>
      <c r="AP25" s="832"/>
    </row>
    <row r="26" spans="1:42" customFormat="1" ht="12.75" customHeight="1" x14ac:dyDescent="0.2">
      <c r="A26" s="234"/>
      <c r="B26" s="234"/>
      <c r="C26" s="241"/>
      <c r="D26" s="234"/>
      <c r="E26" s="829"/>
      <c r="G26" s="234"/>
      <c r="O26" s="551"/>
      <c r="P26" s="558"/>
      <c r="Q26" s="551"/>
      <c r="AP26" s="833"/>
    </row>
    <row r="27" spans="1:42" ht="12.75" customHeight="1" x14ac:dyDescent="0.2">
      <c r="A27" s="234" t="s">
        <v>535</v>
      </c>
      <c r="C27" s="464">
        <v>36837</v>
      </c>
      <c r="E27" s="829" t="s">
        <v>516</v>
      </c>
      <c r="G27" s="235" t="s">
        <v>351</v>
      </c>
      <c r="H27" s="1"/>
      <c r="I27" s="425" t="s">
        <v>505</v>
      </c>
      <c r="O27" s="558">
        <f>3334.8/R27/1000</f>
        <v>2.1750587007565878</v>
      </c>
      <c r="P27" s="558"/>
      <c r="Q27" s="836">
        <f>O27*R27</f>
        <v>3.3348</v>
      </c>
      <c r="R27" s="820">
        <f>VLOOKUP(C27,SpotRates!$A$4:$D$34,4,FALSE)</f>
        <v>1.5331999999999999</v>
      </c>
      <c r="S27" s="551">
        <f>+(SpotRates!$D$36-'Orig Sched'!R27)*'Orig Sched'!O27</f>
        <v>5.5028985129141887E-2</v>
      </c>
      <c r="T27"/>
      <c r="U27"/>
      <c r="V27"/>
      <c r="AP27" s="832"/>
    </row>
    <row r="28" spans="1:42" ht="12.75" customHeight="1" x14ac:dyDescent="0.2">
      <c r="C28" s="464"/>
      <c r="E28" s="829"/>
      <c r="F28" s="1"/>
      <c r="G28" s="234" t="s">
        <v>350</v>
      </c>
      <c r="H28" s="1"/>
      <c r="I28" s="425"/>
      <c r="J28" s="1"/>
      <c r="K28" s="43"/>
      <c r="L28" s="43"/>
      <c r="M28" s="42"/>
      <c r="N28" s="1"/>
      <c r="O28" s="551">
        <v>0</v>
      </c>
      <c r="P28" s="559"/>
      <c r="Q28" s="551">
        <f>+O28*SpotRates!$D$36</f>
        <v>0</v>
      </c>
      <c r="R28"/>
      <c r="S28" s="551"/>
      <c r="T28"/>
      <c r="U28"/>
      <c r="V28"/>
      <c r="AP28" s="832"/>
    </row>
    <row r="29" spans="1:42" customFormat="1" ht="12.75" customHeight="1" x14ac:dyDescent="0.2">
      <c r="A29" s="234"/>
      <c r="B29" s="234"/>
      <c r="C29" s="241"/>
      <c r="D29" s="234"/>
      <c r="E29" s="829"/>
      <c r="G29" s="234"/>
      <c r="O29" s="551"/>
      <c r="P29" s="558"/>
      <c r="Q29" s="551"/>
      <c r="AP29" s="833"/>
    </row>
    <row r="30" spans="1:42" customFormat="1" ht="12.75" customHeight="1" x14ac:dyDescent="0.2">
      <c r="A30" s="234" t="s">
        <v>536</v>
      </c>
      <c r="B30" s="234"/>
      <c r="C30" s="464">
        <v>36837</v>
      </c>
      <c r="D30" s="234"/>
      <c r="E30" s="829" t="s">
        <v>537</v>
      </c>
      <c r="F30" s="234"/>
      <c r="G30" s="235" t="s">
        <v>351</v>
      </c>
      <c r="H30" s="1"/>
      <c r="I30" s="425" t="s">
        <v>497</v>
      </c>
      <c r="O30" s="558">
        <f>29205.38/1000/R30</f>
        <v>19.048643360292203</v>
      </c>
      <c r="P30" s="558"/>
      <c r="Q30" s="836">
        <f>O30*R30</f>
        <v>29.205380000000005</v>
      </c>
      <c r="R30" s="820">
        <f>VLOOKUP(C30,SpotRates!$A$4:$D$34,4,FALSE)</f>
        <v>1.5331999999999999</v>
      </c>
      <c r="S30" s="551">
        <f>+(SpotRates!$D$36-'Orig Sched'!R30)*'Orig Sched'!O30</f>
        <v>0.48193067701539466</v>
      </c>
      <c r="AP30" s="833"/>
    </row>
    <row r="31" spans="1:42" customFormat="1" ht="12.75" customHeight="1" x14ac:dyDescent="0.2">
      <c r="A31" s="234"/>
      <c r="B31" s="234"/>
      <c r="C31" s="464"/>
      <c r="D31" s="234"/>
      <c r="E31" s="829"/>
      <c r="G31" s="234" t="s">
        <v>350</v>
      </c>
      <c r="O31" s="551">
        <v>0</v>
      </c>
      <c r="P31" s="558"/>
      <c r="Q31" s="551">
        <f>+O31*SpotRates!$D$36</f>
        <v>0</v>
      </c>
      <c r="R31" s="1"/>
      <c r="S31" s="551"/>
      <c r="AP31" s="833"/>
    </row>
    <row r="32" spans="1:42" ht="12.75" customHeight="1" x14ac:dyDescent="0.2">
      <c r="F32" s="1"/>
      <c r="H32" s="1"/>
      <c r="I32" s="1"/>
      <c r="J32" s="1"/>
      <c r="K32" s="43"/>
      <c r="L32" s="43"/>
      <c r="M32" s="42"/>
      <c r="N32" s="1"/>
      <c r="O32" s="551"/>
      <c r="P32" s="1"/>
      <c r="Q32" s="551"/>
      <c r="R32" s="1"/>
      <c r="S32"/>
      <c r="AP32" s="832"/>
    </row>
    <row r="33" spans="1:42" customFormat="1" ht="12.75" customHeight="1" x14ac:dyDescent="0.2">
      <c r="A33" s="234" t="s">
        <v>538</v>
      </c>
      <c r="B33" s="234"/>
      <c r="C33" s="464">
        <v>36837</v>
      </c>
      <c r="D33" s="234"/>
      <c r="E33" s="234" t="s">
        <v>539</v>
      </c>
      <c r="F33" s="234"/>
      <c r="G33" s="235" t="s">
        <v>351</v>
      </c>
      <c r="H33" s="1"/>
      <c r="I33" s="425" t="s">
        <v>497</v>
      </c>
      <c r="O33" s="558">
        <f>29205.38/1000/R33</f>
        <v>19.048643360292203</v>
      </c>
      <c r="P33" s="558"/>
      <c r="Q33" s="836">
        <f>O33*R33</f>
        <v>29.205380000000005</v>
      </c>
      <c r="R33" s="820">
        <f>VLOOKUP(C33,SpotRates!$A$4:$D$34,4,FALSE)</f>
        <v>1.5331999999999999</v>
      </c>
      <c r="S33" s="551">
        <f>+(SpotRates!$D$36-'Orig Sched'!R33)*'Orig Sched'!O33</f>
        <v>0.48193067701539466</v>
      </c>
      <c r="AP33" s="833"/>
    </row>
    <row r="34" spans="1:42" customFormat="1" ht="12.75" customHeight="1" x14ac:dyDescent="0.2">
      <c r="A34" s="234"/>
      <c r="B34" s="234"/>
      <c r="C34" s="464"/>
      <c r="D34" s="234"/>
      <c r="E34" s="234"/>
      <c r="G34" s="234" t="s">
        <v>350</v>
      </c>
      <c r="O34" s="551">
        <v>0</v>
      </c>
      <c r="P34" s="558"/>
      <c r="Q34" s="551">
        <f>+O34*SpotRates!$D$36</f>
        <v>0</v>
      </c>
      <c r="R34" s="1"/>
      <c r="S34" s="551"/>
      <c r="AP34" s="833"/>
    </row>
    <row r="35" spans="1:42" ht="12.75" customHeight="1" x14ac:dyDescent="0.2">
      <c r="F35" s="1"/>
      <c r="H35" s="1"/>
      <c r="I35" s="1"/>
      <c r="J35" s="1"/>
      <c r="K35" s="43"/>
      <c r="L35" s="43"/>
      <c r="M35" s="42"/>
      <c r="N35" s="1"/>
      <c r="O35" s="551"/>
      <c r="P35" s="1"/>
      <c r="Q35" s="551"/>
      <c r="R35" s="1"/>
      <c r="S35"/>
      <c r="AP35" s="834"/>
    </row>
    <row r="36" spans="1:42" customFormat="1" ht="12.75" customHeight="1" x14ac:dyDescent="0.2">
      <c r="A36" s="234" t="s">
        <v>540</v>
      </c>
      <c r="B36" s="234"/>
      <c r="C36" s="464">
        <v>36837</v>
      </c>
      <c r="D36" s="234"/>
      <c r="E36" s="234" t="s">
        <v>541</v>
      </c>
      <c r="F36" s="234"/>
      <c r="G36" s="235" t="s">
        <v>351</v>
      </c>
      <c r="H36" s="1"/>
      <c r="I36" s="425" t="s">
        <v>497</v>
      </c>
      <c r="O36" s="558">
        <f>30736.01/1000</f>
        <v>30.736009999999997</v>
      </c>
      <c r="P36" s="558"/>
      <c r="Q36" s="836">
        <f>O36*R36</f>
        <v>47.12445053199999</v>
      </c>
      <c r="R36" s="820">
        <f>VLOOKUP(C36,SpotRates!$A$4:$D$34,4,FALSE)</f>
        <v>1.5331999999999999</v>
      </c>
      <c r="S36" s="551">
        <f>+(SpotRates!$D$36-'Orig Sched'!R36)*'Orig Sched'!O36</f>
        <v>0.77762105300000295</v>
      </c>
    </row>
    <row r="37" spans="1:42" customFormat="1" ht="12.75" customHeight="1" x14ac:dyDescent="0.2">
      <c r="A37" s="234"/>
      <c r="B37" s="234"/>
      <c r="C37" s="464"/>
      <c r="D37" s="234"/>
      <c r="E37" s="234"/>
      <c r="G37" s="234" t="s">
        <v>350</v>
      </c>
      <c r="O37" s="551">
        <v>0</v>
      </c>
      <c r="P37" s="558"/>
      <c r="Q37" s="551">
        <f>+O37*SpotRates!$D$36</f>
        <v>0</v>
      </c>
      <c r="R37" s="1"/>
      <c r="S37" s="551"/>
    </row>
    <row r="38" spans="1:42" ht="12.75" customHeight="1" x14ac:dyDescent="0.2">
      <c r="F38" s="1"/>
      <c r="H38" s="1"/>
      <c r="I38" s="1"/>
      <c r="J38" s="1"/>
      <c r="K38" s="43"/>
      <c r="L38" s="43"/>
      <c r="M38" s="42"/>
      <c r="N38" s="1"/>
      <c r="O38" s="551"/>
      <c r="P38" s="1"/>
      <c r="Q38" s="551"/>
      <c r="R38" s="1"/>
      <c r="S38"/>
    </row>
    <row r="39" spans="1:42" customFormat="1" ht="12.75" customHeight="1" x14ac:dyDescent="0.2">
      <c r="A39" s="234"/>
      <c r="B39" s="234"/>
      <c r="C39" s="464">
        <v>36838</v>
      </c>
      <c r="D39" s="234"/>
      <c r="E39" s="234" t="s">
        <v>543</v>
      </c>
      <c r="F39" s="234"/>
      <c r="G39" s="235" t="s">
        <v>351</v>
      </c>
      <c r="H39" s="1"/>
      <c r="I39" s="425" t="s">
        <v>507</v>
      </c>
      <c r="O39" s="558">
        <v>0</v>
      </c>
      <c r="P39" s="558"/>
      <c r="Q39" s="836">
        <f>O39*R39</f>
        <v>0</v>
      </c>
      <c r="R39" s="820">
        <f>VLOOKUP(C39,SpotRates!$A$4:$D$34,4,FALSE)</f>
        <v>1.54</v>
      </c>
      <c r="S39" s="551">
        <f>+(SpotRates!$D$36-'Orig Sched'!R39)*'Orig Sched'!O39</f>
        <v>0</v>
      </c>
    </row>
    <row r="40" spans="1:42" customFormat="1" ht="12.75" customHeight="1" x14ac:dyDescent="0.2">
      <c r="A40" s="234"/>
      <c r="B40" s="234"/>
      <c r="C40" s="464"/>
      <c r="D40" s="234"/>
      <c r="E40" s="234"/>
      <c r="G40" s="234" t="s">
        <v>350</v>
      </c>
      <c r="O40" s="551">
        <f>-1100000/1000</f>
        <v>-1100</v>
      </c>
      <c r="P40" s="558"/>
      <c r="Q40" s="551">
        <f>+O40*R39</f>
        <v>-1694</v>
      </c>
      <c r="R40" s="1"/>
      <c r="S40" s="551"/>
    </row>
    <row r="41" spans="1:42" ht="12.75" customHeight="1" x14ac:dyDescent="0.2">
      <c r="F41" s="1"/>
      <c r="H41" s="1"/>
      <c r="I41" s="1"/>
      <c r="J41" s="1"/>
      <c r="K41" s="43"/>
      <c r="L41" s="43"/>
      <c r="M41" s="42"/>
      <c r="N41" s="1"/>
      <c r="O41" s="551"/>
      <c r="P41" s="1"/>
      <c r="Q41" s="551"/>
      <c r="R41" s="1"/>
      <c r="S41"/>
    </row>
    <row r="42" spans="1:42" customFormat="1" ht="12.75" customHeight="1" x14ac:dyDescent="0.2">
      <c r="A42" s="234"/>
      <c r="B42" s="234"/>
      <c r="C42" s="464">
        <v>36838</v>
      </c>
      <c r="D42" s="234"/>
      <c r="E42" s="234" t="s">
        <v>543</v>
      </c>
      <c r="F42" s="234"/>
      <c r="G42" s="235" t="s">
        <v>351</v>
      </c>
      <c r="H42" s="1"/>
      <c r="I42" s="425" t="s">
        <v>507</v>
      </c>
      <c r="O42" s="558">
        <f>1100000/1000</f>
        <v>1100</v>
      </c>
      <c r="P42" s="558"/>
      <c r="Q42" s="836">
        <f>O42*R42</f>
        <v>1694</v>
      </c>
      <c r="R42" s="820">
        <f>VLOOKUP(C42,SpotRates!$A$4:$D$34,4,FALSE)</f>
        <v>1.54</v>
      </c>
      <c r="S42" s="551">
        <f>+(SpotRates!$D$36-'Orig Sched'!R42)*'Orig Sched'!O42</f>
        <v>20.349999999999959</v>
      </c>
    </row>
    <row r="43" spans="1:42" customFormat="1" ht="12.75" customHeight="1" x14ac:dyDescent="0.2">
      <c r="A43" s="234"/>
      <c r="B43" s="234"/>
      <c r="C43" s="464"/>
      <c r="D43" s="234"/>
      <c r="E43" s="234"/>
      <c r="G43" s="234" t="s">
        <v>350</v>
      </c>
      <c r="O43" s="551">
        <v>0</v>
      </c>
      <c r="P43" s="558"/>
      <c r="Q43" s="551">
        <f>+O43*SpotRates!$D$36</f>
        <v>0</v>
      </c>
      <c r="R43" s="1"/>
      <c r="S43" s="551"/>
    </row>
    <row r="44" spans="1:42" ht="12.75" customHeight="1" x14ac:dyDescent="0.2">
      <c r="F44" s="1"/>
      <c r="H44" s="1"/>
      <c r="I44" s="1"/>
      <c r="J44" s="1"/>
      <c r="K44" s="43"/>
      <c r="L44" s="43"/>
      <c r="M44" s="42"/>
      <c r="N44" s="1"/>
      <c r="O44" s="551"/>
      <c r="P44" s="1"/>
      <c r="Q44" s="551"/>
      <c r="R44" s="1"/>
      <c r="S44"/>
    </row>
    <row r="45" spans="1:42" customFormat="1" ht="12.75" customHeight="1" x14ac:dyDescent="0.2">
      <c r="A45" s="234" t="s">
        <v>524</v>
      </c>
      <c r="B45" s="234"/>
      <c r="C45" s="464">
        <v>36838</v>
      </c>
      <c r="D45" s="234"/>
      <c r="E45" s="234" t="s">
        <v>541</v>
      </c>
      <c r="F45" s="234"/>
      <c r="G45" s="235" t="s">
        <v>351</v>
      </c>
      <c r="H45" s="1"/>
      <c r="I45" s="425" t="s">
        <v>497</v>
      </c>
      <c r="O45" s="558">
        <f>23890.73/1000</f>
        <v>23.890729999999998</v>
      </c>
      <c r="P45" s="558"/>
      <c r="Q45" s="551">
        <f>O45*R45</f>
        <v>36.791724199999997</v>
      </c>
      <c r="R45" s="820">
        <f>VLOOKUP(C45,SpotRates!$A$4:$D$34,4,FALSE)</f>
        <v>1.54</v>
      </c>
      <c r="S45" s="551">
        <f>+(SpotRates!$D$36-'Orig Sched'!R45)*'Orig Sched'!O45</f>
        <v>0.44197850499999902</v>
      </c>
    </row>
    <row r="46" spans="1:42" customFormat="1" ht="12.75" customHeight="1" x14ac:dyDescent="0.2">
      <c r="A46" s="234"/>
      <c r="B46" s="234"/>
      <c r="C46" s="464"/>
      <c r="D46" s="234"/>
      <c r="E46" s="234"/>
      <c r="G46" s="234" t="s">
        <v>350</v>
      </c>
      <c r="O46" s="551">
        <v>0</v>
      </c>
      <c r="P46" s="558"/>
      <c r="Q46" s="551">
        <f>+O46*SpotRates!$D$36</f>
        <v>0</v>
      </c>
      <c r="R46" s="1"/>
      <c r="S46" s="551"/>
    </row>
    <row r="47" spans="1:42" ht="12.75" customHeight="1" x14ac:dyDescent="0.2">
      <c r="F47" s="1"/>
      <c r="H47" s="1"/>
      <c r="I47" s="1"/>
      <c r="J47" s="1"/>
      <c r="K47" s="43"/>
      <c r="L47" s="43"/>
      <c r="M47" s="42"/>
      <c r="N47" s="1"/>
      <c r="O47" s="551"/>
      <c r="P47" s="1"/>
      <c r="Q47" s="551"/>
      <c r="R47" s="1"/>
      <c r="S47"/>
    </row>
    <row r="48" spans="1:42" customFormat="1" ht="12.75" customHeight="1" x14ac:dyDescent="0.2">
      <c r="A48" s="234" t="s">
        <v>544</v>
      </c>
      <c r="B48" s="234"/>
      <c r="C48" s="464">
        <v>36838</v>
      </c>
      <c r="D48" s="234"/>
      <c r="E48" s="234" t="s">
        <v>541</v>
      </c>
      <c r="F48" s="234"/>
      <c r="G48" s="235" t="s">
        <v>351</v>
      </c>
      <c r="H48" s="1"/>
      <c r="I48" s="425" t="s">
        <v>497</v>
      </c>
      <c r="O48" s="558">
        <f>20494.49/1000</f>
        <v>20.494490000000003</v>
      </c>
      <c r="P48" s="558"/>
      <c r="Q48" s="551">
        <f>O48*R48</f>
        <v>31.561514600000006</v>
      </c>
      <c r="R48" s="820">
        <f>VLOOKUP(C48,SpotRates!$A$4:$D$34,4,FALSE)</f>
        <v>1.54</v>
      </c>
      <c r="S48" s="551">
        <f>+(SpotRates!$D$36-'Orig Sched'!R48)*'Orig Sched'!O48</f>
        <v>0.37914806499999926</v>
      </c>
    </row>
    <row r="49" spans="1:19" customFormat="1" ht="12.75" customHeight="1" x14ac:dyDescent="0.2">
      <c r="A49" s="234"/>
      <c r="B49" s="234"/>
      <c r="C49" s="464"/>
      <c r="D49" s="234"/>
      <c r="E49" s="234"/>
      <c r="G49" s="234" t="s">
        <v>350</v>
      </c>
      <c r="O49" s="551">
        <v>0</v>
      </c>
      <c r="P49" s="558"/>
      <c r="Q49" s="551">
        <f>+O49*SpotRates!$D$36</f>
        <v>0</v>
      </c>
      <c r="R49" s="1"/>
      <c r="S49" s="551"/>
    </row>
    <row r="50" spans="1:19" customFormat="1" ht="12.75" customHeight="1" x14ac:dyDescent="0.2">
      <c r="A50" s="234"/>
      <c r="B50" s="234"/>
      <c r="C50" s="241"/>
      <c r="D50" s="234"/>
      <c r="E50" s="829"/>
      <c r="G50" s="234"/>
      <c r="O50" s="551"/>
      <c r="P50" s="558"/>
      <c r="Q50" s="551"/>
      <c r="R50" s="1"/>
    </row>
    <row r="51" spans="1:19" customFormat="1" ht="12.75" customHeight="1" x14ac:dyDescent="0.2">
      <c r="A51" s="234" t="s">
        <v>540</v>
      </c>
      <c r="B51" s="234"/>
      <c r="C51" s="464">
        <v>36838</v>
      </c>
      <c r="D51" s="234"/>
      <c r="E51" s="829" t="s">
        <v>541</v>
      </c>
      <c r="F51" s="234"/>
      <c r="G51" s="235" t="s">
        <v>351</v>
      </c>
      <c r="H51" s="1"/>
      <c r="I51" s="425" t="s">
        <v>497</v>
      </c>
      <c r="O51" s="558">
        <f>17918/1000</f>
        <v>17.917999999999999</v>
      </c>
      <c r="P51" s="558"/>
      <c r="Q51" s="551">
        <f>O51*R51</f>
        <v>27.593720000000001</v>
      </c>
      <c r="R51" s="820">
        <f>VLOOKUP(C51,SpotRates!$A$4:$D$34,4,FALSE)</f>
        <v>1.54</v>
      </c>
      <c r="S51" s="551">
        <f>+(SpotRates!$D$36-'Orig Sched'!R51)*'Orig Sched'!O51</f>
        <v>0.33148299999999931</v>
      </c>
    </row>
    <row r="52" spans="1:19" customFormat="1" ht="12.75" customHeight="1" x14ac:dyDescent="0.2">
      <c r="A52" s="234"/>
      <c r="B52" s="234"/>
      <c r="C52" s="464"/>
      <c r="D52" s="234"/>
      <c r="E52" s="829"/>
      <c r="G52" s="234" t="s">
        <v>350</v>
      </c>
      <c r="O52" s="551">
        <v>0</v>
      </c>
      <c r="P52" s="558"/>
      <c r="Q52" s="551">
        <f>+O52*SpotRates!$D$36</f>
        <v>0</v>
      </c>
      <c r="R52" s="1"/>
      <c r="S52" s="551"/>
    </row>
    <row r="53" spans="1:19" ht="12.75" customHeight="1" x14ac:dyDescent="0.2">
      <c r="E53" s="829"/>
      <c r="F53" s="1"/>
      <c r="H53" s="1"/>
      <c r="I53" s="1"/>
      <c r="J53" s="1"/>
      <c r="K53" s="43"/>
      <c r="L53" s="43"/>
      <c r="M53" s="42"/>
      <c r="N53" s="1"/>
      <c r="O53" s="551"/>
      <c r="P53" s="1"/>
      <c r="Q53" s="551"/>
      <c r="R53" s="1"/>
      <c r="S53"/>
    </row>
    <row r="54" spans="1:19" customFormat="1" ht="12.75" customHeight="1" x14ac:dyDescent="0.2">
      <c r="A54" s="234" t="s">
        <v>545</v>
      </c>
      <c r="B54" s="234"/>
      <c r="C54" s="464">
        <v>36838</v>
      </c>
      <c r="D54" s="234"/>
      <c r="E54" s="234" t="s">
        <v>541</v>
      </c>
      <c r="F54" s="234"/>
      <c r="G54" s="235" t="s">
        <v>351</v>
      </c>
      <c r="H54" s="1"/>
      <c r="I54" s="425" t="s">
        <v>497</v>
      </c>
      <c r="O54" s="558">
        <f>17918.04/1000</f>
        <v>17.918040000000001</v>
      </c>
      <c r="P54" s="558"/>
      <c r="Q54" s="551">
        <f>O54*R54</f>
        <v>27.593781600000003</v>
      </c>
      <c r="R54" s="820">
        <f>VLOOKUP(C54,SpotRates!$A$4:$D$34,4,FALSE)</f>
        <v>1.54</v>
      </c>
      <c r="S54" s="551">
        <f>+(SpotRates!$D$36-'Orig Sched'!R54)*'Orig Sched'!O54</f>
        <v>0.33148373999999931</v>
      </c>
    </row>
    <row r="55" spans="1:19" customFormat="1" ht="12.75" customHeight="1" x14ac:dyDescent="0.2">
      <c r="A55" s="234"/>
      <c r="B55" s="234"/>
      <c r="C55" s="464"/>
      <c r="D55" s="234"/>
      <c r="E55" s="829"/>
      <c r="G55" s="234" t="s">
        <v>350</v>
      </c>
      <c r="O55" s="551">
        <v>0</v>
      </c>
      <c r="P55" s="558"/>
      <c r="Q55" s="551">
        <f>+O55*SpotRates!$D$36</f>
        <v>0</v>
      </c>
      <c r="R55" s="1"/>
      <c r="S55" s="551"/>
    </row>
    <row r="56" spans="1:19" ht="12.75" customHeight="1" x14ac:dyDescent="0.2">
      <c r="E56" s="829"/>
      <c r="F56" s="1"/>
      <c r="H56" s="1"/>
      <c r="I56" s="1"/>
      <c r="J56" s="1"/>
      <c r="K56" s="43"/>
      <c r="L56" s="43"/>
      <c r="M56" s="42"/>
      <c r="N56" s="1"/>
      <c r="O56" s="551"/>
      <c r="P56" s="1"/>
      <c r="Q56" s="551"/>
      <c r="R56" s="1"/>
      <c r="S56"/>
    </row>
    <row r="57" spans="1:19" customFormat="1" ht="12.75" customHeight="1" x14ac:dyDescent="0.2">
      <c r="A57" s="234" t="s">
        <v>546</v>
      </c>
      <c r="B57" s="234"/>
      <c r="C57" s="464">
        <v>36838</v>
      </c>
      <c r="D57" s="234"/>
      <c r="E57" s="234" t="s">
        <v>547</v>
      </c>
      <c r="F57" s="234"/>
      <c r="G57" s="235" t="s">
        <v>351</v>
      </c>
      <c r="H57" s="1"/>
      <c r="I57" s="425" t="s">
        <v>500</v>
      </c>
      <c r="O57" s="558">
        <f>27557.95/1000</f>
        <v>27.557950000000002</v>
      </c>
      <c r="P57" s="558"/>
      <c r="Q57" s="551">
        <f>O57*R57</f>
        <v>42.439243000000005</v>
      </c>
      <c r="R57" s="820">
        <f>VLOOKUP(C57,SpotRates!$A$4:$D$34,4,FALSE)</f>
        <v>1.54</v>
      </c>
      <c r="S57" s="551">
        <f>+(SpotRates!$D$36-'Orig Sched'!R57)*'Orig Sched'!O57</f>
        <v>0.50982207499999899</v>
      </c>
    </row>
    <row r="58" spans="1:19" customFormat="1" ht="12.75" customHeight="1" x14ac:dyDescent="0.2">
      <c r="A58" s="234"/>
      <c r="B58" s="234"/>
      <c r="C58" s="464"/>
      <c r="D58" s="234"/>
      <c r="E58" s="829"/>
      <c r="G58" s="234" t="s">
        <v>350</v>
      </c>
      <c r="O58" s="551">
        <v>0</v>
      </c>
      <c r="P58" s="558"/>
      <c r="Q58" s="551">
        <f>+O58*SpotRates!$D$36</f>
        <v>0</v>
      </c>
      <c r="R58" s="551"/>
      <c r="S58" s="551"/>
    </row>
    <row r="59" spans="1:19" ht="12.75" customHeight="1" x14ac:dyDescent="0.2">
      <c r="E59" s="829"/>
      <c r="F59" s="1"/>
      <c r="H59" s="1"/>
      <c r="I59" s="1"/>
      <c r="J59" s="1"/>
      <c r="K59" s="43"/>
      <c r="L59" s="43"/>
      <c r="M59" s="42"/>
      <c r="N59" s="1"/>
      <c r="O59" s="551"/>
      <c r="P59" s="1"/>
      <c r="Q59" s="551"/>
      <c r="R59" s="345"/>
      <c r="S59"/>
    </row>
    <row r="60" spans="1:19" customFormat="1" ht="12.75" customHeight="1" x14ac:dyDescent="0.2">
      <c r="A60" s="234" t="s">
        <v>548</v>
      </c>
      <c r="B60" s="234"/>
      <c r="C60" s="464">
        <v>36838</v>
      </c>
      <c r="D60" s="234"/>
      <c r="E60" s="829" t="s">
        <v>549</v>
      </c>
      <c r="F60" s="234"/>
      <c r="G60" s="235" t="s">
        <v>351</v>
      </c>
      <c r="H60" s="1"/>
      <c r="I60" s="425" t="s">
        <v>505</v>
      </c>
      <c r="O60" s="558">
        <f>837.69/1000/R60</f>
        <v>0.54395454545454547</v>
      </c>
      <c r="P60" s="558"/>
      <c r="Q60" s="551">
        <f>O60*R60</f>
        <v>0.83769000000000005</v>
      </c>
      <c r="R60" s="820">
        <f>VLOOKUP(C60,SpotRates!$A$4:$D$34,4,FALSE)</f>
        <v>1.54</v>
      </c>
      <c r="S60" s="551">
        <f>+(SpotRates!$D$36-'Orig Sched'!R60)*'Orig Sched'!O60</f>
        <v>1.0063159090909071E-2</v>
      </c>
    </row>
    <row r="61" spans="1:19" customFormat="1" ht="12.75" customHeight="1" x14ac:dyDescent="0.2">
      <c r="A61" s="234"/>
      <c r="B61" s="234"/>
      <c r="C61" s="464"/>
      <c r="D61" s="234"/>
      <c r="E61" s="234"/>
      <c r="G61" s="234" t="s">
        <v>350</v>
      </c>
      <c r="O61" s="551">
        <v>0</v>
      </c>
      <c r="P61" s="558"/>
      <c r="Q61" s="551">
        <f>+O61*SpotRates!$D$36</f>
        <v>0</v>
      </c>
      <c r="R61" s="1"/>
      <c r="S61" s="551"/>
    </row>
    <row r="62" spans="1:19" ht="12.75" customHeight="1" x14ac:dyDescent="0.2">
      <c r="F62" s="1"/>
      <c r="H62" s="1"/>
      <c r="I62" s="1"/>
      <c r="J62" s="1"/>
      <c r="K62" s="43"/>
      <c r="L62" s="43"/>
      <c r="M62" s="42"/>
      <c r="N62" s="1"/>
      <c r="O62" s="551"/>
      <c r="P62" s="1"/>
      <c r="Q62" s="551"/>
      <c r="R62" s="1"/>
      <c r="S62"/>
    </row>
    <row r="63" spans="1:19" customFormat="1" ht="12.75" customHeight="1" x14ac:dyDescent="0.2">
      <c r="A63" s="234" t="s">
        <v>551</v>
      </c>
      <c r="B63" s="234"/>
      <c r="C63" s="464">
        <v>36839</v>
      </c>
      <c r="D63" s="234"/>
      <c r="E63" s="234" t="s">
        <v>541</v>
      </c>
      <c r="F63" s="234"/>
      <c r="G63" s="235" t="s">
        <v>351</v>
      </c>
      <c r="H63" s="1"/>
      <c r="I63" s="425" t="s">
        <v>497</v>
      </c>
      <c r="O63" s="558">
        <f>772.17/1000</f>
        <v>0.77216999999999991</v>
      </c>
      <c r="P63" s="558"/>
      <c r="Q63" s="551">
        <f>O63*R63</f>
        <v>1.1953191599999999</v>
      </c>
      <c r="R63" s="820">
        <f>VLOOKUP(C63,SpotRates!$A$4:$D$34,4,FALSE)</f>
        <v>1.548</v>
      </c>
      <c r="S63" s="551">
        <f>+(SpotRates!$D$36-'Orig Sched'!R63)*'Orig Sched'!O63</f>
        <v>8.1077849999999629E-3</v>
      </c>
    </row>
    <row r="64" spans="1:19" customFormat="1" ht="12.75" customHeight="1" x14ac:dyDescent="0.2">
      <c r="A64" s="234"/>
      <c r="B64" s="234"/>
      <c r="C64" s="464"/>
      <c r="D64" s="234"/>
      <c r="E64" s="234"/>
      <c r="G64" s="234" t="s">
        <v>350</v>
      </c>
      <c r="O64" s="551">
        <v>0</v>
      </c>
      <c r="P64" s="558"/>
      <c r="Q64" s="551">
        <f>+O64*SpotRates!$D$36</f>
        <v>0</v>
      </c>
      <c r="R64" s="1"/>
      <c r="S64" s="551"/>
    </row>
    <row r="65" spans="1:19" ht="12.75" customHeight="1" x14ac:dyDescent="0.2">
      <c r="F65" s="1"/>
      <c r="H65" s="1"/>
      <c r="I65" s="1"/>
      <c r="J65" s="1"/>
      <c r="K65" s="43"/>
      <c r="L65" s="43"/>
      <c r="M65" s="42"/>
      <c r="N65" s="1"/>
      <c r="O65" s="551"/>
      <c r="P65" s="1"/>
      <c r="Q65" s="551"/>
      <c r="R65" s="1"/>
      <c r="S65"/>
    </row>
    <row r="66" spans="1:19" customFormat="1" ht="12.75" customHeight="1" x14ac:dyDescent="0.2">
      <c r="A66" s="234" t="s">
        <v>550</v>
      </c>
      <c r="B66" s="234"/>
      <c r="C66" s="464">
        <v>36839</v>
      </c>
      <c r="D66" s="234"/>
      <c r="E66" s="234" t="s">
        <v>541</v>
      </c>
      <c r="F66" s="234"/>
      <c r="G66" s="235" t="s">
        <v>351</v>
      </c>
      <c r="H66" s="1"/>
      <c r="I66" s="425" t="s">
        <v>497</v>
      </c>
      <c r="O66" s="558">
        <f>10252.87/1000</f>
        <v>10.252870000000001</v>
      </c>
      <c r="P66" s="558"/>
      <c r="Q66" s="551">
        <f>O66*R66</f>
        <v>15.871442760000003</v>
      </c>
      <c r="R66" s="820">
        <f>VLOOKUP(C66,SpotRates!$A$4:$D$34,4,FALSE)</f>
        <v>1.548</v>
      </c>
      <c r="S66" s="551">
        <f>+(SpotRates!$D$36-'Orig Sched'!R66)*'Orig Sched'!O66</f>
        <v>0.10765513499999954</v>
      </c>
    </row>
    <row r="67" spans="1:19" customFormat="1" ht="12.75" customHeight="1" x14ac:dyDescent="0.2">
      <c r="A67" s="234"/>
      <c r="B67" s="234"/>
      <c r="C67" s="464"/>
      <c r="D67" s="234"/>
      <c r="E67" s="234"/>
      <c r="G67" s="234" t="s">
        <v>350</v>
      </c>
      <c r="O67" s="551">
        <v>0</v>
      </c>
      <c r="P67" s="558"/>
      <c r="Q67" s="551">
        <f>+O67*SpotRates!$D$36</f>
        <v>0</v>
      </c>
      <c r="R67" s="1"/>
      <c r="S67" s="551"/>
    </row>
    <row r="68" spans="1:19" ht="12.75" customHeight="1" x14ac:dyDescent="0.2">
      <c r="F68" s="1"/>
      <c r="H68" s="1"/>
      <c r="I68" s="1"/>
      <c r="J68" s="1"/>
      <c r="K68" s="43"/>
      <c r="L68" s="43"/>
      <c r="M68" s="42"/>
      <c r="N68" s="1"/>
      <c r="O68" s="551"/>
      <c r="P68" s="1"/>
      <c r="Q68" s="551"/>
      <c r="R68" s="1"/>
      <c r="S68"/>
    </row>
    <row r="69" spans="1:19" customFormat="1" ht="12.75" customHeight="1" x14ac:dyDescent="0.2">
      <c r="A69" s="234" t="s">
        <v>552</v>
      </c>
      <c r="B69" s="234"/>
      <c r="C69" s="464">
        <v>36840</v>
      </c>
      <c r="D69" s="234"/>
      <c r="E69" s="234" t="s">
        <v>553</v>
      </c>
      <c r="F69" s="234"/>
      <c r="G69" s="235" t="s">
        <v>351</v>
      </c>
      <c r="H69" s="1"/>
      <c r="I69" s="425" t="s">
        <v>497</v>
      </c>
      <c r="O69" s="558">
        <f>24131.38/R69/1000</f>
        <v>15.657526602647289</v>
      </c>
      <c r="P69" s="558"/>
      <c r="Q69" s="551">
        <f>O69*R69</f>
        <v>24.13138</v>
      </c>
      <c r="R69" s="820">
        <f>VLOOKUP(C69,SpotRates!$A$4:$D$34,4,FALSE)</f>
        <v>1.5411999999999999</v>
      </c>
      <c r="S69" s="551">
        <f>+(SpotRates!$D$36-'Orig Sched'!R69)*'Orig Sched'!O69</f>
        <v>0.27087521022579958</v>
      </c>
    </row>
    <row r="70" spans="1:19" customFormat="1" ht="12.75" customHeight="1" x14ac:dyDescent="0.2">
      <c r="A70" s="234"/>
      <c r="B70" s="234"/>
      <c r="C70" s="464"/>
      <c r="D70" s="234"/>
      <c r="E70" s="234"/>
      <c r="G70" s="234" t="s">
        <v>350</v>
      </c>
      <c r="O70" s="551">
        <v>0</v>
      </c>
      <c r="P70" s="558"/>
      <c r="Q70" s="551">
        <f>+O70*SpotRates!$D$36</f>
        <v>0</v>
      </c>
      <c r="R70" s="1"/>
      <c r="S70" s="551"/>
    </row>
    <row r="71" spans="1:19" ht="12.75" customHeight="1" x14ac:dyDescent="0.2">
      <c r="F71" s="1"/>
      <c r="H71" s="1"/>
      <c r="I71" s="1"/>
      <c r="J71" s="1"/>
      <c r="K71" s="43"/>
      <c r="L71" s="43"/>
      <c r="M71" s="42"/>
      <c r="N71" s="1"/>
      <c r="O71" s="551"/>
      <c r="P71" s="1"/>
      <c r="Q71" s="551"/>
      <c r="R71" s="1"/>
      <c r="S71"/>
    </row>
    <row r="72" spans="1:19" customFormat="1" ht="12.75" customHeight="1" x14ac:dyDescent="0.2">
      <c r="A72" s="234" t="s">
        <v>554</v>
      </c>
      <c r="B72" s="234"/>
      <c r="C72" s="464">
        <v>36845</v>
      </c>
      <c r="D72" s="234"/>
      <c r="E72" s="234" t="s">
        <v>555</v>
      </c>
      <c r="F72" s="234"/>
      <c r="G72" s="235" t="s">
        <v>351</v>
      </c>
      <c r="H72" s="1"/>
      <c r="I72" s="425" t="s">
        <v>505</v>
      </c>
      <c r="O72" s="558">
        <f>1777.68/1000/R72</f>
        <v>1.1446748229233743</v>
      </c>
      <c r="P72" s="558"/>
      <c r="Q72" s="551">
        <f>O72*R72</f>
        <v>1.7776800000000001</v>
      </c>
      <c r="R72" s="820">
        <f>VLOOKUP(C72,SpotRates!$A$4:$D$34,4,FALSE)</f>
        <v>1.5529999999999999</v>
      </c>
      <c r="S72" s="551">
        <f>+(SpotRates!$D$36-'Orig Sched'!R72)*'Orig Sched'!O72</f>
        <v>6.2957115260786276E-3</v>
      </c>
    </row>
    <row r="73" spans="1:19" customFormat="1" ht="12.75" customHeight="1" x14ac:dyDescent="0.2">
      <c r="A73" s="234"/>
      <c r="B73" s="234"/>
      <c r="C73" s="464"/>
      <c r="D73" s="234"/>
      <c r="E73" s="234"/>
      <c r="G73" s="234" t="s">
        <v>350</v>
      </c>
      <c r="O73" s="551">
        <v>0</v>
      </c>
      <c r="P73" s="558"/>
      <c r="Q73" s="551">
        <f>+O73*SpotRates!$D$36</f>
        <v>0</v>
      </c>
      <c r="R73" s="1"/>
      <c r="S73" s="551"/>
    </row>
    <row r="74" spans="1:19" ht="12.75" customHeight="1" x14ac:dyDescent="0.2">
      <c r="F74" s="1"/>
      <c r="H74" s="1"/>
      <c r="I74" s="1"/>
      <c r="J74" s="1"/>
      <c r="K74" s="43"/>
      <c r="L74" s="43"/>
      <c r="M74" s="42"/>
      <c r="N74" s="1"/>
      <c r="O74" s="551"/>
      <c r="P74" s="1"/>
      <c r="Q74" s="551"/>
      <c r="R74" s="1"/>
      <c r="S74"/>
    </row>
    <row r="75" spans="1:19" customFormat="1" ht="12.75" customHeight="1" x14ac:dyDescent="0.2">
      <c r="A75" s="234" t="s">
        <v>556</v>
      </c>
      <c r="B75" s="234"/>
      <c r="C75" s="464">
        <v>36845</v>
      </c>
      <c r="D75" s="234"/>
      <c r="E75" s="234" t="s">
        <v>555</v>
      </c>
      <c r="F75" s="234"/>
      <c r="G75" s="235" t="s">
        <v>351</v>
      </c>
      <c r="H75" s="1"/>
      <c r="I75" s="425" t="s">
        <v>505</v>
      </c>
      <c r="O75" s="558">
        <f>2950.78/1000/R75</f>
        <v>1.900051513200258</v>
      </c>
      <c r="P75" s="558"/>
      <c r="Q75" s="551">
        <f>O75*R75</f>
        <v>2.9507800000000004</v>
      </c>
      <c r="R75" s="820">
        <f>VLOOKUP(C75,SpotRates!$A$4:$D$34,4,FALSE)</f>
        <v>1.5529999999999999</v>
      </c>
      <c r="S75" s="551">
        <f>+(SpotRates!$D$36-'Orig Sched'!R75)*'Orig Sched'!O75</f>
        <v>1.0450283322601533E-2</v>
      </c>
    </row>
    <row r="76" spans="1:19" customFormat="1" ht="12.75" customHeight="1" x14ac:dyDescent="0.2">
      <c r="A76" s="234"/>
      <c r="B76" s="234"/>
      <c r="C76" s="464"/>
      <c r="D76" s="234"/>
      <c r="E76" s="234"/>
      <c r="G76" s="234" t="s">
        <v>350</v>
      </c>
      <c r="O76" s="551">
        <v>0</v>
      </c>
      <c r="P76" s="558"/>
      <c r="Q76" s="551">
        <f>+O76*SpotRates!$D$36</f>
        <v>0</v>
      </c>
      <c r="R76" s="1"/>
      <c r="S76" s="551"/>
    </row>
    <row r="77" spans="1:19" ht="12.75" customHeight="1" x14ac:dyDescent="0.2">
      <c r="F77" s="1"/>
      <c r="H77" s="1"/>
      <c r="I77" s="1"/>
      <c r="J77" s="1"/>
      <c r="K77" s="43"/>
      <c r="L77" s="43"/>
      <c r="M77" s="42"/>
      <c r="N77" s="1"/>
      <c r="O77" s="551"/>
      <c r="P77" s="1"/>
      <c r="Q77" s="551"/>
      <c r="R77" s="1"/>
      <c r="S77"/>
    </row>
    <row r="78" spans="1:19" customFormat="1" ht="12.75" customHeight="1" x14ac:dyDescent="0.2">
      <c r="A78" s="234" t="s">
        <v>557</v>
      </c>
      <c r="B78" s="234"/>
      <c r="C78" s="464">
        <v>36845</v>
      </c>
      <c r="D78" s="234"/>
      <c r="E78" s="234" t="s">
        <v>553</v>
      </c>
      <c r="F78" s="234"/>
      <c r="G78" s="235" t="s">
        <v>351</v>
      </c>
      <c r="H78" s="1"/>
      <c r="I78" s="425" t="s">
        <v>497</v>
      </c>
      <c r="O78" s="558">
        <f>30929.15/1000/R78</f>
        <v>19.915743721828719</v>
      </c>
      <c r="P78" s="558"/>
      <c r="Q78" s="551">
        <f>O78*R78</f>
        <v>30.92915</v>
      </c>
      <c r="R78" s="820">
        <f>VLOOKUP(C78,SpotRates!$A$4:$D$34,4,FALSE)</f>
        <v>1.5529999999999999</v>
      </c>
      <c r="S78" s="551">
        <f>+(SpotRates!$D$36-'Orig Sched'!R78)*'Orig Sched'!O78</f>
        <v>0.10953659047005916</v>
      </c>
    </row>
    <row r="79" spans="1:19" customFormat="1" ht="12.75" customHeight="1" x14ac:dyDescent="0.2">
      <c r="A79" s="234"/>
      <c r="B79" s="234"/>
      <c r="C79" s="464"/>
      <c r="D79" s="234"/>
      <c r="E79" s="234"/>
      <c r="G79" s="234" t="s">
        <v>350</v>
      </c>
      <c r="O79" s="551">
        <v>0</v>
      </c>
      <c r="P79" s="558"/>
      <c r="Q79" s="551">
        <f>+O79*SpotRates!$D$36</f>
        <v>0</v>
      </c>
      <c r="R79" s="1"/>
      <c r="S79" s="551"/>
    </row>
    <row r="80" spans="1:19" ht="12.75" customHeight="1" x14ac:dyDescent="0.2">
      <c r="F80" s="1"/>
      <c r="H80" s="1"/>
      <c r="I80" s="1"/>
      <c r="J80" s="1"/>
      <c r="K80" s="43"/>
      <c r="L80" s="43"/>
      <c r="M80" s="42"/>
      <c r="N80" s="1"/>
      <c r="O80" s="551"/>
      <c r="P80" s="1"/>
      <c r="Q80" s="551"/>
      <c r="R80" s="1"/>
      <c r="S80"/>
    </row>
    <row r="81" spans="1:19" customFormat="1" ht="12.75" customHeight="1" x14ac:dyDescent="0.2">
      <c r="A81" s="234" t="s">
        <v>558</v>
      </c>
      <c r="B81" s="234"/>
      <c r="C81" s="464">
        <v>36846</v>
      </c>
      <c r="D81" s="234"/>
      <c r="E81" s="234" t="s">
        <v>559</v>
      </c>
      <c r="F81" s="234"/>
      <c r="G81" s="235" t="s">
        <v>351</v>
      </c>
      <c r="H81" s="1"/>
      <c r="I81" s="425" t="s">
        <v>500</v>
      </c>
      <c r="O81" s="558">
        <f>47862.77/1000</f>
        <v>47.862769999999998</v>
      </c>
      <c r="P81" s="558"/>
      <c r="Q81" s="551">
        <f>O81*R81</f>
        <v>74.378744580000003</v>
      </c>
      <c r="R81" s="820">
        <f>VLOOKUP(C81,SpotRates!$A$4:$D$34,4,FALSE)</f>
        <v>1.554</v>
      </c>
      <c r="S81" s="551">
        <f>+(SpotRates!$D$36-'Orig Sched'!R81)*'Orig Sched'!O81</f>
        <v>0.21538246499999752</v>
      </c>
    </row>
    <row r="82" spans="1:19" customFormat="1" ht="12.75" customHeight="1" x14ac:dyDescent="0.2">
      <c r="A82" s="234"/>
      <c r="B82" s="234"/>
      <c r="C82" s="464"/>
      <c r="D82" s="234"/>
      <c r="E82" s="234"/>
      <c r="G82" s="234" t="s">
        <v>350</v>
      </c>
      <c r="O82" s="551">
        <v>0</v>
      </c>
      <c r="P82" s="558"/>
      <c r="Q82" s="551">
        <f>+O82*SpotRates!$D$36</f>
        <v>0</v>
      </c>
      <c r="R82" s="1"/>
      <c r="S82" s="551"/>
    </row>
    <row r="83" spans="1:19" ht="12.75" customHeight="1" x14ac:dyDescent="0.2">
      <c r="F83" s="1"/>
      <c r="H83" s="1"/>
      <c r="I83" s="1"/>
      <c r="J83" s="1"/>
      <c r="K83" s="43"/>
      <c r="L83" s="43"/>
      <c r="M83" s="42"/>
      <c r="N83" s="1"/>
      <c r="O83" s="551"/>
      <c r="P83" s="1"/>
      <c r="Q83" s="551"/>
      <c r="R83" s="1"/>
      <c r="S83"/>
    </row>
    <row r="84" spans="1:19" customFormat="1" ht="12.75" customHeight="1" x14ac:dyDescent="0.2">
      <c r="A84" s="234" t="s">
        <v>560</v>
      </c>
      <c r="B84" s="234"/>
      <c r="C84" s="464">
        <v>36846</v>
      </c>
      <c r="D84" s="234"/>
      <c r="E84" s="234" t="s">
        <v>559</v>
      </c>
      <c r="F84" s="234"/>
      <c r="G84" s="235" t="s">
        <v>351</v>
      </c>
      <c r="H84" s="1"/>
      <c r="I84" s="425" t="s">
        <v>500</v>
      </c>
      <c r="O84" s="558">
        <f>51335.44/1000</f>
        <v>51.335440000000006</v>
      </c>
      <c r="P84" s="558"/>
      <c r="Q84" s="551">
        <f>O84*R84</f>
        <v>79.775273760000005</v>
      </c>
      <c r="R84" s="820">
        <f>VLOOKUP(C84,SpotRates!$A$4:$D$34,4,FALSE)</f>
        <v>1.554</v>
      </c>
      <c r="S84" s="551">
        <f>+(SpotRates!$D$36-'Orig Sched'!R84)*'Orig Sched'!O84</f>
        <v>0.23100947999999738</v>
      </c>
    </row>
    <row r="85" spans="1:19" customFormat="1" ht="12.75" customHeight="1" x14ac:dyDescent="0.2">
      <c r="A85" s="234"/>
      <c r="B85" s="234"/>
      <c r="C85" s="464"/>
      <c r="D85" s="234"/>
      <c r="E85" s="234"/>
      <c r="G85" s="234" t="s">
        <v>350</v>
      </c>
      <c r="I85" s="821"/>
      <c r="O85" s="551">
        <v>0</v>
      </c>
      <c r="P85" s="558"/>
      <c r="Q85" s="551">
        <f>+O85*SpotRates!$D$36</f>
        <v>0</v>
      </c>
      <c r="R85" s="1"/>
      <c r="S85" s="551"/>
    </row>
    <row r="86" spans="1:19" ht="12.75" customHeight="1" x14ac:dyDescent="0.2">
      <c r="F86" s="1"/>
      <c r="H86" s="1"/>
      <c r="I86" s="1"/>
      <c r="J86" s="1"/>
      <c r="K86" s="43"/>
      <c r="L86" s="43"/>
      <c r="M86" s="42"/>
      <c r="N86" s="1"/>
      <c r="O86" s="551"/>
      <c r="P86" s="1"/>
      <c r="Q86" s="551"/>
      <c r="R86" s="1"/>
      <c r="S86"/>
    </row>
    <row r="87" spans="1:19" customFormat="1" ht="12.75" customHeight="1" x14ac:dyDescent="0.2">
      <c r="A87" s="234" t="s">
        <v>561</v>
      </c>
      <c r="B87" s="234"/>
      <c r="C87" s="464">
        <v>36846</v>
      </c>
      <c r="D87" s="234"/>
      <c r="E87" s="234" t="s">
        <v>562</v>
      </c>
      <c r="F87" s="234"/>
      <c r="G87" s="235" t="s">
        <v>351</v>
      </c>
      <c r="H87" s="1"/>
      <c r="I87" s="425" t="s">
        <v>505</v>
      </c>
      <c r="O87" s="558">
        <f>829.72/1000/R87</f>
        <v>0.5339253539253539</v>
      </c>
      <c r="P87" s="558"/>
      <c r="Q87" s="551">
        <f>O87*R87</f>
        <v>0.82972000000000001</v>
      </c>
      <c r="R87" s="820">
        <f>VLOOKUP(C87,SpotRates!$A$4:$D$34,4,FALSE)</f>
        <v>1.554</v>
      </c>
      <c r="S87" s="551">
        <f>+(SpotRates!$D$36-'Orig Sched'!R87)*'Orig Sched'!O87</f>
        <v>2.4026640926640649E-3</v>
      </c>
    </row>
    <row r="88" spans="1:19" customFormat="1" ht="12.75" customHeight="1" x14ac:dyDescent="0.2">
      <c r="A88" s="234"/>
      <c r="B88" s="234"/>
      <c r="C88" s="464"/>
      <c r="D88" s="234"/>
      <c r="E88" s="234"/>
      <c r="G88" s="234" t="s">
        <v>350</v>
      </c>
      <c r="O88" s="551">
        <v>0</v>
      </c>
      <c r="P88" s="558"/>
      <c r="Q88" s="551">
        <f>+O88*SpotRates!$D$36</f>
        <v>0</v>
      </c>
      <c r="R88" s="1"/>
      <c r="S88" s="551"/>
    </row>
    <row r="89" spans="1:19" ht="12.75" customHeight="1" x14ac:dyDescent="0.2">
      <c r="F89" s="1"/>
      <c r="H89" s="1"/>
      <c r="I89" s="1"/>
      <c r="J89" s="1"/>
      <c r="K89" s="43"/>
      <c r="L89" s="43"/>
      <c r="M89" s="42"/>
      <c r="N89" s="1"/>
      <c r="O89" s="551"/>
      <c r="P89" s="1"/>
      <c r="Q89" s="551"/>
      <c r="R89" s="1"/>
      <c r="S89"/>
    </row>
    <row r="90" spans="1:19" customFormat="1" ht="12.75" customHeight="1" x14ac:dyDescent="0.2">
      <c r="A90" s="234" t="s">
        <v>568</v>
      </c>
      <c r="B90" s="234"/>
      <c r="C90" s="464">
        <v>36847</v>
      </c>
      <c r="D90" s="234"/>
      <c r="E90" s="234" t="s">
        <v>562</v>
      </c>
      <c r="F90" s="234"/>
      <c r="G90" s="235" t="s">
        <v>351</v>
      </c>
      <c r="H90" s="1"/>
      <c r="I90" s="425" t="s">
        <v>505</v>
      </c>
      <c r="O90" s="558">
        <f>920.21/1000/R90</f>
        <v>0.590445941610523</v>
      </c>
      <c r="P90" s="558"/>
      <c r="Q90" s="551">
        <f>O90*R90</f>
        <v>0.92021000000000008</v>
      </c>
      <c r="R90" s="820">
        <f>VLOOKUP(C90,SpotRates!$A$4:$D$34,4,FALSE)</f>
        <v>1.5585</v>
      </c>
      <c r="S90" s="551">
        <f>+(SpotRates!$D$36-'Orig Sched'!R90)*'Orig Sched'!O90</f>
        <v>0</v>
      </c>
    </row>
    <row r="91" spans="1:19" customFormat="1" ht="12.75" customHeight="1" x14ac:dyDescent="0.2">
      <c r="A91" s="234"/>
      <c r="B91" s="234"/>
      <c r="C91" s="464"/>
      <c r="D91" s="234"/>
      <c r="E91" s="234"/>
      <c r="G91" s="234" t="s">
        <v>350</v>
      </c>
      <c r="O91" s="551">
        <v>0</v>
      </c>
      <c r="P91" s="558"/>
      <c r="Q91" s="551">
        <f>+O91*SpotRates!$D$36</f>
        <v>0</v>
      </c>
      <c r="R91" s="1"/>
      <c r="S91" s="551"/>
    </row>
    <row r="92" spans="1:19" ht="12.75" customHeight="1" x14ac:dyDescent="0.2">
      <c r="F92" s="1"/>
      <c r="H92" s="1"/>
      <c r="I92" s="1"/>
      <c r="J92" s="1"/>
      <c r="K92" s="43"/>
      <c r="L92" s="43"/>
      <c r="M92" s="42"/>
      <c r="N92" s="1"/>
      <c r="O92" s="551"/>
      <c r="P92" s="1"/>
      <c r="Q92" s="551"/>
      <c r="R92" s="1"/>
      <c r="S92"/>
    </row>
    <row r="93" spans="1:19" customFormat="1" ht="12.75" customHeight="1" x14ac:dyDescent="0.2">
      <c r="A93" s="234" t="s">
        <v>569</v>
      </c>
      <c r="B93" s="234"/>
      <c r="C93" s="464">
        <v>36847</v>
      </c>
      <c r="D93" s="234"/>
      <c r="E93" s="234" t="s">
        <v>562</v>
      </c>
      <c r="F93" s="234"/>
      <c r="G93" s="235" t="s">
        <v>351</v>
      </c>
      <c r="H93" s="1"/>
      <c r="I93" s="425" t="s">
        <v>505</v>
      </c>
      <c r="O93" s="558">
        <f>825.72/1000/R93</f>
        <v>0.5298171318575553</v>
      </c>
      <c r="P93" s="558"/>
      <c r="Q93" s="840">
        <f>O93*R93</f>
        <v>0.8257199999999999</v>
      </c>
      <c r="R93" s="820">
        <f>VLOOKUP(C93,SpotRates!$A$4:$D$34,4,FALSE)</f>
        <v>1.5585</v>
      </c>
      <c r="S93" s="551">
        <f>+(SpotRates!$D$36-'Orig Sched'!R93)*'Orig Sched'!O93</f>
        <v>0</v>
      </c>
    </row>
    <row r="94" spans="1:19" customFormat="1" ht="12.75" customHeight="1" x14ac:dyDescent="0.2">
      <c r="A94" s="234"/>
      <c r="B94" s="234"/>
      <c r="C94" s="464"/>
      <c r="D94" s="234"/>
      <c r="E94" s="234"/>
      <c r="G94" s="234" t="s">
        <v>350</v>
      </c>
      <c r="O94" s="551">
        <v>0</v>
      </c>
      <c r="P94" s="558"/>
      <c r="Q94" s="551">
        <f>+O94*SpotRates!$D$36</f>
        <v>0</v>
      </c>
      <c r="R94" s="1"/>
      <c r="S94" s="551"/>
    </row>
    <row r="95" spans="1:19" customFormat="1" ht="12.75" customHeight="1" x14ac:dyDescent="0.2">
      <c r="A95" s="234"/>
      <c r="B95" s="234"/>
      <c r="C95" s="241"/>
      <c r="D95" s="234"/>
      <c r="E95" s="234"/>
      <c r="G95" s="234"/>
      <c r="O95" s="551"/>
      <c r="P95" s="558"/>
      <c r="Q95" s="551"/>
      <c r="R95" s="1"/>
    </row>
    <row r="96" spans="1:19" customFormat="1" ht="12.75" customHeight="1" x14ac:dyDescent="0.2">
      <c r="A96" s="234" t="s">
        <v>570</v>
      </c>
      <c r="B96" s="234"/>
      <c r="C96" s="464">
        <v>36847</v>
      </c>
      <c r="D96" s="234"/>
      <c r="E96" s="234" t="s">
        <v>571</v>
      </c>
      <c r="F96" s="234"/>
      <c r="G96" s="235" t="s">
        <v>351</v>
      </c>
      <c r="H96" s="1"/>
      <c r="I96" s="425" t="s">
        <v>497</v>
      </c>
      <c r="O96" s="558">
        <f>2564.03/1000</f>
        <v>2.5640300000000003</v>
      </c>
      <c r="P96" s="558"/>
      <c r="Q96" s="551">
        <f>O96*R96</f>
        <v>3.9960407550000006</v>
      </c>
      <c r="R96" s="820">
        <f>VLOOKUP(C96,SpotRates!$A$4:$D$34,4,FALSE)</f>
        <v>1.5585</v>
      </c>
      <c r="S96" s="551">
        <f>+(SpotRates!$D$36-'Orig Sched'!R96)*'Orig Sched'!O96</f>
        <v>0</v>
      </c>
    </row>
    <row r="97" spans="1:19" customFormat="1" ht="12.75" customHeight="1" x14ac:dyDescent="0.2">
      <c r="A97" s="234"/>
      <c r="B97" s="234"/>
      <c r="C97" s="464"/>
      <c r="D97" s="234"/>
      <c r="E97" s="234"/>
      <c r="G97" s="234" t="s">
        <v>350</v>
      </c>
      <c r="O97" s="551">
        <v>0</v>
      </c>
      <c r="P97" s="558"/>
      <c r="Q97" s="551">
        <f>+O97*SpotRates!$D$36</f>
        <v>0</v>
      </c>
      <c r="R97" s="1"/>
      <c r="S97" s="551"/>
    </row>
    <row r="98" spans="1:19" customFormat="1" ht="12.75" customHeight="1" x14ac:dyDescent="0.2">
      <c r="A98" s="234"/>
      <c r="B98" s="234"/>
      <c r="C98" s="241"/>
      <c r="D98" s="234"/>
      <c r="E98" s="234"/>
      <c r="G98" s="234"/>
      <c r="O98" s="551"/>
      <c r="P98" s="558"/>
      <c r="Q98" s="551"/>
      <c r="R98" s="1"/>
    </row>
    <row r="99" spans="1:19" customFormat="1" ht="12.75" customHeight="1" x14ac:dyDescent="0.2">
      <c r="A99" s="234"/>
      <c r="B99" s="234"/>
      <c r="C99" s="464">
        <v>36831</v>
      </c>
      <c r="D99" s="234"/>
      <c r="E99" s="234"/>
      <c r="F99" s="234"/>
      <c r="G99" s="235" t="s">
        <v>351</v>
      </c>
      <c r="H99" s="1"/>
      <c r="I99" s="425"/>
      <c r="O99" s="558">
        <v>0</v>
      </c>
      <c r="P99" s="558"/>
      <c r="Q99" s="551">
        <f>O99*R99</f>
        <v>0</v>
      </c>
      <c r="R99" s="820">
        <f>VLOOKUP(C99,SpotRates!$A$4:$D$34,4,FALSE)</f>
        <v>1.5331999999999999</v>
      </c>
      <c r="S99" s="551">
        <f>+(SpotRates!$D$36-'Orig Sched'!R99)*'Orig Sched'!O99</f>
        <v>0</v>
      </c>
    </row>
    <row r="100" spans="1:19" customFormat="1" ht="12.75" customHeight="1" x14ac:dyDescent="0.2">
      <c r="A100" s="234"/>
      <c r="B100" s="234"/>
      <c r="C100" s="464"/>
      <c r="D100" s="234"/>
      <c r="E100" s="234"/>
      <c r="G100" s="234" t="s">
        <v>350</v>
      </c>
      <c r="O100" s="551">
        <v>0</v>
      </c>
      <c r="P100" s="558"/>
      <c r="Q100" s="551">
        <f>+O100*SpotRates!$D$36</f>
        <v>0</v>
      </c>
      <c r="R100" s="1"/>
      <c r="S100" s="551"/>
    </row>
    <row r="101" spans="1:19" ht="12.75" customHeight="1" x14ac:dyDescent="0.2">
      <c r="F101" s="1"/>
      <c r="H101" s="1"/>
      <c r="I101" s="1"/>
      <c r="J101" s="1"/>
      <c r="K101" s="43"/>
      <c r="L101" s="43"/>
      <c r="M101" s="42"/>
      <c r="N101" s="1"/>
      <c r="O101" s="551"/>
      <c r="P101" s="1"/>
      <c r="Q101" s="551"/>
      <c r="R101" s="1"/>
      <c r="S101"/>
    </row>
    <row r="102" spans="1:19" customFormat="1" ht="12.75" customHeight="1" x14ac:dyDescent="0.2">
      <c r="A102" s="234"/>
      <c r="B102" s="234"/>
      <c r="C102" s="464">
        <v>36831</v>
      </c>
      <c r="D102" s="234"/>
      <c r="E102" s="234"/>
      <c r="F102" s="234"/>
      <c r="G102" s="235" t="s">
        <v>351</v>
      </c>
      <c r="H102" s="1"/>
      <c r="I102" s="425"/>
      <c r="O102" s="558">
        <v>0</v>
      </c>
      <c r="P102" s="558"/>
      <c r="Q102" s="551">
        <f>O102*R102</f>
        <v>0</v>
      </c>
      <c r="R102" s="820">
        <f>VLOOKUP(C102,SpotRates!$A$4:$D$34,4,FALSE)</f>
        <v>1.5331999999999999</v>
      </c>
      <c r="S102" s="551">
        <f>+(SpotRates!$D$36-'Orig Sched'!R102)*'Orig Sched'!O102</f>
        <v>0</v>
      </c>
    </row>
    <row r="103" spans="1:19" customFormat="1" ht="12.75" customHeight="1" x14ac:dyDescent="0.2">
      <c r="A103" s="234"/>
      <c r="B103" s="234"/>
      <c r="C103" s="464"/>
      <c r="D103" s="234"/>
      <c r="E103" s="234"/>
      <c r="G103" s="234" t="s">
        <v>350</v>
      </c>
      <c r="O103" s="551">
        <v>0</v>
      </c>
      <c r="P103" s="558"/>
      <c r="Q103" s="551">
        <f>+O103*SpotRates!$D$36</f>
        <v>0</v>
      </c>
      <c r="R103" s="1"/>
      <c r="S103" s="551"/>
    </row>
    <row r="104" spans="1:19" ht="12.75" customHeight="1" x14ac:dyDescent="0.2">
      <c r="F104" s="1"/>
      <c r="H104" s="1"/>
      <c r="I104" s="1"/>
      <c r="J104" s="1"/>
      <c r="K104" s="43"/>
      <c r="L104" s="43"/>
      <c r="M104" s="42"/>
      <c r="N104" s="1"/>
      <c r="O104" s="551"/>
      <c r="P104" s="1"/>
      <c r="Q104" s="551"/>
      <c r="R104" s="1"/>
      <c r="S104"/>
    </row>
    <row r="105" spans="1:19" customFormat="1" ht="12.75" customHeight="1" x14ac:dyDescent="0.2">
      <c r="A105" s="234"/>
      <c r="B105" s="234"/>
      <c r="C105" s="464">
        <v>36831</v>
      </c>
      <c r="D105" s="234"/>
      <c r="E105" s="234"/>
      <c r="F105" s="234"/>
      <c r="G105" s="235" t="s">
        <v>351</v>
      </c>
      <c r="H105" s="1"/>
      <c r="I105" s="425"/>
      <c r="O105" s="558">
        <v>0</v>
      </c>
      <c r="P105" s="558"/>
      <c r="Q105" s="551">
        <f>O105*R105</f>
        <v>0</v>
      </c>
      <c r="R105" s="820">
        <f>VLOOKUP(C105,SpotRates!$A$4:$D$34,4,FALSE)</f>
        <v>1.5331999999999999</v>
      </c>
      <c r="S105" s="551">
        <f>+(SpotRates!$D$36-'Orig Sched'!R105)*'Orig Sched'!O105</f>
        <v>0</v>
      </c>
    </row>
    <row r="106" spans="1:19" customFormat="1" ht="12.75" customHeight="1" x14ac:dyDescent="0.2">
      <c r="A106" s="234"/>
      <c r="B106" s="234"/>
      <c r="C106" s="464"/>
      <c r="D106" s="234"/>
      <c r="E106" s="234"/>
      <c r="G106" s="234" t="s">
        <v>350</v>
      </c>
      <c r="O106" s="551">
        <v>0</v>
      </c>
      <c r="P106" s="558"/>
      <c r="Q106" s="551">
        <f>+O106*SpotRates!$D$36</f>
        <v>0</v>
      </c>
      <c r="R106" s="1"/>
      <c r="S106" s="551"/>
    </row>
    <row r="107" spans="1:19" ht="12.75" customHeight="1" x14ac:dyDescent="0.2">
      <c r="F107" s="1"/>
      <c r="H107" s="1"/>
      <c r="I107" s="1"/>
      <c r="J107" s="1"/>
      <c r="K107" s="43"/>
      <c r="L107" s="43"/>
      <c r="M107" s="42"/>
      <c r="N107" s="1"/>
      <c r="O107" s="551"/>
      <c r="P107" s="1"/>
      <c r="Q107" s="551"/>
      <c r="R107" s="1"/>
      <c r="S107"/>
    </row>
    <row r="108" spans="1:19" customFormat="1" ht="12.75" customHeight="1" x14ac:dyDescent="0.2">
      <c r="A108" s="234"/>
      <c r="B108" s="234"/>
      <c r="C108" s="464">
        <v>36831</v>
      </c>
      <c r="D108" s="234"/>
      <c r="E108" s="234"/>
      <c r="F108" s="234"/>
      <c r="G108" s="235" t="s">
        <v>351</v>
      </c>
      <c r="H108" s="1"/>
      <c r="I108" s="425"/>
      <c r="O108" s="558">
        <v>0</v>
      </c>
      <c r="P108" s="558"/>
      <c r="Q108" s="551">
        <f>O108*R108</f>
        <v>0</v>
      </c>
      <c r="R108" s="820">
        <f>VLOOKUP(C108,SpotRates!$A$4:$D$34,4,FALSE)</f>
        <v>1.5331999999999999</v>
      </c>
      <c r="S108" s="551">
        <f>+(SpotRates!$D$36-'Orig Sched'!R108)*'Orig Sched'!O108</f>
        <v>0</v>
      </c>
    </row>
    <row r="109" spans="1:19" customFormat="1" ht="12.75" customHeight="1" x14ac:dyDescent="0.2">
      <c r="A109" s="234"/>
      <c r="B109" s="234"/>
      <c r="C109" s="464"/>
      <c r="D109" s="234"/>
      <c r="E109" s="234"/>
      <c r="G109" s="234" t="s">
        <v>350</v>
      </c>
      <c r="O109" s="551">
        <v>0</v>
      </c>
      <c r="P109" s="558"/>
      <c r="Q109" s="551">
        <f>+O109*SpotRates!$D$36</f>
        <v>0</v>
      </c>
      <c r="R109" s="1"/>
      <c r="S109" s="551"/>
    </row>
    <row r="110" spans="1:19" ht="12.75" customHeight="1" x14ac:dyDescent="0.2">
      <c r="F110" s="1"/>
      <c r="H110" s="1"/>
      <c r="I110" s="1"/>
      <c r="J110" s="1"/>
      <c r="K110" s="43"/>
      <c r="L110" s="43"/>
      <c r="M110" s="42"/>
      <c r="N110" s="1"/>
      <c r="O110" s="551"/>
      <c r="P110" s="1"/>
      <c r="Q110" s="551"/>
      <c r="R110" s="1"/>
      <c r="S110"/>
    </row>
    <row r="111" spans="1:19" customFormat="1" ht="12.75" customHeight="1" x14ac:dyDescent="0.2">
      <c r="A111" s="234"/>
      <c r="B111" s="234"/>
      <c r="C111" s="464">
        <v>36831</v>
      </c>
      <c r="D111" s="234"/>
      <c r="E111" s="234"/>
      <c r="F111" s="234"/>
      <c r="G111" s="235" t="s">
        <v>351</v>
      </c>
      <c r="H111" s="1"/>
      <c r="I111" s="425"/>
      <c r="O111" s="558">
        <v>0</v>
      </c>
      <c r="P111" s="558"/>
      <c r="Q111" s="551">
        <f>O111*R111</f>
        <v>0</v>
      </c>
      <c r="R111" s="820">
        <f>VLOOKUP(C111,SpotRates!$A$4:$D$34,4,FALSE)</f>
        <v>1.5331999999999999</v>
      </c>
      <c r="S111" s="551">
        <f>+(SpotRates!$D$36-'Orig Sched'!R111)*'Orig Sched'!O111</f>
        <v>0</v>
      </c>
    </row>
    <row r="112" spans="1:19" customFormat="1" ht="12.75" customHeight="1" x14ac:dyDescent="0.2">
      <c r="A112" s="234"/>
      <c r="B112" s="234"/>
      <c r="C112" s="464"/>
      <c r="D112" s="234"/>
      <c r="E112" s="234"/>
      <c r="G112" s="234" t="s">
        <v>350</v>
      </c>
      <c r="O112" s="551">
        <v>0</v>
      </c>
      <c r="P112" s="558"/>
      <c r="Q112" s="551">
        <f>+O112*SpotRates!$D$36</f>
        <v>0</v>
      </c>
      <c r="R112" s="1"/>
      <c r="S112" s="551"/>
    </row>
    <row r="113" spans="1:19" ht="12.75" customHeight="1" x14ac:dyDescent="0.2">
      <c r="F113" s="1"/>
      <c r="H113" s="1"/>
      <c r="I113" s="1"/>
      <c r="J113" s="1"/>
      <c r="K113" s="43"/>
      <c r="L113" s="43"/>
      <c r="M113" s="42"/>
      <c r="N113" s="1"/>
      <c r="O113" s="551"/>
      <c r="P113" s="1"/>
      <c r="Q113" s="551"/>
      <c r="R113" s="1"/>
      <c r="S113"/>
    </row>
    <row r="114" spans="1:19" customFormat="1" ht="12.75" customHeight="1" x14ac:dyDescent="0.2">
      <c r="A114" s="234"/>
      <c r="B114" s="234"/>
      <c r="C114" s="464">
        <v>36831</v>
      </c>
      <c r="D114" s="234"/>
      <c r="E114" s="234"/>
      <c r="F114" s="234"/>
      <c r="G114" s="235" t="s">
        <v>351</v>
      </c>
      <c r="H114" s="1"/>
      <c r="I114" s="425"/>
      <c r="O114" s="558">
        <v>0</v>
      </c>
      <c r="P114" s="558"/>
      <c r="Q114" s="551">
        <f>O114*R114</f>
        <v>0</v>
      </c>
      <c r="R114" s="820">
        <f>VLOOKUP(C114,SpotRates!$A$4:$D$34,4,FALSE)</f>
        <v>1.5331999999999999</v>
      </c>
      <c r="S114" s="551">
        <f>+(SpotRates!$D$36-'Orig Sched'!R114)*'Orig Sched'!O114</f>
        <v>0</v>
      </c>
    </row>
    <row r="115" spans="1:19" customFormat="1" ht="12.75" customHeight="1" x14ac:dyDescent="0.2">
      <c r="A115" s="234"/>
      <c r="B115" s="234"/>
      <c r="C115" s="464"/>
      <c r="D115" s="234"/>
      <c r="E115" s="234"/>
      <c r="G115" s="234" t="s">
        <v>350</v>
      </c>
      <c r="O115" s="551">
        <v>0</v>
      </c>
      <c r="P115" s="558"/>
      <c r="Q115" s="551">
        <f>+O115*SpotRates!$D$36</f>
        <v>0</v>
      </c>
      <c r="R115" s="1"/>
      <c r="S115" s="551"/>
    </row>
    <row r="116" spans="1:19" ht="12.75" customHeight="1" x14ac:dyDescent="0.2">
      <c r="C116" s="464"/>
      <c r="F116" s="1"/>
      <c r="H116" s="1"/>
      <c r="I116" s="1"/>
      <c r="J116" s="1"/>
      <c r="K116" s="43"/>
      <c r="L116" s="43"/>
      <c r="M116" s="42"/>
      <c r="N116" s="1"/>
      <c r="O116" s="551"/>
      <c r="P116" s="1"/>
      <c r="Q116" s="551"/>
      <c r="R116" s="1"/>
      <c r="S116"/>
    </row>
    <row r="117" spans="1:19" customFormat="1" ht="12.75" customHeight="1" x14ac:dyDescent="0.2">
      <c r="A117" s="234"/>
      <c r="B117" s="234"/>
      <c r="C117" s="464">
        <v>36831</v>
      </c>
      <c r="D117" s="234"/>
      <c r="E117" s="234"/>
      <c r="F117" s="234"/>
      <c r="G117" s="235" t="s">
        <v>351</v>
      </c>
      <c r="H117" s="1"/>
      <c r="I117" s="425"/>
      <c r="O117" s="558">
        <v>0</v>
      </c>
      <c r="P117" s="558"/>
      <c r="Q117" s="551">
        <f>O117*R117</f>
        <v>0</v>
      </c>
      <c r="R117" s="820">
        <f>VLOOKUP(C117,SpotRates!$A$4:$D$34,4,FALSE)</f>
        <v>1.5331999999999999</v>
      </c>
      <c r="S117" s="551">
        <f>+(SpotRates!$D$36-'Orig Sched'!R117)*'Orig Sched'!O117</f>
        <v>0</v>
      </c>
    </row>
    <row r="118" spans="1:19" customFormat="1" ht="12.75" customHeight="1" x14ac:dyDescent="0.2">
      <c r="A118" s="234"/>
      <c r="B118" s="234"/>
      <c r="C118" s="464"/>
      <c r="D118" s="234"/>
      <c r="E118" s="234"/>
      <c r="G118" s="234" t="s">
        <v>350</v>
      </c>
      <c r="O118" s="551">
        <v>0</v>
      </c>
      <c r="P118" s="558"/>
      <c r="Q118" s="551">
        <f>+O118*SpotRates!$D$36</f>
        <v>0</v>
      </c>
      <c r="R118" s="1"/>
      <c r="S118" s="551"/>
    </row>
    <row r="119" spans="1:19" ht="12.75" customHeight="1" x14ac:dyDescent="0.2">
      <c r="F119" s="1"/>
      <c r="H119" s="1"/>
      <c r="I119" s="1"/>
      <c r="J119" s="1"/>
      <c r="K119" s="43"/>
      <c r="L119" s="43"/>
      <c r="M119" s="42"/>
      <c r="N119" s="1"/>
      <c r="O119" s="551"/>
      <c r="P119" s="1"/>
      <c r="Q119" s="551"/>
      <c r="R119" s="1"/>
      <c r="S119"/>
    </row>
    <row r="120" spans="1:19" customFormat="1" ht="12.75" customHeight="1" x14ac:dyDescent="0.2">
      <c r="A120" s="234"/>
      <c r="B120" s="234"/>
      <c r="C120" s="464">
        <v>36831</v>
      </c>
      <c r="D120" s="234"/>
      <c r="E120" s="234"/>
      <c r="F120" s="234"/>
      <c r="G120" s="235" t="s">
        <v>351</v>
      </c>
      <c r="H120" s="1"/>
      <c r="I120" s="425"/>
      <c r="O120" s="558">
        <v>0</v>
      </c>
      <c r="P120" s="558"/>
      <c r="Q120" s="551">
        <f>O120*R120</f>
        <v>0</v>
      </c>
      <c r="R120" s="820">
        <f>VLOOKUP(C120,SpotRates!$A$4:$D$34,4,FALSE)</f>
        <v>1.5331999999999999</v>
      </c>
      <c r="S120" s="551">
        <f>+(SpotRates!$D$36-'Orig Sched'!R120)*'Orig Sched'!O120</f>
        <v>0</v>
      </c>
    </row>
    <row r="121" spans="1:19" customFormat="1" ht="12.75" customHeight="1" x14ac:dyDescent="0.2">
      <c r="A121" s="234"/>
      <c r="B121" s="234"/>
      <c r="C121" s="464"/>
      <c r="D121" s="234"/>
      <c r="E121" s="234"/>
      <c r="G121" s="234" t="s">
        <v>350</v>
      </c>
      <c r="O121" s="551">
        <v>0</v>
      </c>
      <c r="P121" s="558"/>
      <c r="Q121" s="551">
        <f>+O121*SpotRates!$D$36</f>
        <v>0</v>
      </c>
      <c r="R121" s="1"/>
      <c r="S121" s="551"/>
    </row>
    <row r="122" spans="1:19" ht="12.75" customHeight="1" x14ac:dyDescent="0.2">
      <c r="F122" s="1"/>
      <c r="H122" s="1"/>
      <c r="I122" s="1"/>
      <c r="J122" s="1"/>
      <c r="K122" s="43"/>
      <c r="L122" s="43"/>
      <c r="M122" s="42"/>
      <c r="N122" s="1"/>
      <c r="O122" s="551"/>
      <c r="P122" s="1"/>
      <c r="Q122" s="551"/>
      <c r="R122" s="1"/>
      <c r="S122"/>
    </row>
    <row r="123" spans="1:19" customFormat="1" ht="12.75" customHeight="1" x14ac:dyDescent="0.2">
      <c r="A123" s="234"/>
      <c r="B123" s="234"/>
      <c r="C123" s="464">
        <v>36831</v>
      </c>
      <c r="D123" s="234"/>
      <c r="E123" s="845"/>
      <c r="F123" s="234"/>
      <c r="G123" s="235" t="s">
        <v>351</v>
      </c>
      <c r="H123" s="1"/>
      <c r="I123" s="425"/>
      <c r="O123" s="558">
        <v>0</v>
      </c>
      <c r="P123" s="558"/>
      <c r="Q123" s="551">
        <f>O123*R123</f>
        <v>0</v>
      </c>
      <c r="R123" s="820">
        <f>VLOOKUP(C123,SpotRates!$A$4:$D$34,4,FALSE)</f>
        <v>1.5331999999999999</v>
      </c>
      <c r="S123" s="551">
        <f>+(SpotRates!$D$36-'Orig Sched'!R123)*'Orig Sched'!O123</f>
        <v>0</v>
      </c>
    </row>
    <row r="124" spans="1:19" customFormat="1" ht="12.75" customHeight="1" x14ac:dyDescent="0.2">
      <c r="A124" s="234"/>
      <c r="B124" s="234"/>
      <c r="C124" s="464"/>
      <c r="D124" s="234"/>
      <c r="E124" s="234"/>
      <c r="G124" s="234" t="s">
        <v>350</v>
      </c>
      <c r="O124" s="551">
        <v>0</v>
      </c>
      <c r="P124" s="558"/>
      <c r="Q124" s="551">
        <f>+O124*SpotRates!$D$36</f>
        <v>0</v>
      </c>
      <c r="R124" s="1"/>
      <c r="S124" s="551"/>
    </row>
    <row r="125" spans="1:19" ht="12.75" customHeight="1" x14ac:dyDescent="0.2">
      <c r="F125" s="1"/>
      <c r="H125" s="1"/>
      <c r="I125" s="1"/>
      <c r="J125" s="1"/>
      <c r="K125" s="43"/>
      <c r="L125" s="43"/>
      <c r="M125" s="42"/>
      <c r="N125" s="1"/>
      <c r="O125" s="551"/>
      <c r="P125" s="1"/>
      <c r="Q125" s="551"/>
      <c r="R125" s="1"/>
      <c r="S125"/>
    </row>
    <row r="126" spans="1:19" customFormat="1" ht="12.75" customHeight="1" x14ac:dyDescent="0.2">
      <c r="A126" s="234"/>
      <c r="B126" s="234"/>
      <c r="C126" s="464">
        <v>36831</v>
      </c>
      <c r="D126" s="234"/>
      <c r="E126" s="234"/>
      <c r="F126" s="234"/>
      <c r="G126" s="235" t="s">
        <v>351</v>
      </c>
      <c r="H126" s="1"/>
      <c r="I126" s="425"/>
      <c r="O126" s="558">
        <v>0</v>
      </c>
      <c r="P126" s="558"/>
      <c r="Q126" s="551">
        <f>O126*R126</f>
        <v>0</v>
      </c>
      <c r="R126" s="820">
        <f>VLOOKUP(C126,SpotRates!$A$4:$D$34,4,FALSE)</f>
        <v>1.5331999999999999</v>
      </c>
      <c r="S126" s="551">
        <f>+(SpotRates!$D$36-'Orig Sched'!R126)*'Orig Sched'!O126</f>
        <v>0</v>
      </c>
    </row>
    <row r="127" spans="1:19" customFormat="1" ht="12.75" customHeight="1" x14ac:dyDescent="0.2">
      <c r="A127" s="234"/>
      <c r="B127" s="234"/>
      <c r="C127" s="464"/>
      <c r="D127" s="234"/>
      <c r="E127" s="234"/>
      <c r="G127" s="234" t="s">
        <v>350</v>
      </c>
      <c r="O127" s="551">
        <v>0</v>
      </c>
      <c r="P127" s="558"/>
      <c r="Q127" s="551">
        <f>+O127*SpotRates!$D$36</f>
        <v>0</v>
      </c>
      <c r="R127" s="1"/>
      <c r="S127" s="551"/>
    </row>
    <row r="128" spans="1:19" ht="12.75" customHeight="1" x14ac:dyDescent="0.2">
      <c r="F128" s="1"/>
      <c r="H128" s="1"/>
      <c r="I128" s="1"/>
      <c r="J128" s="1"/>
      <c r="K128" s="43"/>
      <c r="L128" s="43"/>
      <c r="M128" s="42"/>
      <c r="N128" s="1"/>
      <c r="O128" s="551"/>
      <c r="P128" s="1"/>
      <c r="Q128" s="551"/>
      <c r="R128" s="1"/>
      <c r="S128"/>
    </row>
    <row r="129" spans="1:19" customFormat="1" ht="12.75" customHeight="1" x14ac:dyDescent="0.2">
      <c r="A129" s="234"/>
      <c r="B129" s="234"/>
      <c r="C129" s="464">
        <v>36831</v>
      </c>
      <c r="D129" s="234"/>
      <c r="E129" s="234"/>
      <c r="F129" s="234"/>
      <c r="G129" s="235" t="s">
        <v>351</v>
      </c>
      <c r="H129" s="1"/>
      <c r="I129" s="425"/>
      <c r="O129" s="558">
        <v>0</v>
      </c>
      <c r="P129" s="558"/>
      <c r="Q129" s="551">
        <f>O129*R129</f>
        <v>0</v>
      </c>
      <c r="R129" s="820">
        <f>VLOOKUP(C129,SpotRates!$A$4:$D$34,4,FALSE)</f>
        <v>1.5331999999999999</v>
      </c>
      <c r="S129" s="551">
        <f>+(SpotRates!$D$36-'Orig Sched'!R129)*'Orig Sched'!O129</f>
        <v>0</v>
      </c>
    </row>
    <row r="130" spans="1:19" customFormat="1" ht="12.75" customHeight="1" x14ac:dyDescent="0.2">
      <c r="A130" s="234"/>
      <c r="B130" s="234"/>
      <c r="C130" s="464"/>
      <c r="D130" s="234"/>
      <c r="E130" s="234"/>
      <c r="G130" s="234" t="s">
        <v>350</v>
      </c>
      <c r="O130" s="551">
        <v>0</v>
      </c>
      <c r="P130" s="558"/>
      <c r="Q130" s="551">
        <f>+O130*SpotRates!$D$36</f>
        <v>0</v>
      </c>
      <c r="R130" s="1"/>
      <c r="S130" s="551"/>
    </row>
    <row r="131" spans="1:19" ht="12.75" customHeight="1" x14ac:dyDescent="0.2">
      <c r="F131" s="1"/>
      <c r="H131" s="1"/>
      <c r="I131" s="1"/>
      <c r="J131" s="1"/>
      <c r="K131" s="43"/>
      <c r="L131" s="43"/>
      <c r="M131" s="42"/>
      <c r="N131" s="1"/>
      <c r="O131" s="551"/>
      <c r="P131" s="1"/>
      <c r="Q131" s="551"/>
      <c r="R131" s="1"/>
      <c r="S131"/>
    </row>
    <row r="132" spans="1:19" customFormat="1" ht="12.75" customHeight="1" x14ac:dyDescent="0.2">
      <c r="A132" s="234"/>
      <c r="B132" s="234"/>
      <c r="C132" s="464">
        <v>36831</v>
      </c>
      <c r="D132" s="234"/>
      <c r="E132" s="845"/>
      <c r="F132" s="234"/>
      <c r="G132" s="235" t="s">
        <v>351</v>
      </c>
      <c r="H132" s="1"/>
      <c r="I132" s="425"/>
      <c r="O132" s="558">
        <v>0</v>
      </c>
      <c r="P132" s="558"/>
      <c r="Q132" s="551">
        <f>O132*R132</f>
        <v>0</v>
      </c>
      <c r="R132" s="820">
        <f>VLOOKUP(C132,SpotRates!$A$4:$D$34,4,FALSE)</f>
        <v>1.5331999999999999</v>
      </c>
      <c r="S132" s="551">
        <f>+(SpotRates!$D$36-'Orig Sched'!R132)*'Orig Sched'!O132</f>
        <v>0</v>
      </c>
    </row>
    <row r="133" spans="1:19" customFormat="1" ht="12.75" customHeight="1" x14ac:dyDescent="0.2">
      <c r="A133" s="234"/>
      <c r="B133" s="234"/>
      <c r="C133" s="464"/>
      <c r="D133" s="234"/>
      <c r="E133" s="234"/>
      <c r="G133" s="234" t="s">
        <v>350</v>
      </c>
      <c r="O133" s="551">
        <v>0</v>
      </c>
      <c r="P133" s="558"/>
      <c r="Q133" s="551">
        <f>+O133*SpotRates!$D$36</f>
        <v>0</v>
      </c>
      <c r="R133" s="1"/>
      <c r="S133" s="551"/>
    </row>
    <row r="134" spans="1:19" ht="12.75" customHeight="1" x14ac:dyDescent="0.2">
      <c r="F134" s="1"/>
      <c r="H134" s="1"/>
      <c r="I134" s="1"/>
      <c r="J134" s="1"/>
      <c r="K134" s="43"/>
      <c r="L134" s="43"/>
      <c r="M134" s="42"/>
      <c r="N134" s="1"/>
      <c r="O134" s="551"/>
      <c r="P134" s="1"/>
      <c r="Q134" s="551"/>
      <c r="R134" s="1"/>
      <c r="S134"/>
    </row>
    <row r="135" spans="1:19" customFormat="1" ht="12.75" customHeight="1" x14ac:dyDescent="0.2">
      <c r="A135" s="234"/>
      <c r="B135" s="234"/>
      <c r="C135" s="464">
        <v>36831</v>
      </c>
      <c r="D135" s="234"/>
      <c r="E135" s="234"/>
      <c r="F135" s="234"/>
      <c r="G135" s="235" t="s">
        <v>351</v>
      </c>
      <c r="H135" s="1"/>
      <c r="I135" s="425"/>
      <c r="O135" s="558">
        <v>0</v>
      </c>
      <c r="P135" s="558"/>
      <c r="Q135" s="551">
        <f>O135*R135</f>
        <v>0</v>
      </c>
      <c r="R135" s="820">
        <f>VLOOKUP(C135,SpotRates!$A$4:$D$34,4,FALSE)</f>
        <v>1.5331999999999999</v>
      </c>
      <c r="S135" s="551">
        <f>+(SpotRates!$D$36-'Orig Sched'!R135)*'Orig Sched'!O135</f>
        <v>0</v>
      </c>
    </row>
    <row r="136" spans="1:19" customFormat="1" ht="12.75" customHeight="1" x14ac:dyDescent="0.2">
      <c r="A136" s="234"/>
      <c r="B136" s="234"/>
      <c r="C136" s="464"/>
      <c r="D136" s="234"/>
      <c r="E136" s="234"/>
      <c r="G136" s="234" t="s">
        <v>350</v>
      </c>
      <c r="O136" s="551">
        <v>0</v>
      </c>
      <c r="P136" s="558"/>
      <c r="Q136" s="551">
        <f>+O136*SpotRates!$D$36</f>
        <v>0</v>
      </c>
      <c r="R136" s="1"/>
      <c r="S136" s="551"/>
    </row>
    <row r="137" spans="1:19" ht="12.75" customHeight="1" x14ac:dyDescent="0.2">
      <c r="F137" s="1"/>
      <c r="H137" s="1"/>
      <c r="I137" s="1"/>
      <c r="J137" s="1"/>
      <c r="K137" s="43"/>
      <c r="L137" s="43"/>
      <c r="M137" s="42"/>
      <c r="N137" s="1"/>
      <c r="O137" s="551"/>
      <c r="P137" s="1"/>
      <c r="Q137" s="551"/>
      <c r="R137" s="1"/>
      <c r="S137"/>
    </row>
    <row r="138" spans="1:19" customFormat="1" ht="12.75" customHeight="1" x14ac:dyDescent="0.2">
      <c r="A138" s="234"/>
      <c r="B138" s="234"/>
      <c r="C138" s="464">
        <v>36831</v>
      </c>
      <c r="D138" s="234"/>
      <c r="E138" s="234"/>
      <c r="F138" s="234"/>
      <c r="G138" s="235" t="s">
        <v>351</v>
      </c>
      <c r="H138" s="1"/>
      <c r="I138" s="425"/>
      <c r="O138" s="558">
        <v>0</v>
      </c>
      <c r="P138" s="558"/>
      <c r="Q138" s="551">
        <f>O138*R138</f>
        <v>0</v>
      </c>
      <c r="R138" s="820">
        <f>VLOOKUP(C138,SpotRates!$A$4:$D$34,4,FALSE)</f>
        <v>1.5331999999999999</v>
      </c>
      <c r="S138" s="551">
        <f>+(SpotRates!$D$36-'Orig Sched'!R138)*'Orig Sched'!O138</f>
        <v>0</v>
      </c>
    </row>
    <row r="139" spans="1:19" customFormat="1" ht="12.75" customHeight="1" x14ac:dyDescent="0.2">
      <c r="A139" s="234"/>
      <c r="B139" s="234"/>
      <c r="C139" s="464"/>
      <c r="D139" s="234"/>
      <c r="E139" s="234"/>
      <c r="G139" s="234" t="s">
        <v>350</v>
      </c>
      <c r="O139" s="551">
        <v>0</v>
      </c>
      <c r="P139" s="558"/>
      <c r="Q139" s="551">
        <f>+O139*SpotRates!$D$36</f>
        <v>0</v>
      </c>
      <c r="R139" s="1"/>
      <c r="S139" s="551"/>
    </row>
    <row r="140" spans="1:19" ht="12.75" customHeight="1" x14ac:dyDescent="0.2">
      <c r="F140" s="1"/>
      <c r="H140" s="1"/>
      <c r="I140" s="1"/>
      <c r="J140" s="1"/>
      <c r="K140" s="43"/>
      <c r="L140" s="43"/>
      <c r="M140" s="42"/>
      <c r="N140" s="1"/>
      <c r="O140" s="551"/>
      <c r="P140" s="1"/>
      <c r="Q140" s="551"/>
      <c r="R140" s="1"/>
      <c r="S140"/>
    </row>
    <row r="141" spans="1:19" customFormat="1" ht="12.75" customHeight="1" x14ac:dyDescent="0.2">
      <c r="A141" s="234"/>
      <c r="B141" s="234"/>
      <c r="C141" s="464">
        <v>36831</v>
      </c>
      <c r="D141" s="234"/>
      <c r="E141" s="234"/>
      <c r="F141" s="234"/>
      <c r="G141" s="235" t="s">
        <v>351</v>
      </c>
      <c r="H141" s="1"/>
      <c r="I141" s="425"/>
      <c r="O141" s="558">
        <v>0</v>
      </c>
      <c r="P141" s="558"/>
      <c r="Q141" s="551">
        <f>O141*R141</f>
        <v>0</v>
      </c>
      <c r="R141" s="820">
        <f>VLOOKUP(C141,SpotRates!$A$4:$D$34,4,FALSE)</f>
        <v>1.5331999999999999</v>
      </c>
      <c r="S141" s="551">
        <f>+(SpotRates!$D$36-'Orig Sched'!R141)*'Orig Sched'!O141</f>
        <v>0</v>
      </c>
    </row>
    <row r="142" spans="1:19" customFormat="1" ht="12.75" customHeight="1" x14ac:dyDescent="0.2">
      <c r="A142" s="234"/>
      <c r="B142" s="234"/>
      <c r="C142" s="464"/>
      <c r="D142" s="234"/>
      <c r="E142" s="234"/>
      <c r="G142" s="234" t="s">
        <v>350</v>
      </c>
      <c r="O142" s="551">
        <v>0</v>
      </c>
      <c r="P142" s="558"/>
      <c r="Q142" s="551">
        <f>+O142*SpotRates!$D$36</f>
        <v>0</v>
      </c>
      <c r="R142" s="1"/>
      <c r="S142" s="551"/>
    </row>
    <row r="143" spans="1:19" ht="12.75" customHeight="1" x14ac:dyDescent="0.2">
      <c r="F143" s="1"/>
      <c r="H143" s="1"/>
      <c r="I143" s="1"/>
      <c r="J143" s="1"/>
      <c r="K143" s="43"/>
      <c r="L143" s="43"/>
      <c r="M143" s="42"/>
      <c r="N143" s="1"/>
      <c r="O143" s="551"/>
      <c r="P143" s="1"/>
      <c r="Q143" s="551"/>
      <c r="R143" s="1"/>
      <c r="S143"/>
    </row>
    <row r="144" spans="1:19" customFormat="1" ht="12.75" customHeight="1" x14ac:dyDescent="0.2">
      <c r="A144" s="234"/>
      <c r="B144" s="234"/>
      <c r="C144" s="464">
        <v>36831</v>
      </c>
      <c r="D144" s="234" t="s">
        <v>516</v>
      </c>
      <c r="E144" s="234"/>
      <c r="F144" s="234"/>
      <c r="G144" s="235" t="s">
        <v>351</v>
      </c>
      <c r="H144" s="1"/>
      <c r="I144" s="425"/>
      <c r="O144" s="558">
        <v>0</v>
      </c>
      <c r="P144" s="558"/>
      <c r="Q144" s="551">
        <f>O144*R144</f>
        <v>0</v>
      </c>
      <c r="R144" s="820">
        <f>VLOOKUP(C144,SpotRates!$A$4:$D$34,4,FALSE)</f>
        <v>1.5331999999999999</v>
      </c>
      <c r="S144" s="551">
        <f>+(SpotRates!$D$36-'Orig Sched'!R144)*'Orig Sched'!O144</f>
        <v>0</v>
      </c>
    </row>
    <row r="145" spans="1:19" customFormat="1" ht="12.75" customHeight="1" x14ac:dyDescent="0.2">
      <c r="A145" s="234"/>
      <c r="B145" s="234"/>
      <c r="C145" s="464"/>
      <c r="D145" s="234"/>
      <c r="E145" s="234"/>
      <c r="G145" s="234" t="s">
        <v>350</v>
      </c>
      <c r="O145" s="551">
        <v>0</v>
      </c>
      <c r="P145" s="558"/>
      <c r="Q145" s="551">
        <f>+O145*SpotRates!$D$36</f>
        <v>0</v>
      </c>
      <c r="R145" s="1"/>
      <c r="S145" s="551"/>
    </row>
    <row r="146" spans="1:19" ht="12.75" customHeight="1" x14ac:dyDescent="0.2">
      <c r="F146" s="1"/>
      <c r="H146" s="1"/>
      <c r="I146" s="1"/>
      <c r="J146" s="1"/>
      <c r="K146" s="43"/>
      <c r="L146" s="43"/>
      <c r="M146" s="42"/>
      <c r="N146" s="1"/>
      <c r="O146" s="551"/>
      <c r="P146" s="1"/>
      <c r="Q146" s="551"/>
      <c r="R146" s="1"/>
      <c r="S146"/>
    </row>
    <row r="147" spans="1:19" customFormat="1" ht="12.75" customHeight="1" x14ac:dyDescent="0.2">
      <c r="A147" s="234"/>
      <c r="B147" s="234"/>
      <c r="C147" s="464">
        <v>36831</v>
      </c>
      <c r="D147" s="234"/>
      <c r="E147" s="234"/>
      <c r="F147" s="234"/>
      <c r="G147" s="235" t="s">
        <v>351</v>
      </c>
      <c r="H147" s="1"/>
      <c r="I147" s="425"/>
      <c r="O147" s="558">
        <v>0</v>
      </c>
      <c r="P147" s="558"/>
      <c r="Q147" s="551">
        <f>O147*R147</f>
        <v>0</v>
      </c>
      <c r="R147" s="820">
        <f>VLOOKUP(C147,SpotRates!$A$4:$D$34,4,FALSE)</f>
        <v>1.5331999999999999</v>
      </c>
      <c r="S147" s="551">
        <f>+(SpotRates!$D$36-'Orig Sched'!R147)*'Orig Sched'!O147</f>
        <v>0</v>
      </c>
    </row>
    <row r="148" spans="1:19" customFormat="1" ht="12.75" customHeight="1" x14ac:dyDescent="0.2">
      <c r="A148" s="234"/>
      <c r="B148" s="234"/>
      <c r="C148" s="464"/>
      <c r="D148" s="234"/>
      <c r="E148" s="234"/>
      <c r="G148" s="234" t="s">
        <v>350</v>
      </c>
      <c r="O148" s="551">
        <v>0</v>
      </c>
      <c r="P148" s="558"/>
      <c r="Q148" s="551">
        <f>+O148*SpotRates!$D$36</f>
        <v>0</v>
      </c>
      <c r="R148" s="1"/>
      <c r="S148" s="551"/>
    </row>
    <row r="149" spans="1:19" ht="12.75" customHeight="1" x14ac:dyDescent="0.2">
      <c r="F149" s="1"/>
      <c r="H149" s="1"/>
      <c r="I149" s="1"/>
      <c r="J149" s="1"/>
      <c r="K149" s="43"/>
      <c r="L149" s="43"/>
      <c r="M149" s="42"/>
      <c r="N149" s="1"/>
      <c r="O149" s="551"/>
      <c r="P149" s="1"/>
      <c r="Q149" s="551"/>
      <c r="R149" s="1"/>
      <c r="S149"/>
    </row>
    <row r="150" spans="1:19" customFormat="1" ht="12.75" customHeight="1" x14ac:dyDescent="0.2">
      <c r="A150" s="234"/>
      <c r="B150" s="234"/>
      <c r="C150" s="464">
        <v>36831</v>
      </c>
      <c r="D150" s="234"/>
      <c r="E150" s="234"/>
      <c r="F150" s="234"/>
      <c r="G150" s="235" t="s">
        <v>351</v>
      </c>
      <c r="H150" s="1"/>
      <c r="I150" s="425"/>
      <c r="O150" s="558">
        <v>0</v>
      </c>
      <c r="P150" s="558"/>
      <c r="Q150" s="551">
        <f>O150*R150</f>
        <v>0</v>
      </c>
      <c r="R150" s="820">
        <f>VLOOKUP(C150,SpotRates!$A$4:$D$34,4,FALSE)</f>
        <v>1.5331999999999999</v>
      </c>
      <c r="S150" s="551">
        <f>+(SpotRates!$D$36-'Orig Sched'!R150)*'Orig Sched'!O150</f>
        <v>0</v>
      </c>
    </row>
    <row r="151" spans="1:19" customFormat="1" ht="12.75" customHeight="1" x14ac:dyDescent="0.2">
      <c r="A151" s="234"/>
      <c r="B151" s="234"/>
      <c r="C151" s="464"/>
      <c r="D151" s="234"/>
      <c r="E151" s="234"/>
      <c r="G151" s="234" t="s">
        <v>350</v>
      </c>
      <c r="O151" s="551">
        <v>0</v>
      </c>
      <c r="P151" s="558"/>
      <c r="Q151" s="551">
        <f>+O151*SpotRates!$D$36</f>
        <v>0</v>
      </c>
      <c r="R151" s="1"/>
      <c r="S151" s="551"/>
    </row>
    <row r="152" spans="1:19" ht="12.75" customHeight="1" x14ac:dyDescent="0.2">
      <c r="F152" s="1"/>
      <c r="H152" s="1"/>
      <c r="I152" s="1"/>
      <c r="J152" s="1"/>
      <c r="K152" s="43"/>
      <c r="L152" s="43"/>
      <c r="M152" s="42"/>
      <c r="N152" s="1"/>
      <c r="O152" s="551"/>
      <c r="P152" s="1"/>
      <c r="Q152" s="551"/>
      <c r="R152" s="1"/>
      <c r="S152"/>
    </row>
    <row r="153" spans="1:19" customFormat="1" ht="12.75" customHeight="1" x14ac:dyDescent="0.2">
      <c r="A153" s="234"/>
      <c r="B153" s="234"/>
      <c r="C153" s="464">
        <v>36831</v>
      </c>
      <c r="D153" s="234"/>
      <c r="E153" s="234"/>
      <c r="F153" s="234"/>
      <c r="G153" s="235" t="s">
        <v>351</v>
      </c>
      <c r="H153" s="1"/>
      <c r="I153" s="425"/>
      <c r="O153" s="558">
        <v>0</v>
      </c>
      <c r="P153" s="558"/>
      <c r="Q153" s="551">
        <f>O153*R153</f>
        <v>0</v>
      </c>
      <c r="R153" s="820">
        <f>VLOOKUP(C153,SpotRates!$A$4:$D$34,4,FALSE)</f>
        <v>1.5331999999999999</v>
      </c>
      <c r="S153" s="551">
        <f>+(SpotRates!$D$36-'Orig Sched'!R153)*'Orig Sched'!O153</f>
        <v>0</v>
      </c>
    </row>
    <row r="154" spans="1:19" customFormat="1" ht="12.75" customHeight="1" x14ac:dyDescent="0.2">
      <c r="A154" s="234"/>
      <c r="B154" s="234"/>
      <c r="C154" s="464"/>
      <c r="D154" s="234"/>
      <c r="E154" s="234"/>
      <c r="G154" s="234" t="s">
        <v>350</v>
      </c>
      <c r="O154" s="551">
        <v>0</v>
      </c>
      <c r="P154" s="558"/>
      <c r="Q154" s="551">
        <f>+O154*SpotRates!$D$36</f>
        <v>0</v>
      </c>
      <c r="R154" s="1"/>
      <c r="S154" s="551"/>
    </row>
    <row r="155" spans="1:19" ht="12.75" customHeight="1" x14ac:dyDescent="0.2">
      <c r="F155" s="1"/>
      <c r="H155" s="1"/>
      <c r="I155" s="1"/>
      <c r="J155" s="1"/>
      <c r="K155" s="43"/>
      <c r="L155" s="43"/>
      <c r="M155" s="42"/>
      <c r="N155" s="1"/>
      <c r="O155" s="551"/>
      <c r="P155" s="1"/>
      <c r="Q155" s="551"/>
      <c r="R155" s="1"/>
      <c r="S155"/>
    </row>
    <row r="156" spans="1:19" customFormat="1" ht="12.75" customHeight="1" x14ac:dyDescent="0.2">
      <c r="A156" s="234"/>
      <c r="B156" s="234"/>
      <c r="C156" s="464">
        <v>36831</v>
      </c>
      <c r="D156" s="234"/>
      <c r="E156" s="234"/>
      <c r="F156" s="234"/>
      <c r="G156" s="235" t="s">
        <v>351</v>
      </c>
      <c r="H156" s="1"/>
      <c r="I156" s="425"/>
      <c r="O156" s="558">
        <v>0</v>
      </c>
      <c r="P156" s="558"/>
      <c r="Q156" s="551">
        <f>O156*R156</f>
        <v>0</v>
      </c>
      <c r="R156" s="820">
        <f>VLOOKUP(C156,SpotRates!$A$4:$D$34,4,FALSE)</f>
        <v>1.5331999999999999</v>
      </c>
      <c r="S156" s="551">
        <f>+(SpotRates!$D$36-'Orig Sched'!R156)*'Orig Sched'!O156</f>
        <v>0</v>
      </c>
    </row>
    <row r="157" spans="1:19" customFormat="1" ht="12.75" customHeight="1" x14ac:dyDescent="0.2">
      <c r="A157" s="234"/>
      <c r="B157" s="234"/>
      <c r="C157" s="464"/>
      <c r="D157" s="234"/>
      <c r="E157" s="234"/>
      <c r="G157" s="234" t="s">
        <v>350</v>
      </c>
      <c r="O157" s="551">
        <v>0</v>
      </c>
      <c r="P157" s="558"/>
      <c r="Q157" s="551">
        <f>+O157*SpotRates!$D$36</f>
        <v>0</v>
      </c>
      <c r="R157" s="1"/>
      <c r="S157" s="551"/>
    </row>
    <row r="158" spans="1:19" ht="12.75" customHeight="1" x14ac:dyDescent="0.2">
      <c r="F158" s="1"/>
      <c r="H158" s="1"/>
      <c r="I158" s="1"/>
      <c r="J158" s="1"/>
      <c r="K158" s="43"/>
      <c r="L158" s="43"/>
      <c r="M158" s="42"/>
      <c r="N158" s="1"/>
      <c r="O158" s="551"/>
      <c r="P158" s="1"/>
      <c r="Q158" s="551"/>
      <c r="R158" s="1"/>
      <c r="S158"/>
    </row>
    <row r="159" spans="1:19" customFormat="1" ht="12.75" customHeight="1" x14ac:dyDescent="0.2">
      <c r="A159" s="234"/>
      <c r="B159" s="234"/>
      <c r="C159" s="464">
        <v>36831</v>
      </c>
      <c r="D159" s="234"/>
      <c r="E159" s="234"/>
      <c r="F159" s="234"/>
      <c r="G159" s="235" t="s">
        <v>351</v>
      </c>
      <c r="H159" s="1"/>
      <c r="I159" s="425"/>
      <c r="O159" s="558">
        <v>0</v>
      </c>
      <c r="P159" s="558"/>
      <c r="Q159" s="551">
        <f>+O159*SpotRates!$D$36</f>
        <v>0</v>
      </c>
      <c r="R159" s="820">
        <f>VLOOKUP(C159,SpotRates!$A$4:$D$34,4,FALSE)</f>
        <v>1.5331999999999999</v>
      </c>
      <c r="S159" s="551">
        <f>+(SpotRates!$D$36-'Orig Sched'!R159)*'Orig Sched'!O159</f>
        <v>0</v>
      </c>
    </row>
    <row r="160" spans="1:19" customFormat="1" ht="12.75" customHeight="1" x14ac:dyDescent="0.2">
      <c r="A160" s="234"/>
      <c r="B160" s="234"/>
      <c r="C160" s="464"/>
      <c r="D160" s="234"/>
      <c r="E160" s="234"/>
      <c r="G160" s="234" t="s">
        <v>350</v>
      </c>
      <c r="O160" s="551">
        <v>0</v>
      </c>
      <c r="P160" s="558"/>
      <c r="Q160" s="551">
        <f>+O160*SpotRates!$D$36</f>
        <v>0</v>
      </c>
      <c r="R160" s="1"/>
      <c r="S160" s="551"/>
    </row>
    <row r="161" spans="1:19" ht="12.75" customHeight="1" x14ac:dyDescent="0.2">
      <c r="F161" s="1"/>
      <c r="H161" s="1"/>
      <c r="I161" s="1"/>
      <c r="J161" s="1"/>
      <c r="K161" s="43"/>
      <c r="L161" s="43"/>
      <c r="M161" s="42"/>
      <c r="N161" s="1"/>
      <c r="O161" s="551"/>
      <c r="P161" s="1"/>
      <c r="Q161" s="551"/>
      <c r="R161" s="1"/>
      <c r="S161"/>
    </row>
    <row r="162" spans="1:19" customFormat="1" ht="12.75" customHeight="1" x14ac:dyDescent="0.2">
      <c r="A162" s="234"/>
      <c r="B162" s="234"/>
      <c r="C162" s="464">
        <v>36831</v>
      </c>
      <c r="D162" s="234"/>
      <c r="E162" s="234"/>
      <c r="F162" s="234"/>
      <c r="G162" s="235" t="s">
        <v>351</v>
      </c>
      <c r="H162" s="1"/>
      <c r="I162" s="425"/>
      <c r="O162" s="558">
        <v>0</v>
      </c>
      <c r="P162" s="558"/>
      <c r="Q162" s="551">
        <f>+O162*SpotRates!$D$36</f>
        <v>0</v>
      </c>
      <c r="R162" s="820">
        <f>VLOOKUP(C162,SpotRates!$A$4:$D$34,4,FALSE)</f>
        <v>1.5331999999999999</v>
      </c>
      <c r="S162" s="551">
        <f>+(SpotRates!$D$36-'Orig Sched'!R162)*'Orig Sched'!O162</f>
        <v>0</v>
      </c>
    </row>
    <row r="163" spans="1:19" customFormat="1" ht="12.75" customHeight="1" x14ac:dyDescent="0.2">
      <c r="A163" s="234"/>
      <c r="B163" s="234"/>
      <c r="C163" s="464"/>
      <c r="D163" s="234"/>
      <c r="E163" s="234"/>
      <c r="G163" s="234" t="s">
        <v>350</v>
      </c>
      <c r="O163" s="551">
        <v>0</v>
      </c>
      <c r="P163" s="558"/>
      <c r="Q163" s="551">
        <f>+O163*SpotRates!$D$36</f>
        <v>0</v>
      </c>
      <c r="R163" s="1"/>
      <c r="S163" s="551"/>
    </row>
    <row r="164" spans="1:19" ht="10.5" customHeight="1" x14ac:dyDescent="0.2">
      <c r="F164" s="1"/>
      <c r="H164" s="1"/>
      <c r="I164" s="1"/>
      <c r="J164" s="1"/>
      <c r="K164" s="43"/>
      <c r="L164" s="43"/>
      <c r="M164" s="42"/>
      <c r="N164" s="1"/>
      <c r="O164" s="551"/>
      <c r="P164" s="1"/>
      <c r="Q164" s="551"/>
      <c r="R164" s="1"/>
      <c r="S164"/>
    </row>
    <row r="165" spans="1:19" customFormat="1" ht="12.75" customHeight="1" x14ac:dyDescent="0.2">
      <c r="A165" s="234"/>
      <c r="B165" s="234"/>
      <c r="C165" s="464">
        <v>36831</v>
      </c>
      <c r="D165" s="234"/>
      <c r="E165" s="234"/>
      <c r="F165" s="234"/>
      <c r="G165" s="235" t="s">
        <v>351</v>
      </c>
      <c r="H165" s="1"/>
      <c r="I165" s="425"/>
      <c r="O165" s="558">
        <v>0</v>
      </c>
      <c r="P165" s="558"/>
      <c r="Q165" s="551">
        <f>+O165*SpotRates!$D$36</f>
        <v>0</v>
      </c>
      <c r="R165" s="820">
        <f>VLOOKUP(C165,SpotRates!$A$4:$D$34,4,FALSE)</f>
        <v>1.5331999999999999</v>
      </c>
      <c r="S165" s="551">
        <f>+(SpotRates!$D$36-'Orig Sched'!R165)*'Orig Sched'!O165</f>
        <v>0</v>
      </c>
    </row>
    <row r="166" spans="1:19" customFormat="1" ht="12.75" customHeight="1" x14ac:dyDescent="0.2">
      <c r="A166" s="234"/>
      <c r="B166" s="234"/>
      <c r="C166" s="464"/>
      <c r="D166" s="234"/>
      <c r="E166" s="234"/>
      <c r="G166" s="234" t="s">
        <v>350</v>
      </c>
      <c r="O166" s="551">
        <v>0</v>
      </c>
      <c r="P166" s="558"/>
      <c r="Q166" s="551">
        <f>+O166*SpotRates!$D$36</f>
        <v>0</v>
      </c>
      <c r="R166" s="1"/>
      <c r="S166" s="551"/>
    </row>
    <row r="167" spans="1:19" ht="12.75" customHeight="1" x14ac:dyDescent="0.2">
      <c r="F167" s="1"/>
      <c r="H167" s="1"/>
      <c r="I167" s="1"/>
      <c r="J167" s="1"/>
      <c r="K167" s="43"/>
      <c r="L167" s="43"/>
      <c r="M167" s="42"/>
      <c r="N167" s="1"/>
      <c r="O167" s="551"/>
      <c r="P167" s="1"/>
      <c r="Q167" s="551"/>
      <c r="R167" s="1"/>
      <c r="S167"/>
    </row>
    <row r="168" spans="1:19" customFormat="1" ht="12.75" customHeight="1" x14ac:dyDescent="0.2">
      <c r="A168" s="234"/>
      <c r="B168" s="234"/>
      <c r="C168" s="464">
        <v>36831</v>
      </c>
      <c r="D168" s="234"/>
      <c r="E168" s="234"/>
      <c r="F168" s="234"/>
      <c r="G168" s="235" t="s">
        <v>351</v>
      </c>
      <c r="H168" s="1"/>
      <c r="I168" s="425"/>
      <c r="O168" s="558">
        <v>0</v>
      </c>
      <c r="P168" s="558"/>
      <c r="Q168" s="551">
        <v>0</v>
      </c>
      <c r="R168" s="820">
        <f>VLOOKUP(C168,SpotRates!$A$4:$D$34,4,FALSE)</f>
        <v>1.5331999999999999</v>
      </c>
      <c r="S168" s="551">
        <f>+(SpotRates!$D$36-'Orig Sched'!R168)*'Orig Sched'!O168</f>
        <v>0</v>
      </c>
    </row>
    <row r="169" spans="1:19" customFormat="1" ht="12.75" customHeight="1" x14ac:dyDescent="0.2">
      <c r="A169" s="234"/>
      <c r="B169" s="234"/>
      <c r="C169" s="464"/>
      <c r="D169" s="234"/>
      <c r="E169" s="234"/>
      <c r="G169" s="234" t="s">
        <v>350</v>
      </c>
      <c r="O169" s="551">
        <v>0</v>
      </c>
      <c r="P169" s="558"/>
      <c r="Q169" s="551">
        <v>0</v>
      </c>
      <c r="R169" s="1"/>
      <c r="S169" s="551"/>
    </row>
    <row r="170" spans="1:19" ht="12.75" customHeight="1" x14ac:dyDescent="0.2">
      <c r="F170" s="1"/>
      <c r="H170" s="1"/>
      <c r="I170" s="1"/>
      <c r="J170" s="1"/>
      <c r="K170" s="43"/>
      <c r="L170" s="43"/>
      <c r="M170" s="42"/>
      <c r="N170" s="1"/>
      <c r="O170" s="551"/>
      <c r="P170" s="1"/>
      <c r="Q170" s="551"/>
      <c r="R170" s="1"/>
      <c r="S170"/>
    </row>
    <row r="171" spans="1:19" customFormat="1" ht="12.75" customHeight="1" x14ac:dyDescent="0.2">
      <c r="A171" s="234"/>
      <c r="B171" s="234"/>
      <c r="C171" s="464">
        <v>36831</v>
      </c>
      <c r="D171" s="234"/>
      <c r="E171" s="234"/>
      <c r="F171" s="234"/>
      <c r="G171" s="235" t="s">
        <v>351</v>
      </c>
      <c r="H171" s="1"/>
      <c r="I171" s="425"/>
      <c r="O171" s="558">
        <v>0</v>
      </c>
      <c r="P171" s="558"/>
      <c r="Q171" s="551">
        <f>O171*R171</f>
        <v>0</v>
      </c>
      <c r="R171" s="820">
        <f>VLOOKUP(C171,SpotRates!$A$4:$D$34,4,FALSE)</f>
        <v>1.5331999999999999</v>
      </c>
      <c r="S171" s="551">
        <f>+(SpotRates!$D$36-'Orig Sched'!R171)*'Orig Sched'!O171</f>
        <v>0</v>
      </c>
    </row>
    <row r="172" spans="1:19" customFormat="1" ht="12.75" customHeight="1" x14ac:dyDescent="0.2">
      <c r="A172" s="234"/>
      <c r="B172" s="234"/>
      <c r="C172" s="464"/>
      <c r="D172" s="234"/>
      <c r="E172" s="234"/>
      <c r="G172" s="234" t="s">
        <v>350</v>
      </c>
      <c r="O172" s="551">
        <v>0</v>
      </c>
      <c r="P172" s="558"/>
      <c r="Q172" s="551">
        <f>+O172*SpotRates!$D$36</f>
        <v>0</v>
      </c>
      <c r="R172" s="1"/>
      <c r="S172" s="551"/>
    </row>
    <row r="173" spans="1:19" ht="12.75" customHeight="1" x14ac:dyDescent="0.2">
      <c r="F173" s="1"/>
      <c r="H173" s="1"/>
      <c r="I173" s="1"/>
      <c r="J173" s="1"/>
      <c r="K173" s="43"/>
      <c r="L173" s="43"/>
      <c r="M173" s="42"/>
      <c r="N173" s="1"/>
      <c r="O173" s="551"/>
      <c r="P173" s="1"/>
      <c r="Q173" s="551"/>
      <c r="R173" s="1"/>
      <c r="S173"/>
    </row>
    <row r="174" spans="1:19" customFormat="1" ht="12.75" customHeight="1" x14ac:dyDescent="0.2">
      <c r="A174" s="234"/>
      <c r="B174" s="234"/>
      <c r="C174" s="464">
        <v>36831</v>
      </c>
      <c r="D174" s="234"/>
      <c r="E174" s="234"/>
      <c r="F174" s="234"/>
      <c r="G174" s="235" t="s">
        <v>351</v>
      </c>
      <c r="H174" s="1"/>
      <c r="I174" s="425"/>
      <c r="O174" s="558">
        <v>0</v>
      </c>
      <c r="P174" s="558"/>
      <c r="Q174" s="551">
        <f>O174*R174</f>
        <v>0</v>
      </c>
      <c r="R174" s="820">
        <f>VLOOKUP(C174,SpotRates!$A$4:$D$34,4,FALSE)</f>
        <v>1.5331999999999999</v>
      </c>
      <c r="S174" s="551">
        <f>+(SpotRates!$D$36-'Orig Sched'!R174)*'Orig Sched'!O174</f>
        <v>0</v>
      </c>
    </row>
    <row r="175" spans="1:19" customFormat="1" ht="12.75" customHeight="1" x14ac:dyDescent="0.2">
      <c r="A175" s="234"/>
      <c r="B175" s="234"/>
      <c r="C175" s="464"/>
      <c r="D175" s="234"/>
      <c r="E175" s="234"/>
      <c r="G175" s="234" t="s">
        <v>350</v>
      </c>
      <c r="O175" s="551">
        <v>0</v>
      </c>
      <c r="P175" s="558"/>
      <c r="Q175" s="551">
        <f>+O175*SpotRates!$D$36</f>
        <v>0</v>
      </c>
      <c r="R175" s="1"/>
      <c r="S175" s="551"/>
    </row>
    <row r="176" spans="1:19" ht="12.75" customHeight="1" x14ac:dyDescent="0.2">
      <c r="F176" s="1"/>
      <c r="H176" s="1"/>
      <c r="I176" s="1"/>
      <c r="J176" s="1"/>
      <c r="K176" s="43"/>
      <c r="L176" s="43"/>
      <c r="M176" s="42"/>
      <c r="N176" s="1"/>
      <c r="O176" s="551"/>
      <c r="P176" s="1"/>
      <c r="Q176" s="551"/>
      <c r="R176" s="1"/>
      <c r="S176"/>
    </row>
    <row r="177" spans="1:19" customFormat="1" ht="12.75" customHeight="1" x14ac:dyDescent="0.2">
      <c r="A177" s="234"/>
      <c r="B177" s="234"/>
      <c r="C177" s="464">
        <v>36831</v>
      </c>
      <c r="D177" s="234"/>
      <c r="E177" s="234"/>
      <c r="F177" s="234"/>
      <c r="G177" s="235" t="s">
        <v>351</v>
      </c>
      <c r="H177" s="1"/>
      <c r="I177" s="425"/>
      <c r="O177" s="558">
        <v>0</v>
      </c>
      <c r="P177" s="558"/>
      <c r="Q177" s="551">
        <f>+O177*SpotRates!$D$36</f>
        <v>0</v>
      </c>
      <c r="R177" s="820">
        <f>VLOOKUP(C177,SpotRates!$A$4:$D$34,4,FALSE)</f>
        <v>1.5331999999999999</v>
      </c>
      <c r="S177" s="551">
        <f>+(SpotRates!$D$36-'Orig Sched'!R177)*'Orig Sched'!O177</f>
        <v>0</v>
      </c>
    </row>
    <row r="178" spans="1:19" customFormat="1" ht="12.75" customHeight="1" x14ac:dyDescent="0.2">
      <c r="A178" s="234"/>
      <c r="B178" s="234"/>
      <c r="C178" s="464"/>
      <c r="D178" s="234"/>
      <c r="E178" s="234"/>
      <c r="G178" s="234" t="s">
        <v>350</v>
      </c>
      <c r="O178" s="551">
        <v>0</v>
      </c>
      <c r="P178" s="558"/>
      <c r="Q178" s="551">
        <f>+O178*SpotRates!$D$36</f>
        <v>0</v>
      </c>
      <c r="R178" s="1"/>
      <c r="S178" s="551"/>
    </row>
    <row r="179" spans="1:19" ht="12.75" customHeight="1" x14ac:dyDescent="0.2">
      <c r="F179" s="1"/>
      <c r="H179" s="1"/>
      <c r="I179" s="1"/>
      <c r="J179" s="1"/>
      <c r="K179" s="43"/>
      <c r="L179" s="43"/>
      <c r="M179" s="42"/>
      <c r="N179" s="1"/>
      <c r="O179" s="551"/>
      <c r="P179" s="1"/>
      <c r="Q179" s="551"/>
      <c r="R179" s="1"/>
      <c r="S179"/>
    </row>
    <row r="180" spans="1:19" ht="12.75" customHeight="1" x14ac:dyDescent="0.2">
      <c r="A180" s="241"/>
      <c r="C180" s="464"/>
      <c r="K180" s="42"/>
      <c r="L180" s="42"/>
      <c r="M180" s="42"/>
      <c r="P180"/>
      <c r="Q180" s="340"/>
      <c r="R180"/>
    </row>
    <row r="181" spans="1:19" ht="12.75" customHeight="1" x14ac:dyDescent="0.2">
      <c r="A181" s="415" t="s">
        <v>352</v>
      </c>
      <c r="B181" s="416"/>
      <c r="C181" s="417"/>
      <c r="D181" s="418"/>
      <c r="E181" s="418"/>
      <c r="F181" s="418"/>
      <c r="G181" s="418"/>
      <c r="H181" s="418"/>
      <c r="I181" s="418"/>
      <c r="J181" s="419"/>
      <c r="K181" s="420">
        <f>SUBTOTAL(9,K8:K180)</f>
        <v>0</v>
      </c>
      <c r="L181" s="420"/>
      <c r="M181" s="420">
        <f>SUBTOTAL(9,M8:M180)</f>
        <v>0</v>
      </c>
      <c r="N181" s="419"/>
      <c r="O181" s="784">
        <f>SUBTOTAL(9,O8:O180)</f>
        <v>426.78530427350597</v>
      </c>
      <c r="P181"/>
      <c r="Q181" s="783">
        <f>SUM(Q9:Q177)</f>
        <v>657.89523954699985</v>
      </c>
      <c r="R181"/>
      <c r="S181" s="783">
        <f>SUM(S9:S177)</f>
        <v>27.599657163258929</v>
      </c>
    </row>
    <row r="182" spans="1:19" ht="12.75" customHeight="1" x14ac:dyDescent="0.2">
      <c r="J182" s="243"/>
      <c r="K182" s="42"/>
      <c r="L182" s="42"/>
      <c r="M182" s="192"/>
      <c r="N182" s="243"/>
      <c r="O182" s="344"/>
      <c r="P182"/>
      <c r="Q182"/>
      <c r="R182"/>
    </row>
    <row r="183" spans="1:19" ht="12.75" customHeight="1" x14ac:dyDescent="0.2">
      <c r="A183" s="244"/>
      <c r="B183" s="244"/>
      <c r="J183" s="243"/>
      <c r="M183" s="374"/>
      <c r="N183" s="243"/>
      <c r="O183" s="423"/>
      <c r="P183"/>
      <c r="Q183" s="423"/>
      <c r="R183"/>
    </row>
    <row r="184" spans="1:19" customFormat="1" ht="12.75" customHeight="1" x14ac:dyDescent="0.2">
      <c r="C184" s="349"/>
      <c r="K184" s="292"/>
      <c r="L184" s="292"/>
      <c r="M184" s="292"/>
      <c r="O184" s="414"/>
    </row>
    <row r="185" spans="1:19" customFormat="1" ht="12.75" customHeight="1" x14ac:dyDescent="0.2">
      <c r="C185" s="349"/>
      <c r="K185" s="292"/>
      <c r="L185" s="292"/>
      <c r="M185" s="292"/>
    </row>
    <row r="186" spans="1:19" ht="12.75" customHeight="1" x14ac:dyDescent="0.2">
      <c r="C186" s="240"/>
      <c r="G186" s="239"/>
      <c r="I186" s="239"/>
      <c r="K186" s="375"/>
      <c r="L186" s="375"/>
      <c r="M186" s="376"/>
      <c r="O186" s="343"/>
      <c r="P186" s="245"/>
      <c r="Q186" s="429"/>
    </row>
    <row r="187" spans="1:19" ht="12.75" customHeight="1" x14ac:dyDescent="0.2">
      <c r="A187" s="242"/>
      <c r="C187" s="240"/>
      <c r="G187" s="239"/>
      <c r="I187" s="239"/>
      <c r="K187" s="375"/>
      <c r="L187" s="375"/>
      <c r="M187" s="376"/>
      <c r="O187" s="422"/>
      <c r="P187" s="245"/>
      <c r="Q187" s="246"/>
    </row>
    <row r="188" spans="1:19" ht="12.75" customHeight="1" x14ac:dyDescent="0.2">
      <c r="A188" s="242"/>
      <c r="C188" s="240"/>
      <c r="G188" s="239"/>
      <c r="I188" s="239"/>
      <c r="K188" s="375"/>
      <c r="L188" s="375"/>
      <c r="M188" s="376"/>
      <c r="O188" s="343"/>
      <c r="P188" s="245"/>
      <c r="Q188" s="246"/>
    </row>
    <row r="189" spans="1:19" ht="12.75" customHeight="1" x14ac:dyDescent="0.2">
      <c r="A189" s="242"/>
      <c r="C189" s="240"/>
      <c r="G189" s="239"/>
      <c r="I189" s="239"/>
      <c r="K189" s="375"/>
      <c r="L189" s="375"/>
      <c r="M189" s="376"/>
      <c r="O189" s="343"/>
      <c r="P189" s="245"/>
      <c r="Q189" s="246"/>
    </row>
    <row r="190" spans="1:19" ht="12.75" customHeight="1" x14ac:dyDescent="0.2">
      <c r="A190" s="242"/>
      <c r="C190" s="240"/>
      <c r="G190" s="239"/>
      <c r="I190" s="239"/>
      <c r="K190" s="375"/>
      <c r="L190" s="375"/>
      <c r="M190" s="376"/>
      <c r="O190" s="343"/>
      <c r="P190" s="245"/>
      <c r="Q190" s="246"/>
    </row>
    <row r="191" spans="1:19" ht="12.75" customHeight="1" x14ac:dyDescent="0.2">
      <c r="A191" s="242"/>
      <c r="C191" s="240"/>
      <c r="G191" s="239"/>
      <c r="I191" s="239"/>
      <c r="K191" s="375"/>
      <c r="L191" s="375"/>
      <c r="M191" s="376"/>
      <c r="O191" s="343"/>
      <c r="P191" s="245"/>
      <c r="Q191" s="246"/>
    </row>
    <row r="192" spans="1:19" ht="12.75" customHeight="1" x14ac:dyDescent="0.2">
      <c r="A192" s="247"/>
      <c r="C192" s="240"/>
      <c r="G192" s="239"/>
      <c r="I192" s="239"/>
      <c r="K192" s="375"/>
      <c r="L192" s="375"/>
      <c r="M192" s="376"/>
      <c r="O192" s="343"/>
      <c r="P192" s="245"/>
      <c r="Q192" s="246"/>
    </row>
    <row r="193" spans="1:17" ht="12.75" customHeight="1" x14ac:dyDescent="0.2">
      <c r="A193" s="242"/>
      <c r="B193" s="242"/>
      <c r="C193" s="240"/>
      <c r="G193" s="239"/>
      <c r="I193" s="239"/>
      <c r="K193" s="375"/>
      <c r="L193" s="375"/>
      <c r="M193" s="376"/>
      <c r="O193" s="343"/>
      <c r="P193" s="245"/>
      <c r="Q193" s="246"/>
    </row>
    <row r="194" spans="1:17" ht="12.75" customHeight="1" x14ac:dyDescent="0.2">
      <c r="A194" s="242"/>
      <c r="B194" s="242"/>
      <c r="C194" s="240"/>
      <c r="G194" s="239"/>
      <c r="I194" s="239"/>
      <c r="K194" s="375"/>
      <c r="L194" s="375"/>
      <c r="M194" s="376"/>
      <c r="O194" s="343"/>
      <c r="P194" s="245"/>
      <c r="Q194" s="246"/>
    </row>
    <row r="195" spans="1:17" ht="12.75" customHeight="1" x14ac:dyDescent="0.2">
      <c r="A195" s="242"/>
      <c r="B195" s="242"/>
      <c r="C195" s="240"/>
      <c r="G195" s="239"/>
      <c r="I195" s="239"/>
      <c r="K195" s="375"/>
      <c r="L195" s="375"/>
      <c r="M195" s="376"/>
      <c r="O195" s="343"/>
      <c r="P195" s="245"/>
      <c r="Q195" s="246"/>
    </row>
    <row r="196" spans="1:17" ht="12.75" customHeight="1" x14ac:dyDescent="0.2">
      <c r="A196" s="242"/>
      <c r="B196" s="242"/>
      <c r="C196" s="240"/>
      <c r="G196" s="239"/>
      <c r="I196" s="239"/>
      <c r="K196" s="375"/>
      <c r="L196" s="375"/>
      <c r="M196" s="376"/>
      <c r="O196" s="343"/>
      <c r="P196" s="245"/>
      <c r="Q196" s="246"/>
    </row>
    <row r="197" spans="1:17" ht="12.75" customHeight="1" x14ac:dyDescent="0.2">
      <c r="A197" s="242"/>
      <c r="C197" s="240"/>
      <c r="G197" s="239"/>
      <c r="I197" s="239"/>
      <c r="K197" s="375"/>
      <c r="L197" s="375"/>
      <c r="M197" s="376"/>
      <c r="O197" s="343"/>
      <c r="P197" s="245"/>
      <c r="Q197" s="246"/>
    </row>
    <row r="198" spans="1:17" ht="12.75" customHeight="1" x14ac:dyDescent="0.2">
      <c r="A198" s="242"/>
      <c r="C198" s="240"/>
      <c r="G198" s="239"/>
      <c r="I198" s="239"/>
      <c r="K198" s="375"/>
      <c r="L198" s="375"/>
      <c r="M198" s="376"/>
      <c r="O198" s="343"/>
      <c r="P198" s="245"/>
      <c r="Q198" s="246"/>
    </row>
    <row r="199" spans="1:17" ht="12.75" customHeight="1" x14ac:dyDescent="0.2">
      <c r="A199" s="242"/>
      <c r="C199" s="240"/>
      <c r="G199" s="239"/>
      <c r="I199" s="239"/>
      <c r="K199" s="375"/>
      <c r="L199" s="375"/>
      <c r="M199" s="376"/>
      <c r="O199" s="343"/>
      <c r="P199" s="245"/>
      <c r="Q199" s="246"/>
    </row>
    <row r="200" spans="1:17" ht="12.75" customHeight="1" x14ac:dyDescent="0.2">
      <c r="A200" s="242"/>
      <c r="C200" s="240"/>
      <c r="G200" s="239"/>
      <c r="I200" s="239"/>
      <c r="K200" s="375"/>
      <c r="L200" s="375"/>
      <c r="M200" s="376"/>
      <c r="O200" s="343"/>
      <c r="P200" s="245"/>
      <c r="Q200" s="246"/>
    </row>
    <row r="201" spans="1:17" ht="12.75" customHeight="1" x14ac:dyDescent="0.2">
      <c r="A201" s="242"/>
      <c r="C201" s="240"/>
      <c r="G201" s="239"/>
      <c r="I201" s="239"/>
      <c r="K201" s="375"/>
      <c r="L201" s="375"/>
      <c r="M201" s="376"/>
      <c r="O201" s="343"/>
      <c r="P201" s="245"/>
      <c r="Q201" s="246"/>
    </row>
    <row r="202" spans="1:17" ht="12.75" customHeight="1" x14ac:dyDescent="0.2">
      <c r="A202" s="242"/>
      <c r="C202" s="240"/>
      <c r="G202" s="239"/>
      <c r="I202" s="239"/>
      <c r="K202" s="375"/>
      <c r="L202" s="375"/>
      <c r="M202" s="376"/>
      <c r="O202" s="343"/>
      <c r="P202" s="245"/>
      <c r="Q202" s="246"/>
    </row>
    <row r="203" spans="1:17" ht="12.75" customHeight="1" x14ac:dyDescent="0.2">
      <c r="A203" s="242"/>
      <c r="C203" s="240"/>
      <c r="G203" s="239"/>
      <c r="I203" s="239"/>
      <c r="K203" s="375"/>
      <c r="L203" s="375"/>
      <c r="M203" s="376"/>
      <c r="O203" s="343"/>
      <c r="P203" s="245"/>
      <c r="Q203" s="246"/>
    </row>
    <row r="204" spans="1:17" ht="12.75" customHeight="1" x14ac:dyDescent="0.2">
      <c r="A204" s="242"/>
      <c r="C204" s="240"/>
      <c r="G204" s="239"/>
      <c r="I204" s="239"/>
      <c r="K204" s="375"/>
      <c r="L204" s="375"/>
      <c r="M204" s="376"/>
      <c r="O204" s="343"/>
      <c r="P204" s="245"/>
      <c r="Q204" s="246"/>
    </row>
    <row r="205" spans="1:17" ht="12.75" customHeight="1" x14ac:dyDescent="0.2">
      <c r="A205" s="242"/>
      <c r="C205" s="240"/>
      <c r="G205" s="239"/>
      <c r="I205" s="239"/>
      <c r="K205" s="375"/>
      <c r="L205" s="375"/>
      <c r="M205" s="376"/>
      <c r="O205" s="343"/>
      <c r="P205" s="245"/>
      <c r="Q205" s="246"/>
    </row>
    <row r="206" spans="1:17" ht="12.75" customHeight="1" x14ac:dyDescent="0.2">
      <c r="A206" s="242"/>
      <c r="C206" s="240"/>
      <c r="G206" s="239"/>
      <c r="I206" s="239"/>
      <c r="K206" s="375"/>
      <c r="L206" s="375"/>
      <c r="M206" s="376"/>
      <c r="O206" s="343"/>
      <c r="P206" s="245"/>
      <c r="Q206" s="246"/>
    </row>
    <row r="207" spans="1:17" ht="12.75" customHeight="1" x14ac:dyDescent="0.2">
      <c r="A207" s="242"/>
      <c r="C207" s="240"/>
      <c r="G207" s="239"/>
      <c r="I207" s="239"/>
      <c r="K207" s="375"/>
      <c r="L207" s="375"/>
      <c r="M207" s="375"/>
      <c r="O207" s="343"/>
      <c r="P207" s="245"/>
      <c r="Q207" s="246"/>
    </row>
    <row r="208" spans="1:17" ht="12.75" customHeight="1" x14ac:dyDescent="0.2">
      <c r="A208" s="242"/>
      <c r="C208" s="240"/>
      <c r="G208" s="239"/>
      <c r="I208" s="239"/>
      <c r="K208" s="375"/>
      <c r="L208" s="375"/>
      <c r="M208" s="375"/>
      <c r="O208" s="343"/>
      <c r="P208" s="245"/>
      <c r="Q208" s="246"/>
    </row>
    <row r="209" spans="1:22" ht="12.75" customHeight="1" x14ac:dyDescent="0.2">
      <c r="A209" s="242"/>
      <c r="C209" s="240"/>
      <c r="G209" s="239"/>
      <c r="I209" s="239"/>
      <c r="K209" s="375"/>
      <c r="L209" s="375"/>
      <c r="M209" s="375"/>
      <c r="O209" s="343"/>
      <c r="P209" s="245"/>
      <c r="Q209" s="246"/>
    </row>
    <row r="210" spans="1:22" ht="12.75" customHeight="1" x14ac:dyDescent="0.2">
      <c r="A210" s="242"/>
      <c r="C210" s="240"/>
      <c r="G210" s="239"/>
      <c r="I210" s="239"/>
      <c r="K210" s="375"/>
      <c r="L210" s="375"/>
      <c r="M210" s="375"/>
      <c r="O210" s="343"/>
      <c r="P210" s="245"/>
      <c r="Q210" s="246"/>
    </row>
    <row r="211" spans="1:22" ht="12.75" customHeight="1" x14ac:dyDescent="0.2">
      <c r="A211" s="242"/>
      <c r="C211" s="240"/>
      <c r="G211" s="239"/>
      <c r="I211" s="239"/>
      <c r="K211" s="375"/>
      <c r="L211" s="375"/>
      <c r="M211" s="375"/>
      <c r="O211" s="343"/>
      <c r="P211" s="245"/>
      <c r="Q211" s="246"/>
    </row>
    <row r="212" spans="1:22" ht="12.75" customHeight="1" x14ac:dyDescent="0.2">
      <c r="A212" s="242"/>
      <c r="C212" s="240"/>
      <c r="G212" s="239"/>
      <c r="I212" s="239"/>
      <c r="K212" s="375"/>
      <c r="L212" s="375"/>
      <c r="M212" s="375"/>
      <c r="O212" s="343"/>
      <c r="P212" s="245"/>
      <c r="Q212" s="246"/>
    </row>
    <row r="213" spans="1:22" ht="12.75" customHeight="1" x14ac:dyDescent="0.2">
      <c r="A213" s="242"/>
      <c r="C213" s="240"/>
      <c r="G213" s="239"/>
      <c r="I213" s="239"/>
      <c r="K213" s="375"/>
      <c r="L213" s="375"/>
      <c r="M213" s="375"/>
      <c r="O213" s="343"/>
      <c r="P213" s="245"/>
      <c r="Q213" s="246"/>
    </row>
    <row r="214" spans="1:22" ht="12.75" customHeight="1" x14ac:dyDescent="0.2">
      <c r="A214" s="242"/>
      <c r="C214" s="240"/>
      <c r="G214" s="239"/>
      <c r="I214" s="239"/>
      <c r="K214" s="375"/>
      <c r="L214" s="375"/>
      <c r="M214" s="375"/>
      <c r="O214" s="343"/>
      <c r="P214" s="245"/>
      <c r="Q214" s="246"/>
      <c r="V214" s="234">
        <v>19101</v>
      </c>
    </row>
    <row r="215" spans="1:22" ht="12.75" customHeight="1" x14ac:dyDescent="0.2">
      <c r="A215" s="242"/>
      <c r="C215" s="240"/>
      <c r="G215" s="239"/>
      <c r="I215" s="239"/>
      <c r="K215" s="375"/>
      <c r="L215" s="375"/>
      <c r="M215" s="375"/>
      <c r="O215" s="343"/>
      <c r="P215" s="245"/>
      <c r="Q215" s="246"/>
    </row>
    <row r="216" spans="1:22" ht="12.75" customHeight="1" x14ac:dyDescent="0.2">
      <c r="A216" s="242"/>
      <c r="C216" s="240"/>
      <c r="G216" s="239"/>
      <c r="I216" s="239"/>
      <c r="K216" s="375"/>
      <c r="L216" s="375"/>
      <c r="M216" s="375"/>
      <c r="O216" s="343"/>
      <c r="P216" s="245"/>
      <c r="Q216" s="246"/>
    </row>
    <row r="217" spans="1:22" ht="12.75" customHeight="1" x14ac:dyDescent="0.2">
      <c r="A217" s="242"/>
      <c r="C217" s="240"/>
      <c r="G217" s="239"/>
      <c r="I217" s="239"/>
      <c r="K217" s="375"/>
      <c r="L217" s="375"/>
      <c r="M217" s="375"/>
      <c r="O217" s="343"/>
      <c r="P217" s="245"/>
      <c r="Q217" s="246"/>
    </row>
    <row r="218" spans="1:22" ht="12.75" customHeight="1" x14ac:dyDescent="0.2">
      <c r="A218" s="242"/>
      <c r="C218" s="240"/>
      <c r="G218" s="239"/>
      <c r="I218" s="239"/>
      <c r="K218" s="375"/>
      <c r="L218" s="375"/>
      <c r="M218" s="375"/>
      <c r="O218" s="343"/>
      <c r="P218" s="245"/>
      <c r="Q218" s="246"/>
    </row>
    <row r="219" spans="1:22" ht="12.75" customHeight="1" x14ac:dyDescent="0.2">
      <c r="A219" s="242"/>
      <c r="C219" s="240"/>
      <c r="G219" s="239"/>
      <c r="I219" s="239"/>
      <c r="K219" s="375"/>
      <c r="L219" s="375"/>
      <c r="M219" s="375"/>
      <c r="O219" s="343"/>
      <c r="P219" s="245"/>
      <c r="Q219" s="246"/>
    </row>
    <row r="220" spans="1:22" ht="12.75" customHeight="1" x14ac:dyDescent="0.2">
      <c r="A220" s="242"/>
      <c r="C220" s="240"/>
      <c r="G220" s="239"/>
      <c r="I220" s="239"/>
      <c r="K220" s="375"/>
      <c r="L220" s="375"/>
      <c r="M220" s="375"/>
      <c r="O220" s="343"/>
      <c r="P220" s="245"/>
      <c r="Q220" s="246"/>
    </row>
    <row r="221" spans="1:22" ht="12.75" customHeight="1" x14ac:dyDescent="0.2">
      <c r="A221" s="242"/>
    </row>
  </sheetData>
  <dataValidations count="1">
    <dataValidation type="list" allowBlank="1" showInputMessage="1" showErrorMessage="1" sqref="I8:I265">
      <formula1>orignames</formula1>
    </dataValidation>
  </dataValidations>
  <printOptions horizontalCentered="1" gridLinesSet="0"/>
  <pageMargins left="0.25" right="0.25" top="0.5" bottom="0.75" header="0.5" footer="0.25"/>
  <pageSetup scale="23" orientation="landscape" horizontalDpi="4294967292" verticalDpi="4294967292" r:id="rId1"/>
  <headerFooter alignWithMargins="0">
    <oddFooter>&amp;L&amp;"Times New Roman,Italic"&amp;F/&amp;A&amp;R&amp;"Times New Roman,Italic"&amp;D &amp;T</oddFooter>
  </headerFooter>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X240"/>
  <sheetViews>
    <sheetView zoomScale="75" workbookViewId="0">
      <pane xSplit="2" ySplit="1" topLeftCell="E2" activePane="bottomRight" state="frozen"/>
      <selection pane="topRight" activeCell="C1" sqref="C1"/>
      <selection pane="bottomLeft" activeCell="A2" sqref="A2"/>
      <selection pane="bottomRight" activeCell="L19" sqref="L19:Q22"/>
    </sheetView>
  </sheetViews>
  <sheetFormatPr defaultRowHeight="12.75" x14ac:dyDescent="0.2"/>
  <cols>
    <col min="1" max="1" width="23.85546875" style="13" customWidth="1"/>
    <col min="2" max="2" width="20.28515625" style="13" customWidth="1"/>
    <col min="3" max="3" width="14.42578125" style="13" customWidth="1"/>
    <col min="4" max="4" width="13.5703125" style="13" customWidth="1"/>
    <col min="5"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12" style="13" customWidth="1"/>
    <col min="39" max="39" width="13.28515625" style="13" customWidth="1"/>
    <col min="40" max="40" width="11.5703125" style="13" customWidth="1"/>
    <col min="41" max="41" width="14.5703125" style="13" customWidth="1"/>
    <col min="42" max="16384" width="9.140625" style="13"/>
  </cols>
  <sheetData>
    <row r="1" spans="1:37" ht="12.75" customHeight="1" x14ac:dyDescent="0.2">
      <c r="B1" s="13">
        <f>M38</f>
        <v>0</v>
      </c>
      <c r="D1" s="321"/>
      <c r="E1" s="321"/>
      <c r="F1" s="325"/>
      <c r="G1" s="325"/>
      <c r="H1" s="1"/>
      <c r="I1" s="1"/>
      <c r="J1" s="1"/>
      <c r="K1" s="1"/>
      <c r="L1" s="1"/>
      <c r="M1" s="1"/>
      <c r="N1" s="1"/>
      <c r="O1" s="1"/>
    </row>
    <row r="2" spans="1:37" ht="12.75" customHeight="1" x14ac:dyDescent="0.25">
      <c r="A2" s="101" t="s">
        <v>75</v>
      </c>
      <c r="D2" s="1"/>
      <c r="E2" s="321"/>
      <c r="F2" s="325"/>
      <c r="G2" s="325"/>
      <c r="H2" s="1"/>
      <c r="I2" s="1"/>
      <c r="J2" s="1"/>
      <c r="K2" s="1"/>
      <c r="L2" s="1"/>
      <c r="M2" s="1"/>
      <c r="N2" s="1"/>
      <c r="O2" s="1"/>
    </row>
    <row r="3" spans="1:37" ht="12.75" customHeight="1" x14ac:dyDescent="0.25">
      <c r="A3" s="257" t="s">
        <v>76</v>
      </c>
      <c r="B3" s="322" t="s">
        <v>77</v>
      </c>
      <c r="C3" s="322" t="s">
        <v>78</v>
      </c>
      <c r="D3" s="331"/>
      <c r="E3" s="321"/>
      <c r="F3" s="326"/>
      <c r="G3" s="1"/>
      <c r="H3" s="1"/>
      <c r="I3" s="1"/>
      <c r="J3" s="1"/>
      <c r="K3" s="1"/>
      <c r="L3" s="1"/>
      <c r="M3" s="42"/>
      <c r="N3" s="1"/>
      <c r="O3" s="1"/>
    </row>
    <row r="4" spans="1:37" ht="12.75" customHeight="1" x14ac:dyDescent="0.25">
      <c r="A4" s="257" t="s">
        <v>79</v>
      </c>
      <c r="B4" s="323">
        <f>PriceAlberta!B4</f>
        <v>36831</v>
      </c>
      <c r="D4" s="1"/>
      <c r="E4" s="321"/>
      <c r="F4" s="326"/>
      <c r="G4" s="1"/>
      <c r="H4" s="1"/>
      <c r="I4" s="1"/>
      <c r="J4" s="1"/>
      <c r="K4" s="1"/>
      <c r="L4" s="1"/>
      <c r="M4" s="1"/>
      <c r="N4" s="1"/>
      <c r="O4" s="1"/>
    </row>
    <row r="5" spans="1:37" ht="12.75" customHeight="1" thickBot="1" x14ac:dyDescent="0.3">
      <c r="A5" s="257" t="s">
        <v>80</v>
      </c>
      <c r="B5" s="256">
        <f>PriceAlberta!B5</f>
        <v>36847</v>
      </c>
      <c r="C5" s="15"/>
      <c r="V5" s="24"/>
      <c r="W5" s="24"/>
      <c r="X5" s="24"/>
      <c r="Y5" s="24"/>
      <c r="Z5" s="24"/>
      <c r="AA5" s="24"/>
    </row>
    <row r="6" spans="1:37" ht="12.75" customHeight="1" x14ac:dyDescent="0.25">
      <c r="A6" s="257" t="s">
        <v>81</v>
      </c>
      <c r="B6" s="268">
        <v>493692</v>
      </c>
      <c r="C6" s="15"/>
      <c r="K6" s="123" t="s">
        <v>82</v>
      </c>
      <c r="L6" s="62"/>
      <c r="M6" s="62"/>
      <c r="N6" s="62"/>
      <c r="O6" s="62"/>
      <c r="P6" s="62"/>
      <c r="Q6" s="62"/>
      <c r="R6" s="7"/>
      <c r="S6" s="102" t="s">
        <v>83</v>
      </c>
      <c r="T6" s="102"/>
      <c r="V6" s="123" t="s">
        <v>84</v>
      </c>
      <c r="W6" s="62"/>
      <c r="X6" s="62"/>
      <c r="Y6" s="62"/>
      <c r="Z6" s="62"/>
      <c r="AA6" s="7"/>
    </row>
    <row r="7" spans="1:37" ht="12.75" customHeight="1" x14ac:dyDescent="0.2">
      <c r="K7" s="64"/>
      <c r="L7" s="65" t="s">
        <v>85</v>
      </c>
      <c r="M7" s="65" t="s">
        <v>86</v>
      </c>
      <c r="N7" s="335" t="s">
        <v>87</v>
      </c>
      <c r="O7" s="65"/>
      <c r="P7" s="65" t="s">
        <v>88</v>
      </c>
      <c r="Q7" s="65" t="s">
        <v>88</v>
      </c>
      <c r="R7" s="66" t="s">
        <v>4</v>
      </c>
      <c r="S7" s="103" t="s">
        <v>89</v>
      </c>
      <c r="T7" s="103" t="s">
        <v>90</v>
      </c>
      <c r="V7" s="67" t="s">
        <v>91</v>
      </c>
      <c r="W7" s="24"/>
      <c r="X7" s="24"/>
      <c r="Y7" s="24"/>
      <c r="Z7" s="24"/>
      <c r="AA7" s="68"/>
    </row>
    <row r="8" spans="1:37" ht="12.75" customHeight="1" x14ac:dyDescent="0.2">
      <c r="A8" s="16" t="s">
        <v>92</v>
      </c>
      <c r="D8" s="103" t="s">
        <v>93</v>
      </c>
      <c r="E8" s="103" t="s">
        <v>94</v>
      </c>
      <c r="G8" s="17" t="s">
        <v>95</v>
      </c>
      <c r="H8" s="17"/>
      <c r="K8" s="124" t="s">
        <v>96</v>
      </c>
      <c r="L8" s="24"/>
      <c r="M8" s="24"/>
      <c r="N8" s="24"/>
      <c r="O8" s="24"/>
      <c r="P8" s="24"/>
      <c r="Q8" s="9"/>
      <c r="R8" s="68"/>
      <c r="V8" s="67" t="s">
        <v>97</v>
      </c>
      <c r="W8" s="24"/>
      <c r="X8" s="24"/>
      <c r="Y8" s="24"/>
      <c r="Z8" s="24"/>
      <c r="AA8" s="68"/>
    </row>
    <row r="9" spans="1:37" ht="12.75" customHeight="1" x14ac:dyDescent="0.2">
      <c r="A9" s="13" t="s">
        <v>98</v>
      </c>
      <c r="D9" s="18">
        <v>-4320978</v>
      </c>
      <c r="E9" s="18">
        <v>-4313718</v>
      </c>
      <c r="F9" s="1" t="s">
        <v>99</v>
      </c>
      <c r="G9" s="19" t="s">
        <v>100</v>
      </c>
      <c r="H9" s="19"/>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
      <c r="A10" s="13" t="s">
        <v>102</v>
      </c>
      <c r="D10" s="21">
        <v>-97720</v>
      </c>
      <c r="E10" s="21">
        <v>-97978</v>
      </c>
      <c r="F10" s="1" t="s">
        <v>99</v>
      </c>
      <c r="G10" s="19" t="s">
        <v>100</v>
      </c>
      <c r="H10" s="19"/>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
      <c r="A11" s="13" t="s">
        <v>105</v>
      </c>
      <c r="D11" s="21"/>
      <c r="E11" s="21"/>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
      <c r="A12" s="13" t="s">
        <v>109</v>
      </c>
      <c r="D12" s="21">
        <v>0</v>
      </c>
      <c r="E12" s="21">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
      <c r="A13" s="13" t="s">
        <v>112</v>
      </c>
      <c r="D13" s="346">
        <v>0</v>
      </c>
      <c r="E13" s="346">
        <v>0</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25">
      <c r="A14" s="13" t="s">
        <v>115</v>
      </c>
      <c r="E14" s="22">
        <f>+E159</f>
        <v>339524</v>
      </c>
      <c r="F14" s="13" t="s">
        <v>116</v>
      </c>
      <c r="K14" s="67" t="s">
        <v>117</v>
      </c>
      <c r="L14" s="121">
        <f>SUM(L9:L13)/100</f>
        <v>0</v>
      </c>
      <c r="M14" s="121">
        <f>SUM(M9:M13)/100</f>
        <v>0</v>
      </c>
      <c r="N14" s="121">
        <f>SUM(N9:N13)/1000000</f>
        <v>0</v>
      </c>
      <c r="O14" s="121">
        <f>SUM(O9:O13)/1000000</f>
        <v>0</v>
      </c>
      <c r="P14" s="121">
        <f>SUM(P9:P13)/1000000</f>
        <v>0</v>
      </c>
      <c r="Q14" s="121">
        <f>SUM(Q9:Q13)/1000000</f>
        <v>0</v>
      </c>
      <c r="R14" s="125">
        <f>SUM(R9:R12)/1000000</f>
        <v>0</v>
      </c>
      <c r="S14" s="121">
        <f>SUM(S9:S13)</f>
        <v>0</v>
      </c>
      <c r="T14" s="121">
        <f>SUM(T9:T13)</f>
        <v>0</v>
      </c>
      <c r="V14" s="67"/>
      <c r="W14" s="24"/>
      <c r="X14" s="24"/>
      <c r="Y14" s="33" t="s">
        <v>118</v>
      </c>
      <c r="Z14" s="24"/>
      <c r="AA14" s="68"/>
    </row>
    <row r="15" spans="1:37" ht="12.75" customHeight="1" thickTop="1" x14ac:dyDescent="0.2">
      <c r="A15" s="13" t="s">
        <v>119</v>
      </c>
      <c r="E15" s="22">
        <f>+L159</f>
        <v>0</v>
      </c>
      <c r="F15" s="13" t="s">
        <v>116</v>
      </c>
      <c r="K15" s="67" t="s">
        <v>120</v>
      </c>
      <c r="L15" s="249">
        <v>0</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2">
      <c r="A16" s="13" t="s">
        <v>124</v>
      </c>
      <c r="D16"/>
      <c r="E16" s="22">
        <f>+E185</f>
        <v>0</v>
      </c>
      <c r="F16" s="13" t="s">
        <v>116</v>
      </c>
      <c r="I16" s="23"/>
      <c r="J16" s="23"/>
      <c r="K16" s="67" t="s">
        <v>125</v>
      </c>
      <c r="L16" s="421">
        <v>0</v>
      </c>
      <c r="M16" s="421">
        <v>0</v>
      </c>
      <c r="N16" s="395">
        <v>0</v>
      </c>
      <c r="O16" s="248">
        <v>0</v>
      </c>
      <c r="P16" s="248">
        <v>0</v>
      </c>
      <c r="Q16" s="248">
        <v>0</v>
      </c>
      <c r="R16" s="259">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D17"/>
      <c r="E17" s="22"/>
      <c r="I17" s="23"/>
      <c r="J17" s="23"/>
      <c r="K17" s="252"/>
      <c r="L17" s="122">
        <f t="shared" ref="L17:Q17" si="0">SUM(L15*L16)</f>
        <v>0</v>
      </c>
      <c r="M17" s="122">
        <f t="shared" si="0"/>
        <v>0</v>
      </c>
      <c r="N17" s="122">
        <f t="shared" si="0"/>
        <v>0</v>
      </c>
      <c r="O17" s="122">
        <f t="shared" si="0"/>
        <v>0</v>
      </c>
      <c r="P17" s="122">
        <f t="shared" si="0"/>
        <v>0</v>
      </c>
      <c r="Q17" s="122">
        <f t="shared" si="0"/>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
      <c r="D18"/>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D19"/>
      <c r="E19" s="228">
        <f>SUM(E9:E16)</f>
        <v>-4072172</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SUM(E19)-SUM(B58+B59+B64+B65)</f>
        <v>-4072172</v>
      </c>
      <c r="AA20" s="68"/>
      <c r="AB20" s="24"/>
      <c r="AC20" s="24"/>
      <c r="AD20" s="24"/>
      <c r="AE20" s="24"/>
      <c r="AF20" s="24"/>
      <c r="AG20" s="24"/>
      <c r="AH20" s="24"/>
      <c r="AI20" s="26"/>
      <c r="AJ20" s="24"/>
      <c r="AK20" s="24"/>
    </row>
    <row r="21" spans="1:37" ht="12.75" customHeight="1" thickBot="1" x14ac:dyDescent="0.25">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75" customHeight="1" x14ac:dyDescent="0.2">
      <c r="A22" s="13" t="s">
        <v>132</v>
      </c>
      <c r="E22" s="18">
        <v>0</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133</v>
      </c>
      <c r="E23" s="22">
        <f>+B63</f>
        <v>0</v>
      </c>
      <c r="F23" s="13" t="s">
        <v>116</v>
      </c>
      <c r="G23" s="24"/>
      <c r="I23" s="24"/>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134</v>
      </c>
      <c r="E24" s="229">
        <f>E22+E23</f>
        <v>0</v>
      </c>
      <c r="F24" s="13" t="s">
        <v>116</v>
      </c>
      <c r="I24" s="24"/>
      <c r="J24" s="24"/>
      <c r="K24" s="67" t="s">
        <v>117</v>
      </c>
      <c r="L24" s="121">
        <f t="shared" ref="L24:Q24" si="1">SUM(L19:L23)/1000000</f>
        <v>0</v>
      </c>
      <c r="M24" s="121">
        <f t="shared" si="1"/>
        <v>0</v>
      </c>
      <c r="N24" s="121">
        <f t="shared" si="1"/>
        <v>0</v>
      </c>
      <c r="O24" s="121">
        <f t="shared" si="1"/>
        <v>0</v>
      </c>
      <c r="P24" s="121">
        <f t="shared" si="1"/>
        <v>0</v>
      </c>
      <c r="Q24" s="121">
        <f t="shared" si="1"/>
        <v>0</v>
      </c>
      <c r="R24" s="125">
        <f>SUM(R19:R22)/1000000</f>
        <v>0</v>
      </c>
      <c r="S24" s="121">
        <f>SUM(S19:S23)</f>
        <v>0</v>
      </c>
      <c r="T24" s="121">
        <f>SUM(T19:T23)</f>
        <v>0</v>
      </c>
      <c r="U24" s="9"/>
      <c r="V24" s="9"/>
      <c r="W24" s="9"/>
      <c r="X24" s="9"/>
      <c r="Y24" s="24"/>
      <c r="Z24" s="9"/>
      <c r="AA24" s="9"/>
      <c r="AB24" s="9"/>
      <c r="AC24" s="9"/>
      <c r="AD24" s="9"/>
      <c r="AE24" s="9"/>
      <c r="AF24" s="9"/>
      <c r="AG24" s="9"/>
      <c r="AH24" s="9"/>
      <c r="AI24" s="27"/>
      <c r="AJ24" s="24"/>
      <c r="AK24" s="24"/>
    </row>
    <row r="25" spans="1:37" ht="12.75" customHeight="1" thickTop="1" thickBot="1" x14ac:dyDescent="0.25">
      <c r="A25" s="13" t="s">
        <v>135</v>
      </c>
      <c r="E25" s="22">
        <f>-M214</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136</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141</v>
      </c>
      <c r="E29" s="18">
        <v>13090711</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143</v>
      </c>
      <c r="E30" s="29">
        <f>B61</f>
        <v>0</v>
      </c>
      <c r="F30" s="13" t="s">
        <v>144</v>
      </c>
      <c r="I30" s="24"/>
      <c r="J30" s="24"/>
      <c r="K30" s="67" t="s">
        <v>145</v>
      </c>
      <c r="L30" s="24"/>
      <c r="M30" s="26">
        <v>-4072172</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146</v>
      </c>
      <c r="E31" s="22">
        <f>B102</f>
        <v>0</v>
      </c>
      <c r="F31" s="13" t="s">
        <v>144</v>
      </c>
      <c r="I31" s="24"/>
      <c r="J31" s="24"/>
      <c r="K31" s="67" t="s">
        <v>147</v>
      </c>
      <c r="L31" s="24"/>
      <c r="M31" s="26">
        <v>0</v>
      </c>
      <c r="N31" s="27">
        <f>M31</f>
        <v>0</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148</v>
      </c>
      <c r="E32" s="29">
        <f>B118</f>
        <v>0</v>
      </c>
      <c r="F32" s="13" t="s">
        <v>144</v>
      </c>
      <c r="G32" s="19"/>
      <c r="K32" s="67" t="s">
        <v>149</v>
      </c>
      <c r="L32" s="24"/>
      <c r="M32" s="26">
        <v>13090711</v>
      </c>
      <c r="N32" s="27"/>
      <c r="O32" s="24" t="s">
        <v>142</v>
      </c>
      <c r="P32" s="24"/>
      <c r="Q32" s="24"/>
      <c r="R32" s="68"/>
      <c r="AI32" s="1"/>
    </row>
    <row r="33" spans="1:47" ht="12.75" customHeight="1" x14ac:dyDescent="0.2">
      <c r="A33" s="13" t="s">
        <v>150</v>
      </c>
      <c r="E33" s="22">
        <f>+B67</f>
        <v>0</v>
      </c>
      <c r="F33" s="13" t="s">
        <v>144</v>
      </c>
      <c r="K33" s="67"/>
      <c r="L33" s="9"/>
      <c r="M33" s="27"/>
      <c r="N33" s="27"/>
      <c r="O33" s="24"/>
      <c r="P33" s="24"/>
      <c r="Q33" s="24"/>
      <c r="R33" s="68"/>
    </row>
    <row r="34" spans="1:47" ht="12.75" customHeight="1" x14ac:dyDescent="0.2">
      <c r="A34" s="13" t="s">
        <v>151</v>
      </c>
      <c r="E34" s="22">
        <f>B69</f>
        <v>0</v>
      </c>
      <c r="F34" s="13" t="s">
        <v>144</v>
      </c>
      <c r="K34" s="67" t="s">
        <v>152</v>
      </c>
      <c r="L34" s="24"/>
      <c r="M34" s="27">
        <f>B76</f>
        <v>0</v>
      </c>
      <c r="N34" s="27">
        <f>B63</f>
        <v>0</v>
      </c>
      <c r="O34" s="24" t="s">
        <v>153</v>
      </c>
      <c r="P34" s="24"/>
      <c r="Q34" s="24"/>
      <c r="R34" s="68"/>
    </row>
    <row r="35" spans="1:47" ht="12.75" customHeight="1" x14ac:dyDescent="0.2">
      <c r="A35" s="13" t="s">
        <v>154</v>
      </c>
      <c r="E35" s="22">
        <f>F238</f>
        <v>0</v>
      </c>
      <c r="F35" s="13" t="s">
        <v>144</v>
      </c>
      <c r="K35" s="67"/>
      <c r="L35" s="24"/>
      <c r="M35" s="27"/>
      <c r="N35" s="27"/>
      <c r="O35" s="24"/>
      <c r="P35" s="24"/>
      <c r="Q35" s="24"/>
      <c r="R35" s="68"/>
    </row>
    <row r="36" spans="1:47" ht="12.75" customHeight="1" thickBot="1" x14ac:dyDescent="0.25">
      <c r="A36" s="17" t="s">
        <v>155</v>
      </c>
      <c r="E36" s="228">
        <f>SUM(E29:E35)</f>
        <v>13090711</v>
      </c>
      <c r="K36" s="67" t="s">
        <v>156</v>
      </c>
      <c r="L36" s="9"/>
      <c r="M36" s="27">
        <f>SUM(M30:M34)</f>
        <v>9018539</v>
      </c>
      <c r="N36" s="27">
        <f>SUM(N30:N34)</f>
        <v>0</v>
      </c>
      <c r="O36" s="24"/>
      <c r="P36" s="24"/>
      <c r="Q36" s="24"/>
      <c r="R36" s="68"/>
    </row>
    <row r="37" spans="1:47" ht="12.75" customHeight="1" thickTop="1" x14ac:dyDescent="0.2">
      <c r="K37" s="206"/>
      <c r="L37" s="9"/>
      <c r="M37" s="9"/>
      <c r="N37" s="9"/>
      <c r="O37" s="24"/>
      <c r="P37" s="24"/>
      <c r="Q37" s="24"/>
      <c r="R37" s="68"/>
    </row>
    <row r="38" spans="1:47" ht="12.75" customHeight="1" thickBot="1" x14ac:dyDescent="0.3">
      <c r="A38" s="16" t="s">
        <v>157</v>
      </c>
      <c r="C38" s="20"/>
      <c r="E38" s="228">
        <f>+E36+E26+E19</f>
        <v>9018539</v>
      </c>
      <c r="K38" s="67"/>
      <c r="L38" s="207" t="s">
        <v>158</v>
      </c>
      <c r="M38" s="208">
        <f>M36-E38</f>
        <v>0</v>
      </c>
      <c r="N38" s="209">
        <f>+N36-E26</f>
        <v>0</v>
      </c>
      <c r="O38" s="24"/>
      <c r="P38" s="24"/>
      <c r="Q38" s="24"/>
      <c r="R38" s="68"/>
      <c r="AN38" s="1"/>
      <c r="AO38" s="1"/>
      <c r="AP38" s="1"/>
      <c r="AQ38" s="1"/>
      <c r="AR38" s="1"/>
      <c r="AS38" s="1"/>
    </row>
    <row r="39" spans="1:47" ht="12.75" customHeight="1" thickTop="1" thickBot="1" x14ac:dyDescent="0.25">
      <c r="K39" s="74"/>
      <c r="L39" s="131"/>
      <c r="M39" s="131"/>
      <c r="N39" s="133"/>
      <c r="O39" s="131"/>
      <c r="P39" s="131"/>
      <c r="Q39" s="131"/>
      <c r="R39" s="132"/>
      <c r="AJ39" s="1"/>
      <c r="AK39" s="1"/>
      <c r="AN39" s="1"/>
      <c r="AO39" s="1"/>
      <c r="AP39" s="1"/>
      <c r="AQ39" s="1"/>
      <c r="AR39" s="1"/>
      <c r="AS39" s="1"/>
    </row>
    <row r="40" spans="1:47" ht="12.75" customHeight="1" x14ac:dyDescent="0.2">
      <c r="K40" s="24"/>
      <c r="L40" s="24"/>
      <c r="M40" s="24"/>
      <c r="N40" s="24"/>
      <c r="O40" s="24"/>
      <c r="P40" s="24"/>
      <c r="AJ40" s="1"/>
      <c r="AK40" s="1"/>
      <c r="AN40" s="1"/>
      <c r="AO40" s="1"/>
      <c r="AP40" s="1"/>
      <c r="AQ40" s="1"/>
      <c r="AR40" s="1"/>
      <c r="AS40" s="1"/>
    </row>
    <row r="41" spans="1:47" ht="12.75" customHeight="1" x14ac:dyDescent="0.25">
      <c r="A41" s="56" t="s">
        <v>159</v>
      </c>
      <c r="B41" s="57"/>
      <c r="K41" s="1"/>
      <c r="L41" s="1"/>
      <c r="M41" s="43"/>
      <c r="N41" s="1"/>
      <c r="O41" s="1"/>
      <c r="P41" s="1"/>
      <c r="AJ41" s="1"/>
      <c r="AK41" s="1"/>
      <c r="AN41" s="1"/>
      <c r="AO41" s="1"/>
      <c r="AP41" s="1"/>
      <c r="AQ41" s="1"/>
      <c r="AR41" s="1"/>
      <c r="AS41" s="1"/>
    </row>
    <row r="42" spans="1:47" ht="12.75" customHeight="1" x14ac:dyDescent="0.2">
      <c r="B42" s="1"/>
      <c r="C42" s="19"/>
      <c r="AI42" s="106" t="s">
        <v>160</v>
      </c>
      <c r="AJ42" s="107"/>
      <c r="AK42" s="1"/>
      <c r="AN42" s="1"/>
      <c r="AO42" s="1"/>
      <c r="AP42" s="1"/>
      <c r="AQ42" s="1"/>
      <c r="AR42" s="1"/>
      <c r="AS42" s="1"/>
    </row>
    <row r="43" spans="1:47" ht="12.75" customHeight="1" x14ac:dyDescent="0.2">
      <c r="A43" s="30"/>
      <c r="B43" s="31" t="s">
        <v>161</v>
      </c>
      <c r="C43" s="32">
        <f t="shared" ref="C43:J43" si="2">SUM(C47:C76)-C61-C68-C69</f>
        <v>0</v>
      </c>
      <c r="D43" s="32">
        <f t="shared" si="2"/>
        <v>0</v>
      </c>
      <c r="E43" s="32">
        <f t="shared" si="2"/>
        <v>0</v>
      </c>
      <c r="F43" s="32">
        <f t="shared" si="2"/>
        <v>0</v>
      </c>
      <c r="G43" s="32">
        <f t="shared" si="2"/>
        <v>0</v>
      </c>
      <c r="H43" s="32">
        <f t="shared" si="2"/>
        <v>0</v>
      </c>
      <c r="I43" s="32">
        <f t="shared" si="2"/>
        <v>0</v>
      </c>
      <c r="J43" s="32">
        <f t="shared" si="2"/>
        <v>0</v>
      </c>
      <c r="K43" s="32">
        <f>SUM(K47:K76)-K61-K68-K69</f>
        <v>0</v>
      </c>
      <c r="L43" s="32">
        <f>SUM(L47:L76)-L61-L68-L69</f>
        <v>0</v>
      </c>
      <c r="M43" s="32">
        <f t="shared" ref="M43:AA43" si="3">SUM(M47:M76)-M61-M68-M69</f>
        <v>0</v>
      </c>
      <c r="N43" s="32">
        <f t="shared" si="3"/>
        <v>0</v>
      </c>
      <c r="O43" s="32">
        <f t="shared" si="3"/>
        <v>0</v>
      </c>
      <c r="P43" s="32">
        <f t="shared" si="3"/>
        <v>0</v>
      </c>
      <c r="Q43" s="32">
        <f t="shared" si="3"/>
        <v>0</v>
      </c>
      <c r="R43" s="32">
        <f t="shared" si="3"/>
        <v>0</v>
      </c>
      <c r="S43" s="32">
        <f t="shared" si="3"/>
        <v>0</v>
      </c>
      <c r="T43" s="32">
        <f t="shared" si="3"/>
        <v>0</v>
      </c>
      <c r="U43" s="32">
        <f t="shared" si="3"/>
        <v>0</v>
      </c>
      <c r="V43" s="32">
        <f t="shared" si="3"/>
        <v>0</v>
      </c>
      <c r="W43" s="32">
        <f t="shared" si="3"/>
        <v>0</v>
      </c>
      <c r="X43" s="32">
        <f t="shared" si="3"/>
        <v>0</v>
      </c>
      <c r="Y43" s="32">
        <f t="shared" si="3"/>
        <v>0</v>
      </c>
      <c r="Z43" s="32">
        <f t="shared" si="3"/>
        <v>0</v>
      </c>
      <c r="AA43" s="32">
        <f t="shared" si="3"/>
        <v>0</v>
      </c>
      <c r="AB43" s="32">
        <f>SUM(AB47:AB76)-AB60-AB68-AB69</f>
        <v>0</v>
      </c>
      <c r="AC43" s="32">
        <f>SUM(AC47:AC76)-AC61-AC68-AC69</f>
        <v>0</v>
      </c>
      <c r="AD43" s="32">
        <f>SUM(AD47:AD76)-AD61-AD68-AD69</f>
        <v>0</v>
      </c>
      <c r="AE43" s="32">
        <f>SUM(AE47:AE76)-AE60-AE68-AE69</f>
        <v>0</v>
      </c>
      <c r="AF43" s="32">
        <f>SUM(AF47:AF76)-AF61-AF68-AF69</f>
        <v>0</v>
      </c>
      <c r="AG43" s="32">
        <f>SUM(AG47:AG76)-AG61-AG68-AG69</f>
        <v>0</v>
      </c>
      <c r="AH43" s="1"/>
      <c r="AI43" s="108" t="s">
        <v>162</v>
      </c>
      <c r="AJ43" s="109" t="s">
        <v>163</v>
      </c>
      <c r="AK43" s="1"/>
      <c r="AL43" s="33"/>
      <c r="AN43" s="1"/>
      <c r="AO43" s="1"/>
      <c r="AP43" s="1"/>
      <c r="AQ43" s="1"/>
      <c r="AR43" s="1"/>
      <c r="AS43" s="1"/>
    </row>
    <row r="44" spans="1:47" s="99" customFormat="1" ht="12.75" customHeight="1" x14ac:dyDescent="0.25">
      <c r="A44" s="216" t="s">
        <v>164</v>
      </c>
      <c r="B44" s="116">
        <f>B4</f>
        <v>36831</v>
      </c>
      <c r="C44" s="104">
        <f>B44</f>
        <v>36831</v>
      </c>
      <c r="D44" s="104">
        <f t="shared" ref="D44:M44" si="4">C44+1</f>
        <v>36832</v>
      </c>
      <c r="E44" s="104">
        <f t="shared" si="4"/>
        <v>36833</v>
      </c>
      <c r="F44" s="104">
        <f t="shared" si="4"/>
        <v>36834</v>
      </c>
      <c r="G44" s="104">
        <f t="shared" si="4"/>
        <v>36835</v>
      </c>
      <c r="H44" s="104">
        <f t="shared" si="4"/>
        <v>36836</v>
      </c>
      <c r="I44" s="104">
        <f t="shared" si="4"/>
        <v>36837</v>
      </c>
      <c r="J44" s="104">
        <f t="shared" si="4"/>
        <v>36838</v>
      </c>
      <c r="K44" s="104">
        <f t="shared" si="4"/>
        <v>36839</v>
      </c>
      <c r="L44" s="104">
        <f t="shared" si="4"/>
        <v>36840</v>
      </c>
      <c r="M44" s="104">
        <f t="shared" si="4"/>
        <v>36841</v>
      </c>
      <c r="N44" s="104">
        <f t="shared" ref="N44:W44" si="5">M44+1</f>
        <v>36842</v>
      </c>
      <c r="O44" s="104">
        <f t="shared" si="5"/>
        <v>36843</v>
      </c>
      <c r="P44" s="104">
        <f t="shared" si="5"/>
        <v>36844</v>
      </c>
      <c r="Q44" s="104">
        <f t="shared" si="5"/>
        <v>36845</v>
      </c>
      <c r="R44" s="104">
        <f t="shared" si="5"/>
        <v>36846</v>
      </c>
      <c r="S44" s="104">
        <f t="shared" si="5"/>
        <v>36847</v>
      </c>
      <c r="T44" s="104">
        <f t="shared" si="5"/>
        <v>36848</v>
      </c>
      <c r="U44" s="104">
        <f t="shared" si="5"/>
        <v>36849</v>
      </c>
      <c r="V44" s="104">
        <f t="shared" si="5"/>
        <v>36850</v>
      </c>
      <c r="W44" s="104">
        <f t="shared" si="5"/>
        <v>36851</v>
      </c>
      <c r="X44" s="104">
        <f t="shared" ref="X44:AG44" si="6">W44+1</f>
        <v>36852</v>
      </c>
      <c r="Y44" s="104">
        <f t="shared" si="6"/>
        <v>36853</v>
      </c>
      <c r="Z44" s="104">
        <f t="shared" si="6"/>
        <v>36854</v>
      </c>
      <c r="AA44" s="104">
        <f t="shared" si="6"/>
        <v>36855</v>
      </c>
      <c r="AB44" s="104">
        <f t="shared" si="6"/>
        <v>36856</v>
      </c>
      <c r="AC44" s="104">
        <f t="shared" si="6"/>
        <v>36857</v>
      </c>
      <c r="AD44" s="104">
        <f t="shared" si="6"/>
        <v>36858</v>
      </c>
      <c r="AE44" s="104">
        <f t="shared" si="6"/>
        <v>36859</v>
      </c>
      <c r="AF44" s="104">
        <f t="shared" si="6"/>
        <v>36860</v>
      </c>
      <c r="AG44" s="104">
        <f t="shared" si="6"/>
        <v>36861</v>
      </c>
      <c r="AI44" s="110">
        <v>1</v>
      </c>
      <c r="AJ44" s="111" t="s">
        <v>165</v>
      </c>
      <c r="AL44" s="100"/>
    </row>
    <row r="45" spans="1:47" ht="12.75" customHeight="1" x14ac:dyDescent="0.25">
      <c r="A45" s="34"/>
      <c r="B45" s="34"/>
      <c r="C45" s="105" t="str">
        <f t="shared" ref="C45:AG45" si="7">LOOKUP((WEEKDAY(C44,1)),$AI$44:$AI$50,$AJ$44:$AJ$50)</f>
        <v>W</v>
      </c>
      <c r="D45" s="105" t="str">
        <f t="shared" si="7"/>
        <v>R</v>
      </c>
      <c r="E45" s="105" t="str">
        <f t="shared" si="7"/>
        <v>F</v>
      </c>
      <c r="F45" s="105" t="str">
        <f t="shared" si="7"/>
        <v>S</v>
      </c>
      <c r="G45" s="105" t="str">
        <f t="shared" si="7"/>
        <v>S</v>
      </c>
      <c r="H45" s="105" t="str">
        <f t="shared" si="7"/>
        <v>M</v>
      </c>
      <c r="I45" s="105" t="str">
        <f t="shared" si="7"/>
        <v>T</v>
      </c>
      <c r="J45" s="105" t="str">
        <f t="shared" si="7"/>
        <v>W</v>
      </c>
      <c r="K45" s="105" t="str">
        <f t="shared" si="7"/>
        <v>R</v>
      </c>
      <c r="L45" s="105" t="str">
        <f t="shared" si="7"/>
        <v>F</v>
      </c>
      <c r="M45" s="105" t="str">
        <f t="shared" si="7"/>
        <v>S</v>
      </c>
      <c r="N45" s="105" t="str">
        <f t="shared" si="7"/>
        <v>S</v>
      </c>
      <c r="O45" s="105" t="str">
        <f t="shared" si="7"/>
        <v>M</v>
      </c>
      <c r="P45" s="105" t="str">
        <f t="shared" si="7"/>
        <v>T</v>
      </c>
      <c r="Q45" s="105" t="str">
        <f t="shared" si="7"/>
        <v>W</v>
      </c>
      <c r="R45" s="105" t="str">
        <f t="shared" si="7"/>
        <v>R</v>
      </c>
      <c r="S45" s="105" t="str">
        <f t="shared" si="7"/>
        <v>F</v>
      </c>
      <c r="T45" s="105" t="str">
        <f t="shared" si="7"/>
        <v>S</v>
      </c>
      <c r="U45" s="105" t="str">
        <f t="shared" si="7"/>
        <v>S</v>
      </c>
      <c r="V45" s="105" t="str">
        <f t="shared" si="7"/>
        <v>M</v>
      </c>
      <c r="W45" s="105" t="str">
        <f t="shared" si="7"/>
        <v>T</v>
      </c>
      <c r="X45" s="105" t="str">
        <f t="shared" si="7"/>
        <v>W</v>
      </c>
      <c r="Y45" s="105" t="str">
        <f t="shared" si="7"/>
        <v>R</v>
      </c>
      <c r="Z45" s="105" t="str">
        <f t="shared" si="7"/>
        <v>F</v>
      </c>
      <c r="AA45" s="105" t="str">
        <f t="shared" si="7"/>
        <v>S</v>
      </c>
      <c r="AB45" s="105" t="str">
        <f t="shared" si="7"/>
        <v>S</v>
      </c>
      <c r="AC45" s="105" t="str">
        <f t="shared" si="7"/>
        <v>M</v>
      </c>
      <c r="AD45" s="105" t="str">
        <f t="shared" si="7"/>
        <v>T</v>
      </c>
      <c r="AE45" s="105" t="str">
        <f t="shared" si="7"/>
        <v>W</v>
      </c>
      <c r="AF45" s="105" t="str">
        <f t="shared" si="7"/>
        <v>R</v>
      </c>
      <c r="AG45" s="105" t="str">
        <f t="shared" si="7"/>
        <v>F</v>
      </c>
      <c r="AH45" s="1"/>
      <c r="AI45" s="112">
        <v>2</v>
      </c>
      <c r="AJ45" s="113" t="s">
        <v>166</v>
      </c>
      <c r="AK45" s="1"/>
      <c r="AL45" s="24"/>
      <c r="AN45" s="1"/>
      <c r="AO45" s="1"/>
      <c r="AP45" s="1"/>
      <c r="AQ45" s="1"/>
      <c r="AR45" s="1"/>
      <c r="AS45" s="1"/>
    </row>
    <row r="46" spans="1:47" ht="12.75" customHeight="1" thickBot="1" x14ac:dyDescent="0.25">
      <c r="A46" s="217"/>
      <c r="B46" s="35" t="s">
        <v>167</v>
      </c>
      <c r="C46" s="280"/>
      <c r="D46" s="280"/>
      <c r="E46" s="280"/>
      <c r="F46" s="280"/>
      <c r="G46" s="280"/>
      <c r="H46" s="280"/>
      <c r="I46" s="280"/>
      <c r="J46" s="280"/>
      <c r="K46" s="280"/>
      <c r="L46" s="280"/>
      <c r="M46" s="280"/>
      <c r="N46" s="280"/>
      <c r="O46" s="280"/>
      <c r="P46" s="280"/>
      <c r="Q46" s="280"/>
      <c r="R46" s="280"/>
      <c r="S46" s="280"/>
      <c r="T46" s="280"/>
      <c r="U46" s="280"/>
      <c r="V46" s="280"/>
      <c r="W46" s="280"/>
      <c r="X46" s="280"/>
      <c r="Y46" s="280"/>
      <c r="Z46" s="280"/>
      <c r="AA46" s="280"/>
      <c r="AB46" s="280"/>
      <c r="AC46" s="365"/>
      <c r="AD46" s="280"/>
      <c r="AE46" s="365"/>
      <c r="AF46" s="280"/>
      <c r="AG46" s="365"/>
      <c r="AH46" s="1"/>
      <c r="AI46" s="112">
        <v>3</v>
      </c>
      <c r="AJ46" s="113" t="s">
        <v>168</v>
      </c>
      <c r="AK46" s="1"/>
      <c r="AL46" s="24"/>
      <c r="AN46" s="1"/>
      <c r="AO46" s="1"/>
      <c r="AP46" s="1"/>
      <c r="AQ46" s="1"/>
      <c r="AR46" s="1"/>
      <c r="AS46" s="1"/>
    </row>
    <row r="47" spans="1:47" ht="12.75" customHeight="1" thickTop="1" x14ac:dyDescent="0.2">
      <c r="A47" s="22" t="s">
        <v>169</v>
      </c>
      <c r="B47" s="39">
        <f t="shared" ref="B47:B52" si="8">SUM(C47:AG47)</f>
        <v>0</v>
      </c>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1"/>
      <c r="AI47" s="112">
        <v>4</v>
      </c>
      <c r="AJ47" s="113" t="s">
        <v>170</v>
      </c>
      <c r="AK47" s="1"/>
      <c r="AL47" s="41"/>
      <c r="AM47" s="42"/>
      <c r="AN47" s="43"/>
      <c r="AO47" s="1"/>
      <c r="AP47" s="1"/>
      <c r="AQ47" s="1"/>
      <c r="AR47" s="1"/>
      <c r="AS47" s="1"/>
    </row>
    <row r="48" spans="1:47" ht="12.75" customHeight="1" x14ac:dyDescent="0.2">
      <c r="A48" s="44" t="s">
        <v>171</v>
      </c>
      <c r="B48" s="39">
        <f t="shared" si="8"/>
        <v>0</v>
      </c>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1"/>
      <c r="AI48" s="112">
        <v>5</v>
      </c>
      <c r="AJ48" s="113" t="s">
        <v>172</v>
      </c>
      <c r="AK48" s="1"/>
      <c r="AL48" s="41"/>
      <c r="AM48" s="45"/>
      <c r="AN48" s="47"/>
      <c r="AO48" s="41"/>
      <c r="AP48" s="41"/>
      <c r="AQ48" s="41"/>
      <c r="AR48" s="41"/>
      <c r="AS48" s="41"/>
      <c r="AT48" s="46"/>
      <c r="AU48" s="46"/>
    </row>
    <row r="49" spans="1:50" ht="12.75" customHeight="1" x14ac:dyDescent="0.2">
      <c r="A49" s="44" t="s">
        <v>173</v>
      </c>
      <c r="B49" s="39">
        <f t="shared" si="8"/>
        <v>0</v>
      </c>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1"/>
      <c r="AI49" s="112">
        <v>6</v>
      </c>
      <c r="AJ49" s="113" t="s">
        <v>174</v>
      </c>
      <c r="AK49" s="1"/>
      <c r="AL49" s="41"/>
      <c r="AM49" s="45"/>
      <c r="AN49" s="47"/>
      <c r="AO49" s="41"/>
      <c r="AP49" s="41"/>
      <c r="AQ49" s="41"/>
      <c r="AR49" s="41"/>
      <c r="AS49" s="41"/>
      <c r="AT49" s="46"/>
      <c r="AU49" s="46"/>
    </row>
    <row r="50" spans="1:50" ht="12.75" customHeight="1" x14ac:dyDescent="0.2">
      <c r="A50" s="44" t="s">
        <v>175</v>
      </c>
      <c r="B50" s="39">
        <f t="shared" si="8"/>
        <v>0</v>
      </c>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1"/>
      <c r="AI50" s="114">
        <v>7</v>
      </c>
      <c r="AJ50" s="115" t="s">
        <v>165</v>
      </c>
      <c r="AK50" s="1"/>
      <c r="AL50" s="48"/>
      <c r="AM50" s="48"/>
      <c r="AN50" s="47"/>
      <c r="AO50" s="41"/>
      <c r="AP50" s="41"/>
      <c r="AQ50" s="41"/>
      <c r="AR50" s="41"/>
      <c r="AS50" s="41"/>
      <c r="AT50" s="46"/>
      <c r="AU50" s="46"/>
    </row>
    <row r="51" spans="1:50" ht="12.75" customHeight="1" x14ac:dyDescent="0.2">
      <c r="A51" s="44" t="s">
        <v>176</v>
      </c>
      <c r="B51" s="39">
        <f t="shared" si="8"/>
        <v>0</v>
      </c>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1"/>
      <c r="AI51" s="46"/>
      <c r="AJ51" s="1"/>
      <c r="AK51" s="1"/>
      <c r="AL51" s="48"/>
      <c r="AM51" s="42"/>
      <c r="AN51" s="43"/>
      <c r="AO51" s="1"/>
      <c r="AP51" s="1"/>
      <c r="AQ51" s="1"/>
      <c r="AR51" s="1"/>
      <c r="AS51" s="1"/>
    </row>
    <row r="52" spans="1:50" ht="12.75" customHeight="1" x14ac:dyDescent="0.2">
      <c r="A52" s="44" t="s">
        <v>177</v>
      </c>
      <c r="B52" s="39">
        <f t="shared" si="8"/>
        <v>0</v>
      </c>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1"/>
      <c r="AI52" s="46"/>
      <c r="AJ52" s="1"/>
      <c r="AK52" s="1"/>
      <c r="AL52" s="48"/>
      <c r="AM52" s="42"/>
      <c r="AN52" s="43"/>
      <c r="AO52" s="1"/>
      <c r="AP52" s="1"/>
      <c r="AQ52" s="1"/>
      <c r="AR52" s="1"/>
      <c r="AS52" s="1"/>
    </row>
    <row r="53" spans="1:50" ht="12.75" customHeight="1" x14ac:dyDescent="0.2">
      <c r="A53" s="22" t="s">
        <v>178</v>
      </c>
      <c r="B53" s="39">
        <f t="shared" ref="B53:B70" si="9">SUM(C53:AG53)</f>
        <v>0</v>
      </c>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1"/>
      <c r="AJ53" s="1"/>
      <c r="AK53" s="1"/>
      <c r="AL53" s="41"/>
      <c r="AM53" s="42"/>
      <c r="AN53" s="43"/>
      <c r="AO53" s="1"/>
      <c r="AP53" s="1"/>
      <c r="AQ53" s="1"/>
      <c r="AR53" s="1"/>
      <c r="AS53" s="1"/>
    </row>
    <row r="54" spans="1:50" ht="12.75" customHeight="1" x14ac:dyDescent="0.2">
      <c r="A54" s="22" t="s">
        <v>179</v>
      </c>
      <c r="B54" s="39">
        <f t="shared" si="9"/>
        <v>0</v>
      </c>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1"/>
      <c r="AJ54" s="1"/>
      <c r="AK54" s="1"/>
      <c r="AL54" s="41"/>
      <c r="AM54" s="42"/>
      <c r="AN54" s="43"/>
      <c r="AO54" s="1"/>
      <c r="AP54" s="1"/>
      <c r="AQ54" s="1"/>
      <c r="AR54" s="1"/>
      <c r="AS54" s="1"/>
    </row>
    <row r="55" spans="1:50" ht="12.75" customHeight="1" x14ac:dyDescent="0.2">
      <c r="A55" s="22" t="s">
        <v>180</v>
      </c>
      <c r="B55" s="39">
        <f t="shared" si="9"/>
        <v>0</v>
      </c>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1"/>
      <c r="AJ55" s="1"/>
      <c r="AK55" s="1"/>
      <c r="AL55" s="41"/>
      <c r="AM55" s="42"/>
      <c r="AN55" s="43"/>
      <c r="AO55" s="1"/>
      <c r="AP55" s="1"/>
      <c r="AQ55" s="1"/>
      <c r="AR55" s="1"/>
      <c r="AS55" s="1"/>
    </row>
    <row r="56" spans="1:50" ht="12.75" customHeight="1" x14ac:dyDescent="0.2">
      <c r="A56" s="22" t="s">
        <v>181</v>
      </c>
      <c r="B56" s="39">
        <f t="shared" si="9"/>
        <v>0</v>
      </c>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1"/>
      <c r="AI56" s="46"/>
      <c r="AJ56" s="1"/>
      <c r="AK56" s="1"/>
      <c r="AL56" s="41"/>
      <c r="AM56" s="42"/>
      <c r="AN56" s="43"/>
      <c r="AO56" s="1"/>
      <c r="AP56" s="1"/>
      <c r="AQ56" s="1"/>
      <c r="AR56" s="1"/>
      <c r="AS56" s="1"/>
    </row>
    <row r="57" spans="1:50" ht="12.75" customHeight="1" x14ac:dyDescent="0.2">
      <c r="A57" s="44" t="s">
        <v>182</v>
      </c>
      <c r="B57" s="39">
        <f t="shared" si="9"/>
        <v>0</v>
      </c>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1"/>
      <c r="AI57" s="46"/>
      <c r="AJ57" s="1"/>
      <c r="AK57" s="1"/>
      <c r="AL57" s="41"/>
      <c r="AM57" s="42"/>
      <c r="AN57" s="43"/>
      <c r="AO57" s="1"/>
      <c r="AP57" s="1"/>
      <c r="AQ57" s="1"/>
      <c r="AR57" s="1"/>
      <c r="AS57" s="1"/>
    </row>
    <row r="58" spans="1:50" ht="12.75" customHeight="1" x14ac:dyDescent="0.2">
      <c r="A58" s="44" t="s">
        <v>183</v>
      </c>
      <c r="B58" s="39">
        <f t="shared" si="9"/>
        <v>0</v>
      </c>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1"/>
      <c r="AI58" s="46"/>
      <c r="AJ58" s="1"/>
      <c r="AK58" s="1"/>
      <c r="AL58" s="41"/>
      <c r="AM58" s="48"/>
      <c r="AN58" s="47"/>
      <c r="AO58" s="41"/>
      <c r="AP58" s="41"/>
      <c r="AQ58" s="41"/>
      <c r="AR58" s="41"/>
      <c r="AS58" s="41"/>
      <c r="AT58" s="46"/>
      <c r="AU58" s="46"/>
      <c r="AV58" s="46"/>
      <c r="AW58" s="46"/>
      <c r="AX58" s="46"/>
    </row>
    <row r="59" spans="1:50" ht="12.75" customHeight="1" x14ac:dyDescent="0.2">
      <c r="A59" s="44" t="s">
        <v>184</v>
      </c>
      <c r="B59" s="39">
        <f t="shared" si="9"/>
        <v>0</v>
      </c>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1"/>
      <c r="AI59" s="46"/>
      <c r="AJ59" s="1"/>
      <c r="AK59" s="1"/>
      <c r="AL59" s="41"/>
      <c r="AM59" s="48"/>
      <c r="AN59" s="47"/>
      <c r="AO59" s="41"/>
      <c r="AP59" s="41"/>
      <c r="AQ59" s="41"/>
      <c r="AR59" s="41"/>
      <c r="AS59" s="41"/>
      <c r="AT59" s="46"/>
      <c r="AU59" s="46"/>
      <c r="AV59" s="46"/>
      <c r="AW59" s="46"/>
      <c r="AX59" s="46"/>
    </row>
    <row r="60" spans="1:50" ht="12.75" customHeight="1" x14ac:dyDescent="0.2">
      <c r="A60" s="44" t="s">
        <v>185</v>
      </c>
      <c r="B60" s="39">
        <f t="shared" si="9"/>
        <v>0</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1"/>
      <c r="AI60" s="46"/>
      <c r="AJ60" s="1"/>
      <c r="AK60" s="1"/>
      <c r="AL60" s="41"/>
      <c r="AM60" s="48"/>
      <c r="AN60" s="47"/>
      <c r="AO60" s="41"/>
      <c r="AP60" s="41"/>
      <c r="AQ60" s="41"/>
      <c r="AR60" s="41"/>
      <c r="AS60" s="41"/>
      <c r="AT60" s="46"/>
      <c r="AU60" s="46"/>
      <c r="AV60" s="46"/>
      <c r="AW60" s="46"/>
      <c r="AX60" s="46"/>
    </row>
    <row r="61" spans="1:50" ht="12.75" customHeight="1" x14ac:dyDescent="0.2">
      <c r="A61" s="44" t="s">
        <v>186</v>
      </c>
      <c r="B61" s="39">
        <f t="shared" si="9"/>
        <v>0</v>
      </c>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1"/>
      <c r="AJ61" s="1"/>
      <c r="AK61" s="1"/>
      <c r="AL61" s="41"/>
      <c r="AM61" s="42"/>
      <c r="AN61" s="43"/>
      <c r="AO61" s="1"/>
      <c r="AP61" s="1"/>
      <c r="AQ61" s="1"/>
      <c r="AR61" s="1"/>
      <c r="AS61" s="1"/>
    </row>
    <row r="62" spans="1:50" ht="12.75" customHeight="1" x14ac:dyDescent="0.2">
      <c r="A62" s="44" t="s">
        <v>187</v>
      </c>
      <c r="B62" s="39">
        <f t="shared" si="9"/>
        <v>0</v>
      </c>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1"/>
      <c r="AJ62" s="1"/>
      <c r="AK62" s="1"/>
      <c r="AL62" s="41"/>
      <c r="AM62" s="42"/>
      <c r="AN62" s="43"/>
      <c r="AO62" s="43"/>
      <c r="AP62" s="1"/>
      <c r="AQ62" s="1"/>
      <c r="AR62" s="1"/>
      <c r="AS62" s="1"/>
    </row>
    <row r="63" spans="1:50" ht="12.75" customHeight="1" x14ac:dyDescent="0.2">
      <c r="A63" s="44" t="s">
        <v>140</v>
      </c>
      <c r="B63" s="39">
        <f t="shared" si="9"/>
        <v>0</v>
      </c>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1"/>
      <c r="AI63" s="46"/>
      <c r="AJ63" s="1"/>
      <c r="AK63" s="1"/>
      <c r="AL63" s="41"/>
      <c r="AM63" s="42"/>
      <c r="AN63" s="43"/>
      <c r="AO63" s="1"/>
      <c r="AP63" s="1"/>
      <c r="AQ63" s="1"/>
      <c r="AR63" s="1"/>
      <c r="AS63" s="1"/>
    </row>
    <row r="64" spans="1:50" ht="12.75" customHeight="1" x14ac:dyDescent="0.2">
      <c r="A64" s="44" t="s">
        <v>188</v>
      </c>
      <c r="B64" s="39">
        <f t="shared" si="9"/>
        <v>0</v>
      </c>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1"/>
      <c r="AI64" s="46"/>
      <c r="AJ64" s="1"/>
      <c r="AK64" s="1"/>
      <c r="AL64" s="48"/>
      <c r="AM64" s="42"/>
      <c r="AN64" s="1"/>
      <c r="AO64" s="1"/>
      <c r="AP64" s="1"/>
      <c r="AQ64" s="1"/>
      <c r="AR64" s="1"/>
      <c r="AS64" s="1"/>
    </row>
    <row r="65" spans="1:45" ht="12.75" customHeight="1" x14ac:dyDescent="0.2">
      <c r="A65" s="22" t="s">
        <v>189</v>
      </c>
      <c r="B65" s="39">
        <f t="shared" si="9"/>
        <v>0</v>
      </c>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1"/>
      <c r="AJ65" s="1"/>
      <c r="AK65" s="1"/>
      <c r="AL65" s="41"/>
      <c r="AM65" s="42"/>
      <c r="AN65" s="1"/>
      <c r="AO65" s="1"/>
      <c r="AP65" s="1"/>
      <c r="AQ65" s="1"/>
      <c r="AR65" s="1"/>
      <c r="AS65" s="1"/>
    </row>
    <row r="66" spans="1:45" ht="12.75" customHeight="1" x14ac:dyDescent="0.2">
      <c r="A66" s="22" t="s">
        <v>190</v>
      </c>
      <c r="B66" s="39">
        <f t="shared" si="9"/>
        <v>0</v>
      </c>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1"/>
      <c r="AI66" s="46"/>
      <c r="AJ66" s="1"/>
      <c r="AK66" s="1"/>
      <c r="AL66" s="41"/>
      <c r="AM66" s="42"/>
      <c r="AN66" s="1"/>
      <c r="AO66" s="1"/>
      <c r="AP66" s="1"/>
      <c r="AQ66" s="1"/>
      <c r="AR66" s="1"/>
      <c r="AS66" s="1"/>
    </row>
    <row r="67" spans="1:45" ht="12.75" customHeight="1" x14ac:dyDescent="0.2">
      <c r="A67" s="22" t="s">
        <v>191</v>
      </c>
      <c r="B67" s="39">
        <f t="shared" si="9"/>
        <v>0</v>
      </c>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1"/>
      <c r="AI67" s="46"/>
      <c r="AJ67" s="1"/>
      <c r="AK67" s="1"/>
      <c r="AL67" s="41"/>
      <c r="AM67" s="42"/>
      <c r="AN67" s="1"/>
      <c r="AO67" s="1"/>
      <c r="AP67" s="1"/>
      <c r="AQ67" s="1"/>
      <c r="AR67" s="1"/>
      <c r="AS67" s="1"/>
    </row>
    <row r="68" spans="1:45" ht="12.75" customHeight="1" x14ac:dyDescent="0.2">
      <c r="A68" s="22" t="s">
        <v>192</v>
      </c>
      <c r="B68" s="39">
        <f t="shared" si="9"/>
        <v>0</v>
      </c>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J68" s="1"/>
      <c r="AK68" s="1"/>
      <c r="AL68" s="41"/>
      <c r="AM68" s="42"/>
      <c r="AN68" s="1"/>
      <c r="AO68" s="1"/>
      <c r="AP68" s="1"/>
      <c r="AQ68" s="1"/>
      <c r="AR68" s="1"/>
      <c r="AS68" s="1"/>
    </row>
    <row r="69" spans="1:45" ht="12.75" customHeight="1" x14ac:dyDescent="0.2">
      <c r="A69" s="44" t="s">
        <v>193</v>
      </c>
      <c r="B69" s="39">
        <f t="shared" si="9"/>
        <v>0</v>
      </c>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1"/>
      <c r="AI69" s="46"/>
      <c r="AJ69" s="1"/>
      <c r="AK69" s="1"/>
      <c r="AL69" s="41"/>
      <c r="AM69" s="42"/>
      <c r="AN69" s="1"/>
      <c r="AO69" s="1"/>
      <c r="AP69" s="1"/>
      <c r="AQ69" s="1"/>
      <c r="AR69" s="1"/>
      <c r="AS69" s="1"/>
    </row>
    <row r="70" spans="1:45" ht="12.75" customHeight="1" x14ac:dyDescent="0.2">
      <c r="A70" s="22" t="s">
        <v>194</v>
      </c>
      <c r="B70" s="39">
        <f t="shared" si="9"/>
        <v>0</v>
      </c>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J70" s="1"/>
      <c r="AK70" s="1"/>
      <c r="AL70" s="41"/>
      <c r="AM70" s="42"/>
      <c r="AN70" s="1"/>
      <c r="AO70" s="1"/>
      <c r="AP70" s="1"/>
      <c r="AQ70" s="1"/>
      <c r="AR70" s="1"/>
      <c r="AS70" s="1"/>
    </row>
    <row r="71" spans="1:45" ht="12.75" customHeight="1" x14ac:dyDescent="0.2">
      <c r="A71" s="22" t="s">
        <v>195</v>
      </c>
      <c r="B71" s="39" t="s">
        <v>196</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197</v>
      </c>
      <c r="B76" s="52">
        <f>SUM(B47:B75)-B61-B68-B69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C78" s="13">
        <f>(+B58+B59)*-1</f>
        <v>0</v>
      </c>
      <c r="AH78" s="24"/>
      <c r="AJ78" s="24"/>
      <c r="AK78" s="20"/>
      <c r="AL78" s="41"/>
      <c r="AM78" s="42"/>
    </row>
    <row r="79" spans="1:45" ht="12.75" customHeight="1" x14ac:dyDescent="0.2">
      <c r="A79" s="24"/>
      <c r="B79" s="55"/>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1"/>
      <c r="AI81" s="117"/>
      <c r="AJ81" s="118"/>
      <c r="AK81" s="1"/>
      <c r="AL81" s="33"/>
      <c r="AN81" s="1"/>
      <c r="AO81" s="1"/>
      <c r="AP81" s="1"/>
      <c r="AQ81" s="1"/>
      <c r="AR81" s="1"/>
      <c r="AS81" s="1"/>
    </row>
    <row r="82" spans="1:45" ht="12.75" customHeight="1" x14ac:dyDescent="0.25">
      <c r="A82" s="56" t="s">
        <v>198</v>
      </c>
      <c r="B82" s="31" t="s">
        <v>161</v>
      </c>
      <c r="C82" s="32">
        <f t="shared" ref="C82:L82" si="10">SUM(C86:C101)</f>
        <v>0</v>
      </c>
      <c r="D82" s="32">
        <f t="shared" si="10"/>
        <v>0</v>
      </c>
      <c r="E82" s="32">
        <f t="shared" si="10"/>
        <v>0</v>
      </c>
      <c r="F82" s="32">
        <f t="shared" si="10"/>
        <v>0</v>
      </c>
      <c r="G82" s="32">
        <f t="shared" si="10"/>
        <v>0</v>
      </c>
      <c r="H82" s="32">
        <f t="shared" si="10"/>
        <v>0</v>
      </c>
      <c r="I82" s="32">
        <f t="shared" si="10"/>
        <v>0</v>
      </c>
      <c r="J82" s="32">
        <f t="shared" si="10"/>
        <v>0</v>
      </c>
      <c r="K82" s="32">
        <f t="shared" si="10"/>
        <v>0</v>
      </c>
      <c r="L82" s="32">
        <f t="shared" si="10"/>
        <v>0</v>
      </c>
      <c r="M82" s="32">
        <f t="shared" ref="M82:V82" si="11">SUM(M86:M101)</f>
        <v>0</v>
      </c>
      <c r="N82" s="32">
        <f t="shared" si="11"/>
        <v>0</v>
      </c>
      <c r="O82" s="32">
        <f t="shared" si="11"/>
        <v>0</v>
      </c>
      <c r="P82" s="32">
        <f t="shared" si="11"/>
        <v>0</v>
      </c>
      <c r="Q82" s="32">
        <f t="shared" si="11"/>
        <v>0</v>
      </c>
      <c r="R82" s="32">
        <f t="shared" si="11"/>
        <v>0</v>
      </c>
      <c r="S82" s="32">
        <f t="shared" si="11"/>
        <v>0</v>
      </c>
      <c r="T82" s="32">
        <f t="shared" si="11"/>
        <v>0</v>
      </c>
      <c r="U82" s="32">
        <f t="shared" si="11"/>
        <v>0</v>
      </c>
      <c r="V82" s="32">
        <f t="shared" si="11"/>
        <v>0</v>
      </c>
      <c r="W82" s="32">
        <f t="shared" ref="W82:AG82" si="12">SUM(W86:W101)</f>
        <v>0</v>
      </c>
      <c r="X82" s="32">
        <f t="shared" si="12"/>
        <v>0</v>
      </c>
      <c r="Y82" s="32">
        <f t="shared" si="12"/>
        <v>0</v>
      </c>
      <c r="Z82" s="32">
        <f t="shared" si="12"/>
        <v>0</v>
      </c>
      <c r="AA82" s="32">
        <f t="shared" si="12"/>
        <v>0</v>
      </c>
      <c r="AB82" s="32">
        <f t="shared" si="12"/>
        <v>0</v>
      </c>
      <c r="AC82" s="32">
        <f t="shared" si="12"/>
        <v>0</v>
      </c>
      <c r="AD82" s="32">
        <f t="shared" si="12"/>
        <v>0</v>
      </c>
      <c r="AE82" s="32">
        <f t="shared" si="12"/>
        <v>0</v>
      </c>
      <c r="AF82" s="32">
        <f t="shared" si="12"/>
        <v>0</v>
      </c>
      <c r="AG82" s="32">
        <f t="shared" si="12"/>
        <v>0</v>
      </c>
      <c r="AH82" s="1"/>
      <c r="AI82" s="117"/>
      <c r="AJ82" s="118"/>
      <c r="AK82" s="1"/>
      <c r="AL82" s="33"/>
      <c r="AN82" s="1"/>
      <c r="AO82" s="1"/>
      <c r="AP82" s="1"/>
      <c r="AQ82" s="1"/>
      <c r="AR82" s="1"/>
      <c r="AS82" s="1"/>
    </row>
    <row r="83" spans="1:45" s="99" customFormat="1" ht="12.75" customHeight="1" x14ac:dyDescent="0.25">
      <c r="A83" s="216" t="s">
        <v>199</v>
      </c>
      <c r="B83" s="116">
        <f t="shared" ref="B83:AG83" si="13">B44</f>
        <v>36831</v>
      </c>
      <c r="C83" s="104">
        <f t="shared" si="13"/>
        <v>36831</v>
      </c>
      <c r="D83" s="104">
        <f t="shared" si="13"/>
        <v>36832</v>
      </c>
      <c r="E83" s="104">
        <f t="shared" si="13"/>
        <v>36833</v>
      </c>
      <c r="F83" s="104">
        <f t="shared" si="13"/>
        <v>36834</v>
      </c>
      <c r="G83" s="104">
        <f t="shared" si="13"/>
        <v>36835</v>
      </c>
      <c r="H83" s="104">
        <f t="shared" si="13"/>
        <v>36836</v>
      </c>
      <c r="I83" s="104">
        <f t="shared" si="13"/>
        <v>36837</v>
      </c>
      <c r="J83" s="104">
        <f t="shared" si="13"/>
        <v>36838</v>
      </c>
      <c r="K83" s="104">
        <f t="shared" si="13"/>
        <v>36839</v>
      </c>
      <c r="L83" s="104">
        <f t="shared" si="13"/>
        <v>36840</v>
      </c>
      <c r="M83" s="104">
        <f t="shared" si="13"/>
        <v>36841</v>
      </c>
      <c r="N83" s="104">
        <f t="shared" si="13"/>
        <v>36842</v>
      </c>
      <c r="O83" s="104">
        <f t="shared" si="13"/>
        <v>36843</v>
      </c>
      <c r="P83" s="104">
        <f t="shared" si="13"/>
        <v>36844</v>
      </c>
      <c r="Q83" s="104">
        <f t="shared" si="13"/>
        <v>36845</v>
      </c>
      <c r="R83" s="104">
        <f t="shared" si="13"/>
        <v>36846</v>
      </c>
      <c r="S83" s="104">
        <f t="shared" si="13"/>
        <v>36847</v>
      </c>
      <c r="T83" s="104">
        <f t="shared" si="13"/>
        <v>36848</v>
      </c>
      <c r="U83" s="104">
        <f t="shared" si="13"/>
        <v>36849</v>
      </c>
      <c r="V83" s="104">
        <f t="shared" si="13"/>
        <v>36850</v>
      </c>
      <c r="W83" s="104">
        <f t="shared" si="13"/>
        <v>36851</v>
      </c>
      <c r="X83" s="104">
        <f t="shared" si="13"/>
        <v>36852</v>
      </c>
      <c r="Y83" s="104">
        <f t="shared" si="13"/>
        <v>36853</v>
      </c>
      <c r="Z83" s="104">
        <f t="shared" si="13"/>
        <v>36854</v>
      </c>
      <c r="AA83" s="104">
        <f t="shared" si="13"/>
        <v>36855</v>
      </c>
      <c r="AB83" s="104">
        <f t="shared" si="13"/>
        <v>36856</v>
      </c>
      <c r="AC83" s="104">
        <f t="shared" si="13"/>
        <v>36857</v>
      </c>
      <c r="AD83" s="104">
        <f t="shared" si="13"/>
        <v>36858</v>
      </c>
      <c r="AE83" s="104">
        <f t="shared" si="13"/>
        <v>36859</v>
      </c>
      <c r="AF83" s="104">
        <f t="shared" si="13"/>
        <v>36860</v>
      </c>
      <c r="AG83" s="104">
        <f t="shared" si="13"/>
        <v>36861</v>
      </c>
      <c r="AI83" s="117"/>
      <c r="AJ83" s="119"/>
      <c r="AL83" s="100"/>
    </row>
    <row r="84" spans="1:45" ht="12.75" customHeight="1" x14ac:dyDescent="0.25">
      <c r="A84" s="34"/>
      <c r="B84" s="34"/>
      <c r="C84" s="105" t="str">
        <f t="shared" ref="C84:AG84" si="14">C45</f>
        <v>W</v>
      </c>
      <c r="D84" s="105" t="str">
        <f t="shared" si="14"/>
        <v>R</v>
      </c>
      <c r="E84" s="105" t="str">
        <f t="shared" si="14"/>
        <v>F</v>
      </c>
      <c r="F84" s="105" t="str">
        <f t="shared" si="14"/>
        <v>S</v>
      </c>
      <c r="G84" s="105" t="str">
        <f t="shared" si="14"/>
        <v>S</v>
      </c>
      <c r="H84" s="105" t="str">
        <f t="shared" si="14"/>
        <v>M</v>
      </c>
      <c r="I84" s="105" t="str">
        <f t="shared" si="14"/>
        <v>T</v>
      </c>
      <c r="J84" s="105" t="str">
        <f t="shared" si="14"/>
        <v>W</v>
      </c>
      <c r="K84" s="105" t="str">
        <f t="shared" si="14"/>
        <v>R</v>
      </c>
      <c r="L84" s="105" t="str">
        <f t="shared" si="14"/>
        <v>F</v>
      </c>
      <c r="M84" s="105" t="str">
        <f t="shared" si="14"/>
        <v>S</v>
      </c>
      <c r="N84" s="105" t="str">
        <f t="shared" si="14"/>
        <v>S</v>
      </c>
      <c r="O84" s="105" t="str">
        <f t="shared" si="14"/>
        <v>M</v>
      </c>
      <c r="P84" s="105" t="str">
        <f t="shared" si="14"/>
        <v>T</v>
      </c>
      <c r="Q84" s="105" t="str">
        <f t="shared" si="14"/>
        <v>W</v>
      </c>
      <c r="R84" s="105" t="str">
        <f t="shared" si="14"/>
        <v>R</v>
      </c>
      <c r="S84" s="105" t="str">
        <f t="shared" si="14"/>
        <v>F</v>
      </c>
      <c r="T84" s="105" t="str">
        <f t="shared" si="14"/>
        <v>S</v>
      </c>
      <c r="U84" s="105" t="str">
        <f t="shared" si="14"/>
        <v>S</v>
      </c>
      <c r="V84" s="105" t="str">
        <f t="shared" si="14"/>
        <v>M</v>
      </c>
      <c r="W84" s="105" t="str">
        <f t="shared" si="14"/>
        <v>T</v>
      </c>
      <c r="X84" s="105" t="str">
        <f t="shared" si="14"/>
        <v>W</v>
      </c>
      <c r="Y84" s="105" t="str">
        <f t="shared" si="14"/>
        <v>R</v>
      </c>
      <c r="Z84" s="105" t="str">
        <f t="shared" si="14"/>
        <v>F</v>
      </c>
      <c r="AA84" s="105" t="str">
        <f t="shared" si="14"/>
        <v>S</v>
      </c>
      <c r="AB84" s="105" t="str">
        <f t="shared" si="14"/>
        <v>S</v>
      </c>
      <c r="AC84" s="105" t="str">
        <f t="shared" si="14"/>
        <v>M</v>
      </c>
      <c r="AD84" s="105" t="str">
        <f t="shared" si="14"/>
        <v>T</v>
      </c>
      <c r="AE84" s="105" t="str">
        <f t="shared" si="14"/>
        <v>W</v>
      </c>
      <c r="AF84" s="105" t="str">
        <f t="shared" si="14"/>
        <v>R</v>
      </c>
      <c r="AG84" s="105" t="str">
        <f t="shared" si="14"/>
        <v>F</v>
      </c>
      <c r="AH84" s="1"/>
      <c r="AI84" s="117"/>
      <c r="AJ84" s="118"/>
      <c r="AK84" s="1"/>
      <c r="AL84" s="24"/>
      <c r="AN84" s="1"/>
      <c r="AO84" s="1"/>
      <c r="AP84" s="1"/>
      <c r="AQ84" s="1"/>
      <c r="AR84" s="1"/>
      <c r="AS84" s="1"/>
    </row>
    <row r="85" spans="1:45" ht="12.75" customHeight="1" thickBot="1" x14ac:dyDescent="0.3">
      <c r="A85" s="217"/>
      <c r="B85" s="35" t="s">
        <v>167</v>
      </c>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7"/>
      <c r="AH85" s="24"/>
      <c r="AI85" s="46"/>
      <c r="AJ85" s="120"/>
      <c r="AK85" s="20"/>
      <c r="AL85" s="41"/>
      <c r="AM85" s="42"/>
    </row>
    <row r="86" spans="1:45" ht="12.75" customHeight="1" thickTop="1" x14ac:dyDescent="0.2">
      <c r="A86" s="22" t="s">
        <v>200</v>
      </c>
      <c r="B86" s="39">
        <f t="shared" ref="B86:B98" si="15">SUM(C86:AG86)</f>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201</v>
      </c>
      <c r="B87" s="39">
        <f t="shared" si="15"/>
        <v>0</v>
      </c>
      <c r="C87" s="20">
        <v>0</v>
      </c>
      <c r="D87" s="20">
        <v>0</v>
      </c>
      <c r="E87" s="20">
        <v>0</v>
      </c>
      <c r="F87" s="20">
        <v>0</v>
      </c>
      <c r="G87" s="20">
        <v>0</v>
      </c>
      <c r="H87" s="20">
        <v>0</v>
      </c>
      <c r="I87" s="20">
        <v>0</v>
      </c>
      <c r="J87" s="20">
        <v>0</v>
      </c>
      <c r="K87" s="20">
        <v>0</v>
      </c>
      <c r="L87" s="20">
        <v>0</v>
      </c>
      <c r="M87" s="20">
        <v>0</v>
      </c>
      <c r="N87" s="20">
        <v>0</v>
      </c>
      <c r="O87" s="20">
        <v>0</v>
      </c>
      <c r="P87" s="20">
        <v>0</v>
      </c>
      <c r="Q87" s="20">
        <v>0</v>
      </c>
      <c r="R87" s="20">
        <v>0</v>
      </c>
      <c r="S87" s="20">
        <v>0</v>
      </c>
      <c r="T87" s="20">
        <v>0</v>
      </c>
      <c r="U87" s="20">
        <v>0</v>
      </c>
      <c r="V87" s="20">
        <v>0</v>
      </c>
      <c r="W87" s="20">
        <v>0</v>
      </c>
      <c r="X87" s="20">
        <v>0</v>
      </c>
      <c r="Y87" s="20">
        <v>0</v>
      </c>
      <c r="Z87" s="20">
        <v>0</v>
      </c>
      <c r="AA87" s="20">
        <v>0</v>
      </c>
      <c r="AB87" s="20">
        <v>0</v>
      </c>
      <c r="AC87" s="20">
        <v>0</v>
      </c>
      <c r="AD87" s="20">
        <v>0</v>
      </c>
      <c r="AE87" s="20">
        <v>0</v>
      </c>
      <c r="AF87" s="20">
        <v>0</v>
      </c>
      <c r="AG87" s="40">
        <v>0</v>
      </c>
      <c r="AH87" s="24"/>
      <c r="AJ87" s="24"/>
      <c r="AK87" s="20"/>
      <c r="AL87" s="41"/>
      <c r="AM87" s="42"/>
    </row>
    <row r="88" spans="1:45" ht="12.75" customHeight="1" x14ac:dyDescent="0.2">
      <c r="A88" s="22" t="s">
        <v>202</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203</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204</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205</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206</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207</v>
      </c>
      <c r="B93" s="39">
        <f t="shared" si="15"/>
        <v>0</v>
      </c>
      <c r="C93" s="69">
        <v>0</v>
      </c>
      <c r="D93" s="69">
        <v>0</v>
      </c>
      <c r="E93" s="69">
        <v>0</v>
      </c>
      <c r="F93" s="69">
        <v>0</v>
      </c>
      <c r="G93" s="69">
        <v>0</v>
      </c>
      <c r="H93" s="69">
        <v>0</v>
      </c>
      <c r="I93" s="69">
        <v>0</v>
      </c>
      <c r="J93" s="69">
        <v>0</v>
      </c>
      <c r="K93" s="69">
        <v>0</v>
      </c>
      <c r="L93" s="69">
        <v>0</v>
      </c>
      <c r="M93" s="69">
        <v>0</v>
      </c>
      <c r="N93" s="69">
        <v>0</v>
      </c>
      <c r="O93" s="69">
        <v>0</v>
      </c>
      <c r="P93" s="69">
        <v>0</v>
      </c>
      <c r="Q93" s="69">
        <v>0</v>
      </c>
      <c r="R93" s="69">
        <v>0</v>
      </c>
      <c r="S93" s="69">
        <v>0</v>
      </c>
      <c r="T93" s="69">
        <v>0</v>
      </c>
      <c r="U93" s="69">
        <v>0</v>
      </c>
      <c r="V93" s="69">
        <v>0</v>
      </c>
      <c r="W93" s="69">
        <v>0</v>
      </c>
      <c r="X93" s="69">
        <v>0</v>
      </c>
      <c r="Y93" s="69">
        <v>0</v>
      </c>
      <c r="Z93" s="69">
        <v>0</v>
      </c>
      <c r="AA93" s="69">
        <v>0</v>
      </c>
      <c r="AB93" s="69">
        <v>0</v>
      </c>
      <c r="AC93" s="69">
        <v>0</v>
      </c>
      <c r="AD93" s="69">
        <v>0</v>
      </c>
      <c r="AE93" s="69">
        <v>0</v>
      </c>
      <c r="AF93" s="69">
        <v>0</v>
      </c>
      <c r="AG93" s="40">
        <v>0</v>
      </c>
      <c r="AH93" s="24"/>
      <c r="AJ93" s="24"/>
      <c r="AK93" s="20"/>
      <c r="AL93" s="41"/>
      <c r="AM93" s="42"/>
    </row>
    <row r="94" spans="1:45" ht="12.75" customHeight="1" x14ac:dyDescent="0.2">
      <c r="A94" s="22" t="s">
        <v>208</v>
      </c>
      <c r="B94" s="39">
        <f t="shared" si="15"/>
        <v>0</v>
      </c>
      <c r="C94" s="20">
        <v>0</v>
      </c>
      <c r="D94" s="20">
        <v>0</v>
      </c>
      <c r="E94" s="20">
        <v>0</v>
      </c>
      <c r="F94" s="20">
        <v>0</v>
      </c>
      <c r="G94" s="20">
        <v>0</v>
      </c>
      <c r="H94" s="20">
        <v>0</v>
      </c>
      <c r="I94" s="20">
        <v>0</v>
      </c>
      <c r="J94" s="20">
        <v>0</v>
      </c>
      <c r="K94" s="20">
        <v>0</v>
      </c>
      <c r="L94" s="20">
        <v>0</v>
      </c>
      <c r="M94" s="20">
        <v>0</v>
      </c>
      <c r="N94" s="20">
        <v>0</v>
      </c>
      <c r="O94" s="20">
        <v>0</v>
      </c>
      <c r="P94" s="20">
        <v>0</v>
      </c>
      <c r="Q94" s="20">
        <v>0</v>
      </c>
      <c r="R94" s="20">
        <v>0</v>
      </c>
      <c r="S94" s="20">
        <v>0</v>
      </c>
      <c r="T94" s="20">
        <v>0</v>
      </c>
      <c r="U94" s="20">
        <v>0</v>
      </c>
      <c r="V94" s="20">
        <v>0</v>
      </c>
      <c r="W94" s="20">
        <v>0</v>
      </c>
      <c r="X94" s="20">
        <v>0</v>
      </c>
      <c r="Y94" s="20">
        <v>0</v>
      </c>
      <c r="Z94" s="20">
        <v>0</v>
      </c>
      <c r="AA94" s="20">
        <v>0</v>
      </c>
      <c r="AB94" s="20">
        <v>0</v>
      </c>
      <c r="AC94" s="20">
        <v>0</v>
      </c>
      <c r="AD94" s="20">
        <v>0</v>
      </c>
      <c r="AE94" s="20">
        <v>0</v>
      </c>
      <c r="AF94" s="20">
        <v>0</v>
      </c>
      <c r="AG94" s="40">
        <v>0</v>
      </c>
      <c r="AH94" s="24"/>
      <c r="AJ94" s="24"/>
      <c r="AK94" s="20"/>
      <c r="AL94" s="41"/>
      <c r="AM94" s="42"/>
    </row>
    <row r="95" spans="1:45" ht="12.75" customHeight="1" x14ac:dyDescent="0.2">
      <c r="A95" s="22" t="s">
        <v>209</v>
      </c>
      <c r="B95" s="39">
        <f t="shared" si="15"/>
        <v>0</v>
      </c>
      <c r="C95" s="69">
        <v>0</v>
      </c>
      <c r="D95" s="69">
        <v>0</v>
      </c>
      <c r="E95" s="69">
        <v>0</v>
      </c>
      <c r="F95" s="69">
        <v>0</v>
      </c>
      <c r="G95" s="69">
        <v>0</v>
      </c>
      <c r="H95" s="69">
        <v>0</v>
      </c>
      <c r="I95" s="69">
        <v>0</v>
      </c>
      <c r="J95" s="69">
        <v>0</v>
      </c>
      <c r="K95" s="69">
        <v>0</v>
      </c>
      <c r="L95" s="69">
        <v>0</v>
      </c>
      <c r="M95" s="69">
        <v>0</v>
      </c>
      <c r="N95" s="69">
        <v>0</v>
      </c>
      <c r="O95" s="69">
        <v>0</v>
      </c>
      <c r="P95" s="69">
        <v>0</v>
      </c>
      <c r="Q95" s="69">
        <v>0</v>
      </c>
      <c r="R95" s="69">
        <v>0</v>
      </c>
      <c r="S95" s="69">
        <v>0</v>
      </c>
      <c r="T95" s="69">
        <v>0</v>
      </c>
      <c r="U95" s="69">
        <v>0</v>
      </c>
      <c r="V95" s="69">
        <v>0</v>
      </c>
      <c r="W95" s="69">
        <v>0</v>
      </c>
      <c r="X95" s="69">
        <v>0</v>
      </c>
      <c r="Y95" s="69">
        <v>0</v>
      </c>
      <c r="Z95" s="69">
        <v>0</v>
      </c>
      <c r="AA95" s="69">
        <v>0</v>
      </c>
      <c r="AB95" s="69">
        <v>0</v>
      </c>
      <c r="AC95" s="69">
        <v>0</v>
      </c>
      <c r="AD95" s="69">
        <v>0</v>
      </c>
      <c r="AE95" s="69">
        <v>0</v>
      </c>
      <c r="AF95" s="69">
        <v>0</v>
      </c>
      <c r="AG95" s="40">
        <v>0</v>
      </c>
      <c r="AH95" s="24"/>
      <c r="AJ95" s="24"/>
      <c r="AK95" s="20"/>
      <c r="AL95" s="41"/>
      <c r="AM95" s="42"/>
    </row>
    <row r="96" spans="1:45" ht="12.75" customHeight="1" x14ac:dyDescent="0.2">
      <c r="A96" s="22" t="s">
        <v>210</v>
      </c>
      <c r="B96" s="39">
        <f t="shared" si="15"/>
        <v>0</v>
      </c>
      <c r="C96" s="20">
        <v>0</v>
      </c>
      <c r="D96" s="20">
        <v>0</v>
      </c>
      <c r="E96" s="20">
        <v>0</v>
      </c>
      <c r="F96" s="20">
        <v>0</v>
      </c>
      <c r="G96" s="20">
        <v>0</v>
      </c>
      <c r="H96" s="20">
        <v>0</v>
      </c>
      <c r="I96" s="20">
        <v>0</v>
      </c>
      <c r="J96" s="20">
        <v>0</v>
      </c>
      <c r="K96" s="20">
        <v>0</v>
      </c>
      <c r="L96" s="20">
        <v>0</v>
      </c>
      <c r="M96" s="20">
        <v>0</v>
      </c>
      <c r="N96" s="20">
        <v>0</v>
      </c>
      <c r="O96" s="20">
        <v>0</v>
      </c>
      <c r="P96" s="20">
        <v>0</v>
      </c>
      <c r="Q96" s="20">
        <v>0</v>
      </c>
      <c r="R96" s="20">
        <v>0</v>
      </c>
      <c r="S96" s="20">
        <v>0</v>
      </c>
      <c r="T96" s="20">
        <v>0</v>
      </c>
      <c r="U96" s="20">
        <v>0</v>
      </c>
      <c r="V96" s="20">
        <v>0</v>
      </c>
      <c r="W96" s="20">
        <v>0</v>
      </c>
      <c r="X96" s="20">
        <v>0</v>
      </c>
      <c r="Y96" s="20">
        <v>0</v>
      </c>
      <c r="Z96" s="20">
        <v>0</v>
      </c>
      <c r="AA96" s="20">
        <v>0</v>
      </c>
      <c r="AB96" s="20">
        <v>0</v>
      </c>
      <c r="AC96" s="20">
        <v>0</v>
      </c>
      <c r="AD96" s="20">
        <v>0</v>
      </c>
      <c r="AE96" s="20">
        <v>0</v>
      </c>
      <c r="AF96" s="20">
        <v>0</v>
      </c>
      <c r="AG96" s="40">
        <v>0</v>
      </c>
      <c r="AH96" s="24"/>
      <c r="AJ96" s="24"/>
      <c r="AK96" s="20"/>
      <c r="AL96" s="41"/>
      <c r="AM96" s="42"/>
    </row>
    <row r="97" spans="1:45" ht="12.75" customHeight="1" x14ac:dyDescent="0.2">
      <c r="A97" s="22" t="s">
        <v>211</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t="s">
        <v>212</v>
      </c>
      <c r="B98" s="39">
        <f t="shared" si="15"/>
        <v>0</v>
      </c>
      <c r="C98" s="69">
        <v>0</v>
      </c>
      <c r="D98" s="69">
        <v>0</v>
      </c>
      <c r="E98" s="69">
        <v>0</v>
      </c>
      <c r="F98" s="69">
        <v>0</v>
      </c>
      <c r="G98" s="69">
        <v>0</v>
      </c>
      <c r="H98" s="69">
        <v>0</v>
      </c>
      <c r="I98" s="69">
        <v>0</v>
      </c>
      <c r="J98" s="69">
        <v>0</v>
      </c>
      <c r="K98" s="69">
        <v>0</v>
      </c>
      <c r="L98" s="69">
        <v>0</v>
      </c>
      <c r="M98" s="69">
        <v>0</v>
      </c>
      <c r="N98" s="69">
        <v>0</v>
      </c>
      <c r="O98" s="69">
        <v>0</v>
      </c>
      <c r="P98" s="69">
        <v>0</v>
      </c>
      <c r="Q98" s="69">
        <v>0</v>
      </c>
      <c r="R98" s="69">
        <v>0</v>
      </c>
      <c r="S98" s="69">
        <v>0</v>
      </c>
      <c r="T98" s="69">
        <v>0</v>
      </c>
      <c r="U98" s="69">
        <v>0</v>
      </c>
      <c r="V98" s="69">
        <v>0</v>
      </c>
      <c r="W98" s="69">
        <v>0</v>
      </c>
      <c r="X98" s="69">
        <v>0</v>
      </c>
      <c r="Y98" s="69">
        <v>0</v>
      </c>
      <c r="Z98" s="69">
        <v>0</v>
      </c>
      <c r="AA98" s="69">
        <v>0</v>
      </c>
      <c r="AB98" s="69">
        <v>0</v>
      </c>
      <c r="AC98" s="69">
        <v>0</v>
      </c>
      <c r="AD98" s="69">
        <v>0</v>
      </c>
      <c r="AE98" s="69">
        <v>0</v>
      </c>
      <c r="AF98" s="69">
        <v>0</v>
      </c>
      <c r="AG98" s="40">
        <v>0</v>
      </c>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19" t="s">
        <v>213</v>
      </c>
      <c r="B102" s="51">
        <f>SUM(B88:B101)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161</v>
      </c>
      <c r="C104" s="32">
        <f t="shared" ref="C104:L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ref="M104:V104" si="17">SUM(M108:M117)</f>
        <v>0</v>
      </c>
      <c r="N104" s="32">
        <f t="shared" si="17"/>
        <v>0</v>
      </c>
      <c r="O104" s="32">
        <f t="shared" si="17"/>
        <v>0</v>
      </c>
      <c r="P104" s="32">
        <f t="shared" si="17"/>
        <v>0</v>
      </c>
      <c r="Q104" s="32">
        <f t="shared" si="17"/>
        <v>0</v>
      </c>
      <c r="R104" s="32">
        <f t="shared" si="17"/>
        <v>0</v>
      </c>
      <c r="S104" s="32">
        <f t="shared" si="17"/>
        <v>0</v>
      </c>
      <c r="T104" s="32">
        <f t="shared" si="17"/>
        <v>0</v>
      </c>
      <c r="U104" s="32">
        <f t="shared" si="17"/>
        <v>0</v>
      </c>
      <c r="V104" s="32">
        <f t="shared" si="17"/>
        <v>0</v>
      </c>
      <c r="W104" s="32">
        <f t="shared" ref="W104:AG104" si="18">SUM(W108:W117)</f>
        <v>0</v>
      </c>
      <c r="X104" s="32">
        <f t="shared" si="18"/>
        <v>0</v>
      </c>
      <c r="Y104" s="32">
        <f t="shared" si="18"/>
        <v>0</v>
      </c>
      <c r="Z104" s="32">
        <f t="shared" si="18"/>
        <v>0</v>
      </c>
      <c r="AA104" s="32">
        <f t="shared" si="18"/>
        <v>0</v>
      </c>
      <c r="AB104" s="32">
        <f t="shared" si="18"/>
        <v>0</v>
      </c>
      <c r="AC104" s="32">
        <f t="shared" si="18"/>
        <v>0</v>
      </c>
      <c r="AD104" s="32">
        <f t="shared" si="18"/>
        <v>0</v>
      </c>
      <c r="AE104" s="32">
        <f t="shared" si="18"/>
        <v>0</v>
      </c>
      <c r="AF104" s="32">
        <f t="shared" si="18"/>
        <v>0</v>
      </c>
      <c r="AG104" s="32">
        <f t="shared" si="18"/>
        <v>0</v>
      </c>
      <c r="AH104" s="1"/>
      <c r="AI104" s="117"/>
      <c r="AJ104" s="118"/>
      <c r="AK104" s="1"/>
      <c r="AL104" s="33"/>
      <c r="AN104" s="1"/>
      <c r="AO104" s="1"/>
      <c r="AP104" s="1"/>
      <c r="AQ104" s="1"/>
      <c r="AR104" s="1"/>
      <c r="AS104" s="1"/>
    </row>
    <row r="105" spans="1:45" s="99" customFormat="1" ht="12.75" customHeight="1" x14ac:dyDescent="0.25">
      <c r="A105" s="216" t="s">
        <v>214</v>
      </c>
      <c r="B105" s="116">
        <f t="shared" ref="B105:AG105" si="19">B44</f>
        <v>36831</v>
      </c>
      <c r="C105" s="104">
        <f t="shared" si="19"/>
        <v>36831</v>
      </c>
      <c r="D105" s="104">
        <f t="shared" si="19"/>
        <v>36832</v>
      </c>
      <c r="E105" s="104">
        <f t="shared" si="19"/>
        <v>36833</v>
      </c>
      <c r="F105" s="104">
        <f t="shared" si="19"/>
        <v>36834</v>
      </c>
      <c r="G105" s="104">
        <f t="shared" si="19"/>
        <v>36835</v>
      </c>
      <c r="H105" s="104">
        <f t="shared" si="19"/>
        <v>36836</v>
      </c>
      <c r="I105" s="104">
        <f t="shared" si="19"/>
        <v>36837</v>
      </c>
      <c r="J105" s="104">
        <f t="shared" si="19"/>
        <v>36838</v>
      </c>
      <c r="K105" s="104">
        <f t="shared" si="19"/>
        <v>36839</v>
      </c>
      <c r="L105" s="104">
        <f t="shared" si="19"/>
        <v>36840</v>
      </c>
      <c r="M105" s="104">
        <f t="shared" si="19"/>
        <v>36841</v>
      </c>
      <c r="N105" s="104">
        <f t="shared" si="19"/>
        <v>36842</v>
      </c>
      <c r="O105" s="104">
        <f t="shared" si="19"/>
        <v>36843</v>
      </c>
      <c r="P105" s="104">
        <f t="shared" si="19"/>
        <v>36844</v>
      </c>
      <c r="Q105" s="104">
        <f t="shared" si="19"/>
        <v>36845</v>
      </c>
      <c r="R105" s="104">
        <f t="shared" si="19"/>
        <v>36846</v>
      </c>
      <c r="S105" s="104">
        <f t="shared" si="19"/>
        <v>36847</v>
      </c>
      <c r="T105" s="104">
        <f t="shared" si="19"/>
        <v>36848</v>
      </c>
      <c r="U105" s="104">
        <f t="shared" si="19"/>
        <v>36849</v>
      </c>
      <c r="V105" s="104">
        <f t="shared" si="19"/>
        <v>36850</v>
      </c>
      <c r="W105" s="104">
        <f t="shared" si="19"/>
        <v>36851</v>
      </c>
      <c r="X105" s="104">
        <f t="shared" si="19"/>
        <v>36852</v>
      </c>
      <c r="Y105" s="104">
        <f t="shared" si="19"/>
        <v>36853</v>
      </c>
      <c r="Z105" s="104">
        <f t="shared" si="19"/>
        <v>36854</v>
      </c>
      <c r="AA105" s="104">
        <f t="shared" si="19"/>
        <v>36855</v>
      </c>
      <c r="AB105" s="104">
        <f t="shared" si="19"/>
        <v>36856</v>
      </c>
      <c r="AC105" s="104">
        <f t="shared" si="19"/>
        <v>36857</v>
      </c>
      <c r="AD105" s="104">
        <f t="shared" si="19"/>
        <v>36858</v>
      </c>
      <c r="AE105" s="104">
        <f t="shared" si="19"/>
        <v>36859</v>
      </c>
      <c r="AF105" s="104">
        <f t="shared" si="19"/>
        <v>36860</v>
      </c>
      <c r="AG105" s="104">
        <f t="shared" si="19"/>
        <v>36861</v>
      </c>
      <c r="AI105" s="117"/>
      <c r="AJ105" s="119"/>
      <c r="AL105" s="100"/>
    </row>
    <row r="106" spans="1:45" ht="12.75" customHeight="1" x14ac:dyDescent="0.25">
      <c r="A106" s="34"/>
      <c r="B106" s="34"/>
      <c r="C106" s="105" t="str">
        <f t="shared" ref="C106:AG106" si="20">C45</f>
        <v>W</v>
      </c>
      <c r="D106" s="105" t="str">
        <f t="shared" si="20"/>
        <v>R</v>
      </c>
      <c r="E106" s="105" t="str">
        <f t="shared" si="20"/>
        <v>F</v>
      </c>
      <c r="F106" s="105" t="str">
        <f t="shared" si="20"/>
        <v>S</v>
      </c>
      <c r="G106" s="105" t="str">
        <f t="shared" si="20"/>
        <v>S</v>
      </c>
      <c r="H106" s="105" t="str">
        <f t="shared" si="20"/>
        <v>M</v>
      </c>
      <c r="I106" s="105" t="str">
        <f t="shared" si="20"/>
        <v>T</v>
      </c>
      <c r="J106" s="105" t="str">
        <f t="shared" si="20"/>
        <v>W</v>
      </c>
      <c r="K106" s="105" t="str">
        <f t="shared" si="20"/>
        <v>R</v>
      </c>
      <c r="L106" s="105" t="str">
        <f t="shared" si="20"/>
        <v>F</v>
      </c>
      <c r="M106" s="105" t="str">
        <f t="shared" si="20"/>
        <v>S</v>
      </c>
      <c r="N106" s="105" t="str">
        <f t="shared" si="20"/>
        <v>S</v>
      </c>
      <c r="O106" s="105" t="str">
        <f t="shared" si="20"/>
        <v>M</v>
      </c>
      <c r="P106" s="105" t="str">
        <f t="shared" si="20"/>
        <v>T</v>
      </c>
      <c r="Q106" s="105" t="str">
        <f t="shared" si="20"/>
        <v>W</v>
      </c>
      <c r="R106" s="105" t="str">
        <f t="shared" si="20"/>
        <v>R</v>
      </c>
      <c r="S106" s="105" t="str">
        <f t="shared" si="20"/>
        <v>F</v>
      </c>
      <c r="T106" s="105" t="str">
        <f t="shared" si="20"/>
        <v>S</v>
      </c>
      <c r="U106" s="105" t="str">
        <f t="shared" si="20"/>
        <v>S</v>
      </c>
      <c r="V106" s="105" t="str">
        <f t="shared" si="20"/>
        <v>M</v>
      </c>
      <c r="W106" s="105" t="str">
        <f t="shared" si="20"/>
        <v>T</v>
      </c>
      <c r="X106" s="105" t="str">
        <f t="shared" si="20"/>
        <v>W</v>
      </c>
      <c r="Y106" s="105" t="str">
        <f t="shared" si="20"/>
        <v>R</v>
      </c>
      <c r="Z106" s="105" t="str">
        <f t="shared" si="20"/>
        <v>F</v>
      </c>
      <c r="AA106" s="105" t="str">
        <f t="shared" si="20"/>
        <v>S</v>
      </c>
      <c r="AB106" s="105" t="str">
        <f t="shared" si="20"/>
        <v>S</v>
      </c>
      <c r="AC106" s="105" t="str">
        <f t="shared" si="20"/>
        <v>M</v>
      </c>
      <c r="AD106" s="105" t="str">
        <f t="shared" si="20"/>
        <v>T</v>
      </c>
      <c r="AE106" s="105" t="str">
        <f t="shared" si="20"/>
        <v>W</v>
      </c>
      <c r="AF106" s="105" t="str">
        <f t="shared" si="20"/>
        <v>R</v>
      </c>
      <c r="AG106" s="105" t="str">
        <f t="shared" si="20"/>
        <v>F</v>
      </c>
      <c r="AH106" s="1"/>
      <c r="AI106" s="117"/>
      <c r="AJ106" s="118"/>
      <c r="AK106" s="1"/>
      <c r="AL106" s="24"/>
      <c r="AN106" s="1"/>
      <c r="AO106" s="1"/>
      <c r="AP106" s="1"/>
      <c r="AQ106" s="1"/>
      <c r="AR106" s="1"/>
      <c r="AS106" s="1"/>
    </row>
    <row r="107" spans="1:45" ht="12.75" customHeight="1" thickBot="1" x14ac:dyDescent="0.3">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205</v>
      </c>
      <c r="B108" s="39">
        <f t="shared" ref="B108:B113" si="21">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207</v>
      </c>
      <c r="B109" s="39">
        <f t="shared" si="21"/>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208</v>
      </c>
      <c r="B110" s="39">
        <f t="shared" si="21"/>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209</v>
      </c>
      <c r="B111" s="39">
        <f t="shared" si="21"/>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210</v>
      </c>
      <c r="B112" s="39">
        <f t="shared" si="21"/>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212</v>
      </c>
      <c r="B113" s="39">
        <f t="shared" si="21"/>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216</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217</v>
      </c>
      <c r="B124" s="76"/>
      <c r="C124" s="77"/>
      <c r="D124" s="77"/>
      <c r="E124" s="78"/>
      <c r="G124" s="75" t="s">
        <v>218</v>
      </c>
      <c r="H124" s="75"/>
      <c r="I124" s="76"/>
      <c r="J124" s="77"/>
      <c r="K124" s="77"/>
      <c r="L124" s="78"/>
      <c r="M124" s="9"/>
      <c r="N124" s="9"/>
      <c r="O124" s="1"/>
      <c r="P124" s="1"/>
    </row>
    <row r="125" spans="1:39" ht="12.75" customHeight="1" thickTop="1" x14ac:dyDescent="0.2">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
      <c r="A126" s="152"/>
      <c r="B126" s="24"/>
      <c r="C126" s="24"/>
      <c r="D126" s="38"/>
      <c r="E126" s="141"/>
      <c r="G126" s="79"/>
      <c r="H126" s="80"/>
      <c r="I126" s="24"/>
      <c r="J126" s="1"/>
      <c r="K126" s="149"/>
      <c r="L126" s="141"/>
      <c r="M126" s="1"/>
      <c r="N126" s="1"/>
      <c r="O126" s="1"/>
      <c r="P126" s="1"/>
    </row>
    <row r="127" spans="1:39" ht="12.75" customHeight="1" x14ac:dyDescent="0.2">
      <c r="A127" s="436" t="s">
        <v>222</v>
      </c>
      <c r="B127" s="24" t="s">
        <v>223</v>
      </c>
      <c r="C127" s="24"/>
      <c r="D127" s="38"/>
      <c r="E127" s="141">
        <v>31287</v>
      </c>
      <c r="G127" s="81"/>
      <c r="H127" s="9"/>
      <c r="I127" s="82"/>
      <c r="J127" s="1"/>
      <c r="K127" s="149"/>
      <c r="L127" s="141"/>
      <c r="M127" s="1"/>
      <c r="N127" s="1"/>
      <c r="O127" s="1"/>
      <c r="P127" s="1"/>
    </row>
    <row r="128" spans="1:39" ht="12.75" customHeight="1" x14ac:dyDescent="0.2">
      <c r="A128" s="436" t="s">
        <v>224</v>
      </c>
      <c r="B128" s="24" t="s">
        <v>225</v>
      </c>
      <c r="C128" s="82"/>
      <c r="D128" s="140"/>
      <c r="E128" s="141">
        <v>289689</v>
      </c>
      <c r="G128" s="81"/>
      <c r="H128" s="24"/>
      <c r="I128" s="1"/>
      <c r="J128" s="1"/>
      <c r="K128" s="149"/>
      <c r="L128" s="141"/>
      <c r="M128" s="1"/>
      <c r="N128" s="1"/>
      <c r="O128" s="1"/>
      <c r="P128" s="1"/>
    </row>
    <row r="129" spans="1:16" ht="12.75" customHeight="1" x14ac:dyDescent="0.2">
      <c r="A129" s="153">
        <v>36161</v>
      </c>
      <c r="B129" s="24" t="s">
        <v>226</v>
      </c>
      <c r="C129" s="24"/>
      <c r="D129" s="38"/>
      <c r="E129" s="141">
        <f>205+2129</f>
        <v>2334</v>
      </c>
      <c r="G129" s="81"/>
      <c r="H129" s="24"/>
      <c r="I129" s="1"/>
      <c r="J129" s="1"/>
      <c r="K129" s="38"/>
      <c r="L129" s="142"/>
      <c r="M129" s="1"/>
      <c r="N129" s="1"/>
      <c r="O129" s="1"/>
      <c r="P129" s="1"/>
    </row>
    <row r="130" spans="1:16" ht="12.75" customHeight="1" x14ac:dyDescent="0.2">
      <c r="A130" s="153">
        <v>36192</v>
      </c>
      <c r="B130" s="24" t="s">
        <v>227</v>
      </c>
      <c r="C130" s="24"/>
      <c r="D130" s="38"/>
      <c r="E130" s="141">
        <f>-544+15588</f>
        <v>15044</v>
      </c>
      <c r="G130" s="81"/>
      <c r="H130" s="24"/>
      <c r="I130" s="1"/>
      <c r="J130" s="1"/>
      <c r="K130" s="38"/>
      <c r="L130" s="141"/>
      <c r="M130" s="1"/>
      <c r="N130" s="1"/>
      <c r="O130" s="1"/>
      <c r="P130" s="1"/>
    </row>
    <row r="131" spans="1:16" ht="12.75" customHeight="1" x14ac:dyDescent="0.2">
      <c r="A131" s="153">
        <v>36220</v>
      </c>
      <c r="B131" s="24" t="s">
        <v>228</v>
      </c>
      <c r="C131" s="24"/>
      <c r="D131" s="38"/>
      <c r="E131" s="141">
        <f>2600-1430</f>
        <v>1170</v>
      </c>
      <c r="G131" s="81"/>
      <c r="H131" s="24"/>
      <c r="I131" s="1"/>
      <c r="J131" s="1"/>
      <c r="K131" s="38"/>
      <c r="L131" s="141"/>
      <c r="M131" s="1"/>
      <c r="N131" s="1"/>
      <c r="O131" s="1"/>
      <c r="P131" s="1"/>
    </row>
    <row r="132" spans="1:16" ht="12.75" customHeight="1" x14ac:dyDescent="0.2">
      <c r="A132" s="153">
        <v>36251</v>
      </c>
      <c r="B132" s="24" t="s">
        <v>229</v>
      </c>
      <c r="C132" s="83"/>
      <c r="D132" s="38"/>
      <c r="E132" s="141"/>
      <c r="G132" s="81"/>
      <c r="H132" s="1"/>
      <c r="I132" s="1"/>
      <c r="J132" s="1"/>
      <c r="K132" s="149"/>
      <c r="L132" s="142"/>
      <c r="M132" s="1"/>
      <c r="N132" s="1"/>
      <c r="O132" s="1"/>
      <c r="P132" s="1"/>
    </row>
    <row r="133" spans="1:16" ht="12.75" customHeight="1" x14ac:dyDescent="0.2">
      <c r="A133" s="153">
        <v>36281</v>
      </c>
      <c r="B133" s="24" t="s">
        <v>230</v>
      </c>
      <c r="C133" s="24"/>
      <c r="D133" s="49"/>
      <c r="E133" s="141"/>
      <c r="G133" s="81"/>
      <c r="H133" s="24"/>
      <c r="I133" s="1"/>
      <c r="J133" s="1"/>
      <c r="K133" s="38"/>
      <c r="L133" s="142"/>
      <c r="M133" s="1"/>
      <c r="N133" s="1"/>
      <c r="O133" s="1"/>
      <c r="P133" s="1"/>
    </row>
    <row r="134" spans="1:16" ht="12.75" customHeight="1" x14ac:dyDescent="0.2">
      <c r="A134" s="153">
        <v>36312</v>
      </c>
      <c r="B134" s="24" t="s">
        <v>231</v>
      </c>
      <c r="C134" s="24"/>
      <c r="D134" s="49"/>
      <c r="E134" s="141"/>
      <c r="G134" s="81"/>
      <c r="H134" s="24"/>
      <c r="I134" s="1"/>
      <c r="J134" s="1"/>
      <c r="K134" s="38"/>
      <c r="L134" s="141"/>
      <c r="M134" s="43"/>
      <c r="N134" s="42"/>
      <c r="O134" s="1"/>
      <c r="P134" s="1"/>
    </row>
    <row r="135" spans="1:16" ht="12.75" customHeight="1" x14ac:dyDescent="0.2">
      <c r="A135" s="153">
        <v>36342</v>
      </c>
      <c r="B135" s="24" t="s">
        <v>232</v>
      </c>
      <c r="C135" s="24"/>
      <c r="D135" s="49"/>
      <c r="E135" s="141"/>
      <c r="G135" s="81"/>
      <c r="H135" s="24"/>
      <c r="I135" s="1"/>
      <c r="J135" s="1"/>
      <c r="K135" s="38"/>
      <c r="L135" s="141"/>
      <c r="M135" s="43"/>
      <c r="N135" s="1"/>
      <c r="O135" s="1"/>
      <c r="P135" s="1"/>
    </row>
    <row r="136" spans="1:16" ht="12.75" customHeight="1" x14ac:dyDescent="0.2">
      <c r="A136" s="153">
        <v>36373</v>
      </c>
      <c r="B136" s="24" t="s">
        <v>233</v>
      </c>
      <c r="C136" s="24"/>
      <c r="D136" s="49"/>
      <c r="E136" s="141"/>
      <c r="G136" s="81"/>
      <c r="H136" s="24"/>
      <c r="I136" s="1"/>
      <c r="J136" s="1"/>
      <c r="K136" s="38"/>
      <c r="L136" s="141"/>
      <c r="M136" s="1"/>
      <c r="N136" s="43"/>
      <c r="O136" s="1"/>
      <c r="P136" s="1"/>
    </row>
    <row r="137" spans="1:16" ht="12.75" customHeight="1" x14ac:dyDescent="0.2">
      <c r="A137" s="153">
        <v>36404</v>
      </c>
      <c r="B137" s="24" t="s">
        <v>234</v>
      </c>
      <c r="C137" s="24"/>
      <c r="D137" s="49"/>
      <c r="E137" s="141"/>
      <c r="G137" s="81"/>
      <c r="H137" s="24"/>
      <c r="I137" s="1"/>
      <c r="J137" s="1"/>
      <c r="K137" s="38"/>
      <c r="L137" s="141"/>
      <c r="M137" s="1"/>
      <c r="N137" s="43"/>
      <c r="O137" s="1"/>
      <c r="P137" s="1"/>
    </row>
    <row r="138" spans="1:16" ht="12.75" customHeight="1" x14ac:dyDescent="0.2">
      <c r="A138" s="153">
        <v>36434</v>
      </c>
      <c r="B138" s="24" t="s">
        <v>235</v>
      </c>
      <c r="C138" s="24"/>
      <c r="D138" s="49"/>
      <c r="E138" s="141"/>
      <c r="G138" s="81"/>
      <c r="H138" s="24"/>
      <c r="I138" s="1"/>
      <c r="J138" s="1"/>
      <c r="K138" s="38"/>
      <c r="L138" s="141"/>
      <c r="M138" s="1"/>
      <c r="N138" s="1"/>
      <c r="O138" s="1"/>
      <c r="P138" s="1"/>
    </row>
    <row r="139" spans="1:16" ht="12.75" customHeight="1" x14ac:dyDescent="0.2">
      <c r="A139" s="153">
        <v>36465</v>
      </c>
      <c r="B139" s="24" t="s">
        <v>236</v>
      </c>
      <c r="C139" s="24"/>
      <c r="D139" s="49"/>
      <c r="E139" s="141"/>
      <c r="G139" s="81"/>
      <c r="H139" s="24"/>
      <c r="I139" s="1"/>
      <c r="J139" s="1"/>
      <c r="K139" s="38"/>
      <c r="L139" s="141"/>
      <c r="M139" s="1"/>
      <c r="N139" s="1"/>
      <c r="O139" s="1"/>
      <c r="P139" s="1"/>
    </row>
    <row r="140" spans="1:16" ht="12.75" customHeight="1" x14ac:dyDescent="0.2">
      <c r="A140" s="153">
        <v>36495</v>
      </c>
      <c r="B140" s="24" t="s">
        <v>237</v>
      </c>
      <c r="C140" s="24"/>
      <c r="D140" s="49"/>
      <c r="E140" s="141"/>
      <c r="G140" s="81"/>
      <c r="H140" s="24"/>
      <c r="I140" s="1"/>
      <c r="J140" s="1"/>
      <c r="K140" s="38"/>
      <c r="L140" s="141"/>
      <c r="M140" s="1"/>
      <c r="N140" s="1"/>
      <c r="O140" s="1"/>
      <c r="P140" s="1"/>
    </row>
    <row r="141" spans="1:16" ht="12.75" customHeight="1" x14ac:dyDescent="0.2">
      <c r="A141" s="153">
        <v>36526</v>
      </c>
      <c r="B141" s="24" t="s">
        <v>238</v>
      </c>
      <c r="C141" s="24"/>
      <c r="D141" s="49"/>
      <c r="E141" s="141"/>
      <c r="G141" s="81"/>
      <c r="H141" s="24"/>
      <c r="I141" s="1"/>
      <c r="J141" s="1"/>
      <c r="K141" s="38"/>
      <c r="L141" s="141"/>
      <c r="M141" s="1"/>
      <c r="N141" s="1"/>
      <c r="O141" s="1"/>
      <c r="P141" s="1"/>
    </row>
    <row r="142" spans="1:16" ht="12.75" customHeight="1" x14ac:dyDescent="0.2">
      <c r="A142" s="153">
        <v>36557</v>
      </c>
      <c r="B142" s="24" t="s">
        <v>239</v>
      </c>
      <c r="C142" s="24"/>
      <c r="D142" s="38"/>
      <c r="E142" s="141"/>
      <c r="G142" s="81"/>
      <c r="H142" s="24"/>
      <c r="I142" s="1"/>
      <c r="J142" s="1"/>
      <c r="K142" s="38"/>
      <c r="L142" s="141"/>
      <c r="M142" s="1"/>
      <c r="N142" s="1"/>
      <c r="O142" s="1"/>
      <c r="P142" s="1"/>
    </row>
    <row r="143" spans="1:16" ht="12.75" customHeight="1" x14ac:dyDescent="0.2">
      <c r="A143" s="153">
        <v>36586</v>
      </c>
      <c r="B143" s="24" t="s">
        <v>240</v>
      </c>
      <c r="C143" s="24"/>
      <c r="D143" s="38"/>
      <c r="E143" s="141"/>
      <c r="G143" s="81"/>
      <c r="H143" s="24"/>
      <c r="I143" s="1"/>
      <c r="J143" s="1"/>
      <c r="K143" s="38"/>
      <c r="L143" s="141"/>
      <c r="M143" s="1"/>
      <c r="N143" s="1"/>
      <c r="O143" s="1"/>
      <c r="P143" s="1"/>
    </row>
    <row r="144" spans="1:16" ht="12.75" customHeight="1" x14ac:dyDescent="0.2">
      <c r="A144"/>
      <c r="B144"/>
      <c r="C144" s="82"/>
      <c r="D144" s="38"/>
      <c r="E144" s="141"/>
      <c r="G144" s="81"/>
      <c r="H144" s="24"/>
      <c r="I144" s="1"/>
      <c r="J144" s="1"/>
      <c r="K144" s="38"/>
      <c r="L144" s="141"/>
      <c r="M144" s="1"/>
      <c r="N144" s="1"/>
      <c r="O144" s="1"/>
      <c r="P144" s="1"/>
    </row>
    <row r="145" spans="1:16" ht="12.75" customHeight="1" x14ac:dyDescent="0.2">
      <c r="A145"/>
      <c r="B145"/>
      <c r="C145" s="82"/>
      <c r="D145" s="38"/>
      <c r="E145" s="141"/>
      <c r="G145" s="81"/>
      <c r="H145" s="24"/>
      <c r="I145" s="1"/>
      <c r="J145" s="1"/>
      <c r="K145" s="38"/>
      <c r="L145" s="141"/>
      <c r="M145" s="1"/>
      <c r="N145" s="1"/>
      <c r="O145" s="1"/>
      <c r="P145" s="1"/>
    </row>
    <row r="146" spans="1:16" ht="12.75" customHeight="1" x14ac:dyDescent="0.2">
      <c r="A146"/>
      <c r="B146"/>
      <c r="C146" s="82"/>
      <c r="D146" s="38"/>
      <c r="E146" s="141"/>
      <c r="G146" s="81"/>
      <c r="H146" s="24"/>
      <c r="I146" s="1"/>
      <c r="J146" s="1"/>
      <c r="K146" s="38"/>
      <c r="L146" s="141"/>
      <c r="M146" s="1"/>
      <c r="N146" s="1"/>
      <c r="O146" s="1"/>
      <c r="P146" s="1"/>
    </row>
    <row r="147" spans="1:16" ht="12.75" customHeight="1" x14ac:dyDescent="0.2">
      <c r="A147"/>
      <c r="B147"/>
      <c r="C147" s="24"/>
      <c r="D147" s="38"/>
      <c r="E147" s="141"/>
      <c r="G147" s="81"/>
      <c r="H147" s="24"/>
      <c r="I147" s="1"/>
      <c r="J147" s="1"/>
      <c r="K147" s="38"/>
      <c r="L147" s="141"/>
      <c r="M147" s="1"/>
      <c r="N147" s="1"/>
      <c r="O147" s="1"/>
      <c r="P147" s="1"/>
    </row>
    <row r="148" spans="1:16" ht="12.75" customHeight="1" x14ac:dyDescent="0.2">
      <c r="A148"/>
      <c r="B148"/>
      <c r="C148" s="24"/>
      <c r="D148" s="38"/>
      <c r="E148" s="141"/>
      <c r="G148" s="81"/>
      <c r="H148" s="24"/>
      <c r="I148" s="1"/>
      <c r="J148" s="1"/>
      <c r="K148" s="38"/>
      <c r="L148" s="141"/>
      <c r="M148" s="1"/>
      <c r="N148" s="1"/>
      <c r="O148" s="1"/>
      <c r="P148" s="1"/>
    </row>
    <row r="149" spans="1:16" ht="12.75" customHeight="1" x14ac:dyDescent="0.2">
      <c r="A149"/>
      <c r="B149"/>
      <c r="C149" s="24"/>
      <c r="D149" s="38"/>
      <c r="E149" s="141"/>
      <c r="G149" s="81"/>
      <c r="H149" s="24"/>
      <c r="I149" s="1"/>
      <c r="J149" s="1"/>
      <c r="K149" s="38"/>
      <c r="L149" s="141"/>
      <c r="M149" s="1"/>
      <c r="N149" s="1"/>
      <c r="O149" s="1"/>
      <c r="P149" s="1"/>
    </row>
    <row r="150" spans="1:16" ht="12.75" customHeight="1" x14ac:dyDescent="0.2">
      <c r="A150"/>
      <c r="B150"/>
      <c r="C150" s="83"/>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3"/>
      <c r="M158" s="1"/>
      <c r="N158" s="1"/>
      <c r="O158" s="1"/>
      <c r="P158" s="1"/>
    </row>
    <row r="159" spans="1:16" ht="12.75" customHeight="1" thickBot="1" x14ac:dyDescent="0.25">
      <c r="A159" s="63"/>
      <c r="B159" s="24"/>
      <c r="C159" s="24"/>
      <c r="D159" s="145" t="s">
        <v>241</v>
      </c>
      <c r="E159" s="144">
        <f>SUM(E126:E158)</f>
        <v>339524</v>
      </c>
      <c r="G159" s="63"/>
      <c r="H159" s="24"/>
      <c r="I159" s="1"/>
      <c r="J159" s="1"/>
      <c r="K159" s="145" t="s">
        <v>242</v>
      </c>
      <c r="L159" s="144">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243</v>
      </c>
      <c r="B163" s="77"/>
      <c r="C163" s="77"/>
      <c r="D163" s="77"/>
      <c r="E163" s="78"/>
      <c r="AJ163" s="1"/>
      <c r="AK163" s="1"/>
      <c r="AL163" s="1"/>
      <c r="AM163" s="1"/>
    </row>
    <row r="164" spans="1:39" ht="12.75" customHeight="1" thickTop="1" x14ac:dyDescent="0.2">
      <c r="A164" s="136" t="s">
        <v>219</v>
      </c>
      <c r="B164" s="137" t="s">
        <v>220</v>
      </c>
      <c r="C164" s="138"/>
      <c r="D164" s="139"/>
      <c r="E164" s="210" t="s">
        <v>221</v>
      </c>
      <c r="AJ164" s="1"/>
      <c r="AK164" s="1"/>
      <c r="AL164" s="1"/>
      <c r="AM164" s="1"/>
    </row>
    <row r="165" spans="1:39" ht="12.75" customHeight="1" x14ac:dyDescent="0.2">
      <c r="A165" s="221"/>
      <c r="B165" s="24"/>
      <c r="C165" s="24"/>
      <c r="D165" s="38"/>
      <c r="E165" s="141"/>
      <c r="AJ165" s="1"/>
      <c r="AK165" s="1"/>
      <c r="AL165" s="1"/>
      <c r="AM165" s="1"/>
    </row>
    <row r="166" spans="1:39" ht="12.75" customHeight="1" x14ac:dyDescent="0.2">
      <c r="A166" s="221"/>
      <c r="B166" s="24"/>
      <c r="C166" s="24"/>
      <c r="D166" s="38"/>
      <c r="E166" s="141"/>
      <c r="AJ166" s="1"/>
      <c r="AK166" s="1"/>
      <c r="AL166" s="1"/>
      <c r="AM166" s="1"/>
    </row>
    <row r="167" spans="1:39" ht="12.75" customHeight="1" x14ac:dyDescent="0.2">
      <c r="A167" s="221"/>
      <c r="B167" s="24"/>
      <c r="C167" s="24"/>
      <c r="D167" s="38"/>
      <c r="E167" s="141"/>
      <c r="AJ167" s="1"/>
      <c r="AK167" s="1"/>
      <c r="AL167" s="1"/>
      <c r="AM167" s="1"/>
    </row>
    <row r="168" spans="1:39" ht="12.75" customHeight="1" x14ac:dyDescent="0.2">
      <c r="A168" s="221"/>
      <c r="B168" s="24"/>
      <c r="C168" s="24"/>
      <c r="D168" s="38"/>
      <c r="E168" s="142"/>
      <c r="AJ168" s="1"/>
      <c r="AK168" s="1"/>
      <c r="AL168" s="1"/>
      <c r="AM168" s="1"/>
    </row>
    <row r="169" spans="1:39" ht="12.75" customHeight="1" x14ac:dyDescent="0.2">
      <c r="A169" s="221"/>
      <c r="B169" s="24"/>
      <c r="C169" s="24"/>
      <c r="D169" s="38"/>
      <c r="E169" s="141"/>
      <c r="AJ169" s="1"/>
      <c r="AK169" s="1"/>
      <c r="AL169" s="1"/>
      <c r="AM169" s="1"/>
    </row>
    <row r="170" spans="1:39" ht="12.75" customHeight="1" x14ac:dyDescent="0.2">
      <c r="A170" s="221"/>
      <c r="B170" s="24"/>
      <c r="C170" s="24"/>
      <c r="D170" s="38"/>
      <c r="E170" s="141"/>
      <c r="AJ170" s="1"/>
      <c r="AK170" s="1"/>
      <c r="AL170" s="1"/>
      <c r="AM170" s="1"/>
    </row>
    <row r="171" spans="1:39" ht="12.75" customHeight="1" x14ac:dyDescent="0.2">
      <c r="A171" s="221"/>
      <c r="B171" s="24"/>
      <c r="C171" s="82"/>
      <c r="D171" s="140"/>
      <c r="E171" s="142"/>
      <c r="AJ171" s="1"/>
      <c r="AK171" s="1"/>
      <c r="AL171" s="1"/>
      <c r="AM171" s="1"/>
    </row>
    <row r="172" spans="1:39" ht="12.75" customHeight="1" x14ac:dyDescent="0.2">
      <c r="A172" s="221"/>
      <c r="B172" s="80"/>
      <c r="C172" s="82"/>
      <c r="D172" s="140"/>
      <c r="E172" s="142"/>
      <c r="AJ172" s="1"/>
      <c r="AK172" s="1"/>
      <c r="AL172" s="1"/>
      <c r="AM172" s="1"/>
    </row>
    <row r="173" spans="1:39" ht="12.75" customHeight="1" x14ac:dyDescent="0.2">
      <c r="A173" s="221"/>
      <c r="B173" s="80"/>
      <c r="C173" s="24"/>
      <c r="D173" s="38"/>
      <c r="E173" s="141"/>
      <c r="AJ173" s="1"/>
      <c r="AK173" s="1"/>
      <c r="AL173" s="1"/>
      <c r="AM173" s="1"/>
    </row>
    <row r="174" spans="1:39" ht="12.75" customHeight="1" x14ac:dyDescent="0.2">
      <c r="A174" s="221"/>
      <c r="B174" s="24"/>
      <c r="C174" s="24"/>
      <c r="D174" s="38"/>
      <c r="E174" s="141"/>
      <c r="AJ174" s="1"/>
      <c r="AK174" s="1"/>
      <c r="AL174" s="1"/>
      <c r="AM174" s="1"/>
    </row>
    <row r="175" spans="1:39" ht="12.75" customHeight="1" x14ac:dyDescent="0.2">
      <c r="A175" s="221"/>
      <c r="B175" s="24"/>
      <c r="C175" s="24"/>
      <c r="D175" s="38"/>
      <c r="E175" s="142"/>
      <c r="AJ175" s="1"/>
      <c r="AK175" s="1"/>
      <c r="AL175" s="1"/>
      <c r="AM175" s="1"/>
    </row>
    <row r="176" spans="1:39" ht="12.75" customHeight="1" x14ac:dyDescent="0.2">
      <c r="A176" s="221"/>
      <c r="B176" s="24"/>
      <c r="C176" s="24"/>
      <c r="D176" s="38"/>
      <c r="E176" s="141"/>
      <c r="AJ176" s="1"/>
      <c r="AK176" s="1"/>
      <c r="AL176" s="1"/>
      <c r="AM176" s="1"/>
    </row>
    <row r="177" spans="1:39" ht="12.75" customHeight="1" x14ac:dyDescent="0.2">
      <c r="A177" s="221"/>
      <c r="B177" s="24"/>
      <c r="C177" s="24"/>
      <c r="D177" s="38"/>
      <c r="E177" s="141"/>
      <c r="AJ177" s="1"/>
      <c r="AK177" s="1"/>
      <c r="AL177" s="1"/>
      <c r="AM177" s="1"/>
    </row>
    <row r="178" spans="1:39" ht="12.75" customHeight="1" x14ac:dyDescent="0.2">
      <c r="A178" s="221"/>
      <c r="B178" s="9"/>
      <c r="C178" s="82"/>
      <c r="D178" s="140"/>
      <c r="E178" s="142"/>
      <c r="AJ178" s="1"/>
      <c r="AK178" s="1"/>
      <c r="AL178" s="1"/>
      <c r="AM178" s="1"/>
    </row>
    <row r="179" spans="1:39" ht="12.75" customHeight="1" x14ac:dyDescent="0.2">
      <c r="A179" s="221"/>
      <c r="B179" s="9"/>
      <c r="C179" s="82"/>
      <c r="D179" s="140"/>
      <c r="E179" s="142"/>
      <c r="AJ179" s="1"/>
      <c r="AK179" s="1"/>
      <c r="AL179" s="1"/>
      <c r="AM179" s="1"/>
    </row>
    <row r="180" spans="1:39" ht="12.75" customHeight="1" x14ac:dyDescent="0.2">
      <c r="A180" s="221"/>
      <c r="B180" s="9"/>
      <c r="C180" s="82"/>
      <c r="D180" s="140"/>
      <c r="E180" s="141"/>
      <c r="AJ180" s="1"/>
      <c r="AK180" s="1"/>
      <c r="AL180" s="1"/>
      <c r="AM180" s="1"/>
    </row>
    <row r="181" spans="1:39" ht="12.75" customHeight="1" x14ac:dyDescent="0.2">
      <c r="A181" s="221"/>
      <c r="B181" s="24"/>
      <c r="C181" s="24"/>
      <c r="D181" s="38"/>
      <c r="E181" s="141"/>
      <c r="AJ181" s="1"/>
      <c r="AK181" s="1"/>
      <c r="AL181" s="1"/>
      <c r="AM181" s="1"/>
    </row>
    <row r="182" spans="1:39" ht="12.75" customHeight="1" x14ac:dyDescent="0.2">
      <c r="A182" s="221"/>
      <c r="B182" s="24"/>
      <c r="C182" s="24"/>
      <c r="D182" s="38"/>
      <c r="E182" s="141"/>
      <c r="AJ182" s="1"/>
      <c r="AK182" s="1"/>
      <c r="AL182" s="1"/>
      <c r="AM182" s="1"/>
    </row>
    <row r="183" spans="1:39" ht="12.75" customHeight="1" x14ac:dyDescent="0.2">
      <c r="A183" s="221"/>
      <c r="B183" s="24"/>
      <c r="C183" s="24"/>
      <c r="D183" s="38"/>
      <c r="E183" s="141"/>
      <c r="AJ183" s="1"/>
      <c r="AK183" s="1"/>
      <c r="AL183" s="1"/>
      <c r="AM183" s="1"/>
    </row>
    <row r="184" spans="1:39" ht="12.75" customHeight="1" x14ac:dyDescent="0.2">
      <c r="A184" s="221"/>
      <c r="B184" s="24"/>
      <c r="C184" s="24"/>
      <c r="D184" s="38"/>
      <c r="E184" s="143"/>
      <c r="AJ184" s="1"/>
      <c r="AK184" s="1"/>
      <c r="AL184" s="1"/>
      <c r="AM184" s="1"/>
    </row>
    <row r="185" spans="1:39" ht="12.75" customHeight="1" thickBot="1" x14ac:dyDescent="0.25">
      <c r="A185" s="222"/>
      <c r="B185" s="24"/>
      <c r="C185" s="24"/>
      <c r="D185" s="145" t="s">
        <v>244</v>
      </c>
      <c r="E185" s="144">
        <f>SUM(E165:E184)</f>
        <v>0</v>
      </c>
      <c r="AJ185" s="1"/>
      <c r="AK185" s="1"/>
      <c r="AL185" s="1"/>
      <c r="AM185" s="1"/>
    </row>
    <row r="186" spans="1:39" ht="12.75" customHeight="1" thickTop="1" thickBot="1" x14ac:dyDescent="0.25">
      <c r="A186" s="220"/>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245</v>
      </c>
      <c r="B189" s="59"/>
      <c r="C189" s="59"/>
      <c r="D189" s="59"/>
      <c r="E189" s="59"/>
      <c r="F189" s="59"/>
      <c r="G189" s="59"/>
      <c r="H189" s="59"/>
      <c r="I189" s="59"/>
      <c r="J189" s="59"/>
      <c r="K189" s="59"/>
      <c r="L189" s="59"/>
      <c r="M189" s="60"/>
      <c r="O189" s="1"/>
      <c r="P189" s="1"/>
      <c r="Q189" s="1"/>
      <c r="R189" s="1"/>
    </row>
    <row r="190" spans="1:39" ht="12.75" customHeight="1" x14ac:dyDescent="0.2">
      <c r="A190" s="85" t="s">
        <v>246</v>
      </c>
      <c r="B190" s="86" t="s">
        <v>219</v>
      </c>
      <c r="C190" s="87" t="s">
        <v>247</v>
      </c>
      <c r="D190" s="88" t="s">
        <v>248</v>
      </c>
      <c r="E190" s="135" t="s">
        <v>220</v>
      </c>
      <c r="F190" s="89"/>
      <c r="G190" s="89"/>
      <c r="H190" s="89"/>
      <c r="I190" s="89"/>
      <c r="J190" s="89"/>
      <c r="K190" s="89"/>
      <c r="L190" s="89"/>
      <c r="M190" s="211" t="s">
        <v>221</v>
      </c>
      <c r="O190" s="1"/>
      <c r="P190" s="1"/>
      <c r="Q190" s="1"/>
      <c r="R190" s="1"/>
    </row>
    <row r="191" spans="1:39" ht="12.75" customHeight="1" x14ac:dyDescent="0.2">
      <c r="A191" s="227"/>
      <c r="B191" s="134"/>
      <c r="C191" s="224"/>
      <c r="D191" s="38"/>
      <c r="E191" s="24"/>
      <c r="F191" s="24"/>
      <c r="G191" s="24"/>
      <c r="H191" s="24"/>
      <c r="I191" s="24"/>
      <c r="J191" s="24"/>
      <c r="K191" s="24"/>
      <c r="L191" s="24"/>
      <c r="M191" s="91"/>
      <c r="O191" s="1"/>
      <c r="P191" s="1"/>
      <c r="Q191" s="1"/>
      <c r="R191" s="1"/>
    </row>
    <row r="192" spans="1:39" ht="12.75" customHeight="1" x14ac:dyDescent="0.2">
      <c r="A192" s="227"/>
      <c r="B192" s="134"/>
      <c r="C192" s="224"/>
      <c r="D192" s="38"/>
      <c r="E192" s="24"/>
      <c r="F192" s="24"/>
      <c r="G192" s="24"/>
      <c r="H192" s="24"/>
      <c r="I192" s="24"/>
      <c r="J192" s="24"/>
      <c r="K192" s="24"/>
      <c r="L192" s="24"/>
      <c r="M192" s="91"/>
      <c r="O192" s="1"/>
      <c r="P192" s="1"/>
      <c r="Q192" s="1"/>
      <c r="R192" s="1"/>
    </row>
    <row r="193" spans="1:18" ht="12.75" customHeight="1" x14ac:dyDescent="0.2">
      <c r="A193" s="227"/>
      <c r="B193" s="134"/>
      <c r="C193" s="224"/>
      <c r="D193" s="38"/>
      <c r="E193" s="24"/>
      <c r="F193" s="24"/>
      <c r="G193" s="24"/>
      <c r="H193" s="24"/>
      <c r="I193" s="24"/>
      <c r="J193" s="24"/>
      <c r="K193" s="24"/>
      <c r="L193" s="24"/>
      <c r="M193" s="91"/>
      <c r="O193" s="1"/>
      <c r="P193" s="1"/>
      <c r="Q193" s="1"/>
      <c r="R193" s="1"/>
    </row>
    <row r="194" spans="1:18" ht="12.75" customHeight="1" x14ac:dyDescent="0.2">
      <c r="A194" s="227"/>
      <c r="B194" s="134"/>
      <c r="C194" s="224"/>
      <c r="D194" s="38"/>
      <c r="E194" s="24"/>
      <c r="F194" s="24"/>
      <c r="G194" s="24"/>
      <c r="H194" s="24"/>
      <c r="I194" s="24"/>
      <c r="J194" s="24"/>
      <c r="K194" s="24"/>
      <c r="L194" s="24"/>
      <c r="M194" s="91"/>
      <c r="O194" s="1"/>
      <c r="P194" s="1"/>
      <c r="Q194" s="1"/>
      <c r="R194" s="1"/>
    </row>
    <row r="195" spans="1:18" ht="12.75" customHeight="1" x14ac:dyDescent="0.2">
      <c r="A195" s="227"/>
      <c r="B195" s="134"/>
      <c r="C195" s="224"/>
      <c r="D195" s="38"/>
      <c r="E195" s="24"/>
      <c r="F195" s="24"/>
      <c r="G195" s="24"/>
      <c r="H195" s="24"/>
      <c r="I195" s="24"/>
      <c r="J195" s="24"/>
      <c r="K195" s="24"/>
      <c r="L195" s="24"/>
      <c r="M195" s="91"/>
      <c r="O195" s="1"/>
      <c r="P195" s="1"/>
      <c r="Q195" s="1"/>
      <c r="R195" s="1"/>
    </row>
    <row r="196" spans="1:18" ht="12.75" customHeight="1" x14ac:dyDescent="0.2">
      <c r="A196" s="227"/>
      <c r="B196" s="134"/>
      <c r="C196" s="224"/>
      <c r="D196" s="38"/>
      <c r="E196" s="24"/>
      <c r="F196" s="24"/>
      <c r="G196" s="24"/>
      <c r="H196" s="24"/>
      <c r="I196" s="24"/>
      <c r="J196" s="24"/>
      <c r="K196" s="24"/>
      <c r="L196" s="24"/>
      <c r="M196" s="91"/>
    </row>
    <row r="197" spans="1:18" ht="12.75" customHeight="1" x14ac:dyDescent="0.2">
      <c r="A197" s="227"/>
      <c r="B197" s="134"/>
      <c r="C197" s="224"/>
      <c r="D197" s="38"/>
      <c r="E197" s="24"/>
      <c r="F197" s="24"/>
      <c r="G197" s="24"/>
      <c r="H197" s="24"/>
      <c r="I197" s="24"/>
      <c r="J197" s="24"/>
      <c r="K197" s="24"/>
      <c r="L197" s="24"/>
      <c r="M197" s="91"/>
    </row>
    <row r="198" spans="1:18" ht="12.75" customHeight="1" x14ac:dyDescent="0.2">
      <c r="A198" s="227"/>
      <c r="B198" s="134"/>
      <c r="C198" s="224"/>
      <c r="D198" s="38"/>
      <c r="E198" s="24"/>
      <c r="F198" s="24"/>
      <c r="G198" s="24"/>
      <c r="H198" s="24"/>
      <c r="I198" s="24"/>
      <c r="J198" s="24"/>
      <c r="K198" s="24"/>
      <c r="L198" s="24"/>
      <c r="M198" s="91"/>
    </row>
    <row r="199" spans="1:18" ht="12.75" customHeight="1" x14ac:dyDescent="0.2">
      <c r="A199" s="227"/>
      <c r="B199" s="134"/>
      <c r="C199" s="224"/>
      <c r="D199" s="38"/>
      <c r="E199" s="24"/>
      <c r="F199" s="24"/>
      <c r="G199" s="24"/>
      <c r="H199" s="24"/>
      <c r="I199" s="24"/>
      <c r="J199" s="24"/>
      <c r="K199" s="24"/>
      <c r="L199" s="24"/>
      <c r="M199" s="91"/>
    </row>
    <row r="200" spans="1:18" ht="12.75" customHeight="1" x14ac:dyDescent="0.2">
      <c r="A200" s="227"/>
      <c r="B200" s="134"/>
      <c r="C200" s="224"/>
      <c r="D200" s="38"/>
      <c r="E200" s="24"/>
      <c r="F200" s="24"/>
      <c r="G200" s="24"/>
      <c r="H200" s="24"/>
      <c r="I200" s="24"/>
      <c r="J200" s="24"/>
      <c r="K200" s="24"/>
      <c r="L200" s="24"/>
      <c r="M200" s="91"/>
    </row>
    <row r="201" spans="1:18" ht="12.75" customHeight="1" x14ac:dyDescent="0.2">
      <c r="A201" s="90"/>
      <c r="B201" s="134"/>
      <c r="C201" s="224"/>
      <c r="D201" s="38"/>
      <c r="E201" s="24"/>
      <c r="F201" s="24"/>
      <c r="G201" s="24"/>
      <c r="H201" s="24"/>
      <c r="I201" s="24"/>
      <c r="J201" s="24"/>
      <c r="K201" s="24"/>
      <c r="L201" s="24"/>
      <c r="M201" s="91"/>
    </row>
    <row r="202" spans="1:18" ht="12.75" customHeight="1" x14ac:dyDescent="0.2">
      <c r="A202" s="90"/>
      <c r="B202" s="134"/>
      <c r="C202" s="224"/>
      <c r="D202" s="38"/>
      <c r="E202" s="24"/>
      <c r="F202" s="24"/>
      <c r="G202" s="24"/>
      <c r="H202" s="24"/>
      <c r="I202" s="24"/>
      <c r="J202" s="24"/>
      <c r="K202" s="24"/>
      <c r="L202" s="24"/>
      <c r="M202" s="91"/>
    </row>
    <row r="203" spans="1:18" ht="12.75" customHeight="1" x14ac:dyDescent="0.2">
      <c r="A203" s="90"/>
      <c r="B203" s="134"/>
      <c r="C203" s="224"/>
      <c r="D203" s="38"/>
      <c r="E203" s="24"/>
      <c r="F203" s="24"/>
      <c r="G203" s="24"/>
      <c r="H203" s="24"/>
      <c r="I203" s="24"/>
      <c r="J203" s="24"/>
      <c r="K203" s="24"/>
      <c r="L203" s="24"/>
      <c r="M203" s="91"/>
    </row>
    <row r="204" spans="1:18" ht="12.75" customHeight="1" x14ac:dyDescent="0.2">
      <c r="A204" s="90"/>
      <c r="B204" s="134"/>
      <c r="C204" s="224"/>
      <c r="D204" s="38"/>
      <c r="E204" s="24"/>
      <c r="F204" s="24"/>
      <c r="G204" s="24"/>
      <c r="H204" s="24"/>
      <c r="I204" s="24"/>
      <c r="J204" s="24"/>
      <c r="K204" s="24"/>
      <c r="L204" s="24"/>
      <c r="M204" s="91"/>
    </row>
    <row r="205" spans="1:18" ht="12.75" customHeight="1" x14ac:dyDescent="0.2">
      <c r="A205" s="90"/>
      <c r="B205" s="134"/>
      <c r="C205" s="226"/>
      <c r="D205" s="38"/>
      <c r="E205" s="24"/>
      <c r="F205" s="24"/>
      <c r="G205" s="24"/>
      <c r="H205" s="24"/>
      <c r="I205" s="24"/>
      <c r="J205" s="24"/>
      <c r="K205" s="24"/>
      <c r="L205" s="24"/>
      <c r="M205" s="91"/>
    </row>
    <row r="206" spans="1:18" ht="12.75" customHeight="1" x14ac:dyDescent="0.2">
      <c r="A206" s="90"/>
      <c r="B206" s="134"/>
      <c r="C206" s="226"/>
      <c r="D206" s="38"/>
      <c r="E206" s="24"/>
      <c r="F206" s="24"/>
      <c r="G206" s="24"/>
      <c r="H206" s="24"/>
      <c r="I206" s="24"/>
      <c r="J206" s="24"/>
      <c r="K206" s="24"/>
      <c r="L206" s="24"/>
      <c r="M206" s="91"/>
    </row>
    <row r="207" spans="1:18" ht="12.75" customHeight="1" x14ac:dyDescent="0.2">
      <c r="A207" s="90"/>
      <c r="B207" s="134"/>
      <c r="C207" s="226"/>
      <c r="D207" s="38"/>
      <c r="E207" s="24"/>
      <c r="F207" s="24"/>
      <c r="G207" s="24"/>
      <c r="H207" s="24"/>
      <c r="I207" s="24"/>
      <c r="J207" s="24"/>
      <c r="K207" s="24"/>
      <c r="L207" s="24"/>
      <c r="M207" s="91"/>
    </row>
    <row r="208" spans="1:18" ht="12.75" customHeight="1" x14ac:dyDescent="0.2">
      <c r="A208" s="90"/>
      <c r="B208" s="134"/>
      <c r="C208" s="225"/>
      <c r="D208" s="38"/>
      <c r="E208" s="24"/>
      <c r="F208" s="24"/>
      <c r="G208" s="24"/>
      <c r="H208" s="24"/>
      <c r="I208" s="24"/>
      <c r="J208" s="24"/>
      <c r="K208" s="24"/>
      <c r="L208" s="24"/>
      <c r="M208" s="91"/>
    </row>
    <row r="209" spans="1:14" ht="12.75" customHeight="1" x14ac:dyDescent="0.2">
      <c r="A209" s="90"/>
      <c r="B209" s="134"/>
      <c r="C209" s="225"/>
      <c r="D209" s="38"/>
      <c r="E209" s="24"/>
      <c r="F209" s="24"/>
      <c r="G209" s="24"/>
      <c r="H209" s="24"/>
      <c r="I209" s="24"/>
      <c r="J209" s="24"/>
      <c r="K209" s="24"/>
      <c r="L209" s="24"/>
      <c r="M209" s="91"/>
    </row>
    <row r="210" spans="1:14" ht="12.75" customHeight="1" x14ac:dyDescent="0.2">
      <c r="A210" s="90"/>
      <c r="B210" s="134"/>
      <c r="C210" s="225"/>
      <c r="D210" s="38"/>
      <c r="E210" s="24"/>
      <c r="F210" s="24"/>
      <c r="G210" s="24"/>
      <c r="H210" s="24"/>
      <c r="I210" s="24"/>
      <c r="J210" s="24"/>
      <c r="K210" s="24"/>
      <c r="L210" s="24"/>
      <c r="M210" s="91"/>
    </row>
    <row r="211" spans="1:14" ht="12.75" customHeight="1" x14ac:dyDescent="0.2">
      <c r="A211" s="90"/>
      <c r="B211" s="134"/>
      <c r="C211" s="225"/>
      <c r="D211" s="38"/>
      <c r="E211" s="24"/>
      <c r="F211" s="24"/>
      <c r="G211" s="24"/>
      <c r="H211" s="24"/>
      <c r="I211" s="24"/>
      <c r="J211" s="24"/>
      <c r="K211" s="24"/>
      <c r="L211" s="24"/>
      <c r="M211" s="91"/>
    </row>
    <row r="212" spans="1:14" ht="12.75" customHeight="1" x14ac:dyDescent="0.2">
      <c r="A212" s="90"/>
      <c r="B212" s="134"/>
      <c r="C212" s="225"/>
      <c r="D212" s="38"/>
      <c r="E212" s="24"/>
      <c r="F212" s="24"/>
      <c r="G212" s="24"/>
      <c r="H212" s="24"/>
      <c r="I212" s="24"/>
      <c r="J212" s="24"/>
      <c r="K212" s="24"/>
      <c r="L212" s="24"/>
      <c r="M212" s="91"/>
    </row>
    <row r="213" spans="1:14" ht="12.75" customHeight="1" x14ac:dyDescent="0.2">
      <c r="A213" s="90"/>
      <c r="B213" s="134"/>
      <c r="C213" s="225"/>
      <c r="D213" s="38"/>
      <c r="E213" s="24"/>
      <c r="F213" s="24"/>
      <c r="G213" s="24"/>
      <c r="H213" s="24"/>
      <c r="I213" s="24"/>
      <c r="J213" s="24"/>
      <c r="K213" s="24"/>
      <c r="L213" s="24"/>
      <c r="M213" s="91"/>
    </row>
    <row r="214" spans="1:14" ht="12.75" customHeight="1" thickBot="1" x14ac:dyDescent="0.25">
      <c r="A214" s="90"/>
      <c r="B214" s="134"/>
      <c r="C214" s="223"/>
      <c r="D214" s="38"/>
      <c r="E214" s="24"/>
      <c r="F214" s="24"/>
      <c r="G214" s="24"/>
      <c r="H214" s="24"/>
      <c r="I214" s="24"/>
      <c r="J214" s="24"/>
      <c r="K214" s="24"/>
      <c r="L214" s="145" t="s">
        <v>249</v>
      </c>
      <c r="M214" s="92">
        <f>SUM(M191:M213)</f>
        <v>0</v>
      </c>
    </row>
    <row r="215" spans="1:14" ht="12.75" customHeight="1" thickTop="1" thickBot="1" x14ac:dyDescent="0.25">
      <c r="A215" s="93"/>
      <c r="B215" s="151"/>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5" t="s">
        <v>250</v>
      </c>
      <c r="B218" s="154"/>
      <c r="C218" s="154"/>
      <c r="D218" s="154"/>
      <c r="E218" s="154"/>
      <c r="F218" s="157"/>
      <c r="G218" s="94"/>
      <c r="H218" s="94"/>
      <c r="I218" s="94"/>
      <c r="J218" s="94"/>
      <c r="K218" s="94"/>
      <c r="L218" s="94"/>
      <c r="M218" s="94"/>
      <c r="N218" s="94"/>
    </row>
    <row r="219" spans="1:14" ht="12.75" customHeight="1" thickBot="1" x14ac:dyDescent="0.25">
      <c r="A219" s="156" t="s">
        <v>246</v>
      </c>
      <c r="B219" s="95" t="s">
        <v>219</v>
      </c>
      <c r="C219" s="96" t="s">
        <v>247</v>
      </c>
      <c r="D219" s="165" t="s">
        <v>248</v>
      </c>
      <c r="E219" s="166"/>
      <c r="F219" s="158" t="s">
        <v>221</v>
      </c>
      <c r="G219" s="94"/>
      <c r="H219" s="94"/>
      <c r="I219" s="94"/>
      <c r="J219" s="94"/>
      <c r="K219" s="94"/>
      <c r="L219" s="94"/>
      <c r="M219" s="94"/>
      <c r="N219" s="94"/>
    </row>
    <row r="220" spans="1:14" ht="12.75" customHeight="1" x14ac:dyDescent="0.2">
      <c r="A220" s="231"/>
      <c r="B220" s="134"/>
      <c r="C220" s="97"/>
      <c r="D220" s="24"/>
      <c r="E220" s="167"/>
      <c r="F220" s="232"/>
      <c r="G220" s="98"/>
      <c r="H220" s="98"/>
      <c r="I220" s="98"/>
      <c r="J220" s="98"/>
      <c r="K220" s="98"/>
      <c r="L220" s="98"/>
      <c r="M220" s="98"/>
      <c r="N220" s="98"/>
    </row>
    <row r="221" spans="1:14" ht="12.75" customHeight="1" x14ac:dyDescent="0.2">
      <c r="A221" s="231"/>
      <c r="B221" s="134"/>
      <c r="C221" s="224"/>
      <c r="D221" s="38"/>
      <c r="E221" s="24"/>
      <c r="F221" s="91"/>
      <c r="G221" s="98"/>
      <c r="H221" s="98"/>
      <c r="I221" s="98"/>
      <c r="J221" s="98"/>
      <c r="K221" s="98"/>
      <c r="L221" s="98"/>
      <c r="M221" s="98"/>
      <c r="N221" s="98"/>
    </row>
    <row r="222" spans="1:14" ht="12.75" customHeight="1" x14ac:dyDescent="0.2">
      <c r="A222" s="231"/>
      <c r="B222" s="134"/>
      <c r="C222" s="224"/>
      <c r="D222" s="38"/>
      <c r="E222" s="24"/>
      <c r="F222" s="91"/>
      <c r="G222" s="94"/>
      <c r="H222" s="94"/>
      <c r="I222" s="94"/>
      <c r="J222" s="94"/>
      <c r="K222" s="94"/>
      <c r="L222" s="94"/>
      <c r="M222" s="94"/>
      <c r="N222" s="94"/>
    </row>
    <row r="223" spans="1:14" ht="12.75" customHeight="1" x14ac:dyDescent="0.2">
      <c r="A223" s="231"/>
      <c r="B223" s="134"/>
      <c r="C223" s="224"/>
      <c r="D223" s="38"/>
      <c r="E223" s="24"/>
      <c r="F223" s="91"/>
      <c r="G223" s="94"/>
      <c r="H223" s="94"/>
      <c r="I223" s="94"/>
      <c r="J223" s="94"/>
      <c r="K223" s="94"/>
      <c r="L223" s="94"/>
      <c r="M223" s="94"/>
      <c r="N223" s="94"/>
    </row>
    <row r="224" spans="1:14" ht="12.75" customHeight="1" x14ac:dyDescent="0.2">
      <c r="A224" s="231"/>
      <c r="B224" s="134"/>
      <c r="C224" s="224"/>
      <c r="D224" s="38"/>
      <c r="E224" s="24"/>
      <c r="F224" s="91"/>
      <c r="G224" s="94"/>
      <c r="H224" s="94"/>
      <c r="I224" s="94"/>
      <c r="J224" s="94"/>
      <c r="K224" s="94"/>
      <c r="L224" s="94"/>
      <c r="M224" s="94"/>
      <c r="N224" s="94"/>
    </row>
    <row r="225" spans="1:14" ht="12.75" customHeight="1" x14ac:dyDescent="0.2">
      <c r="A225" s="231"/>
      <c r="B225" s="134"/>
      <c r="C225" s="224"/>
      <c r="D225" s="38"/>
      <c r="E225" s="24"/>
      <c r="F225" s="91"/>
      <c r="G225" s="94"/>
      <c r="H225" s="94"/>
      <c r="I225" s="94"/>
      <c r="J225" s="94"/>
      <c r="K225" s="94"/>
      <c r="L225" s="94"/>
      <c r="M225" s="94"/>
      <c r="N225" s="94"/>
    </row>
    <row r="226" spans="1:14" ht="12.75" customHeight="1" x14ac:dyDescent="0.2">
      <c r="A226" s="231"/>
      <c r="B226" s="134"/>
      <c r="C226" s="94"/>
      <c r="D226" s="233"/>
      <c r="E226" s="167"/>
      <c r="F226" s="160"/>
      <c r="G226" s="94"/>
      <c r="H226" s="94"/>
      <c r="I226" s="94"/>
      <c r="J226" s="94"/>
      <c r="K226" s="94"/>
      <c r="L226" s="94"/>
      <c r="M226" s="94"/>
      <c r="N226" s="94"/>
    </row>
    <row r="227" spans="1:14" ht="12.75" customHeight="1" x14ac:dyDescent="0.2">
      <c r="A227" s="231"/>
      <c r="B227" s="134"/>
      <c r="C227" s="94"/>
      <c r="D227" s="233"/>
      <c r="E227" s="167"/>
      <c r="F227" s="160"/>
      <c r="G227" s="94"/>
      <c r="H227" s="94"/>
      <c r="I227" s="94"/>
      <c r="J227" s="94"/>
      <c r="K227" s="94"/>
      <c r="L227" s="94"/>
      <c r="M227" s="94"/>
      <c r="N227" s="94"/>
    </row>
    <row r="228" spans="1:14" ht="12.75" customHeight="1" x14ac:dyDescent="0.2">
      <c r="A228" s="231"/>
      <c r="B228" s="134"/>
      <c r="C228" s="94"/>
      <c r="D228" s="233"/>
      <c r="E228" s="167"/>
      <c r="F228" s="160"/>
      <c r="G228" s="94"/>
      <c r="H228" s="94"/>
      <c r="I228" s="94"/>
      <c r="J228" s="94"/>
      <c r="K228" s="94"/>
      <c r="L228" s="94"/>
      <c r="M228" s="94"/>
      <c r="N228" s="94"/>
    </row>
    <row r="229" spans="1:14" ht="12.75" customHeight="1" x14ac:dyDescent="0.2">
      <c r="A229" s="231"/>
      <c r="B229" s="134"/>
      <c r="C229" s="94"/>
      <c r="D229" s="233"/>
      <c r="E229" s="167"/>
      <c r="F229" s="160"/>
      <c r="G229" s="94"/>
      <c r="H229" s="94"/>
      <c r="I229" s="94"/>
      <c r="J229" s="94"/>
      <c r="K229" s="94"/>
      <c r="L229" s="94"/>
      <c r="M229" s="94"/>
      <c r="N229" s="94"/>
    </row>
    <row r="230" spans="1:14" ht="12.75" customHeight="1" x14ac:dyDescent="0.2">
      <c r="A230" s="231"/>
      <c r="B230" s="134"/>
      <c r="C230" s="94"/>
      <c r="D230" s="233"/>
      <c r="E230" s="167"/>
      <c r="F230" s="160"/>
      <c r="G230" s="94"/>
      <c r="H230" s="94"/>
      <c r="I230" s="94"/>
      <c r="J230" s="94"/>
      <c r="K230" s="94"/>
      <c r="L230" s="94"/>
      <c r="M230" s="94"/>
      <c r="N230" s="94"/>
    </row>
    <row r="231" spans="1:14" ht="12.75" customHeight="1" x14ac:dyDescent="0.2">
      <c r="A231" s="231"/>
      <c r="B231" s="134"/>
      <c r="C231" s="94"/>
      <c r="D231" s="233"/>
      <c r="E231" s="167"/>
      <c r="F231" s="160"/>
      <c r="G231" s="94"/>
      <c r="H231" s="94"/>
      <c r="I231" s="94"/>
      <c r="J231" s="94"/>
      <c r="K231" s="94"/>
      <c r="L231" s="94"/>
      <c r="M231" s="94"/>
      <c r="N231" s="94"/>
    </row>
    <row r="232" spans="1:14" ht="12.75" customHeight="1" x14ac:dyDescent="0.2">
      <c r="A232" s="231"/>
      <c r="B232" s="134"/>
      <c r="C232" s="94"/>
      <c r="D232" s="233"/>
      <c r="E232" s="167"/>
      <c r="F232" s="160"/>
      <c r="G232" s="94"/>
      <c r="H232" s="94"/>
      <c r="I232" s="94"/>
      <c r="J232" s="94"/>
      <c r="K232" s="94"/>
      <c r="L232" s="94"/>
      <c r="M232" s="94"/>
      <c r="N232" s="94"/>
    </row>
    <row r="233" spans="1:14" ht="12.75" customHeight="1" x14ac:dyDescent="0.2">
      <c r="A233" s="231"/>
      <c r="B233" s="134"/>
      <c r="C233" s="94"/>
      <c r="D233" s="233"/>
      <c r="E233" s="167"/>
      <c r="F233" s="160"/>
      <c r="G233" s="94"/>
      <c r="H233" s="94"/>
      <c r="I233" s="94"/>
      <c r="J233" s="94"/>
      <c r="K233" s="94"/>
      <c r="L233" s="94"/>
      <c r="M233" s="94"/>
      <c r="N233" s="94"/>
    </row>
    <row r="234" spans="1:14" ht="12.75" customHeight="1" x14ac:dyDescent="0.2">
      <c r="A234" s="231"/>
      <c r="B234" s="134"/>
      <c r="C234" s="94"/>
      <c r="D234" s="233"/>
      <c r="E234" s="167"/>
      <c r="F234" s="160"/>
      <c r="G234" s="94"/>
      <c r="H234" s="94"/>
      <c r="I234" s="94"/>
      <c r="J234" s="94"/>
      <c r="K234" s="94"/>
      <c r="L234" s="94"/>
      <c r="M234" s="94"/>
      <c r="N234" s="94"/>
    </row>
    <row r="235" spans="1:14" ht="12.75" customHeight="1" x14ac:dyDescent="0.2">
      <c r="A235" s="231"/>
      <c r="B235" s="134"/>
      <c r="C235" s="94"/>
      <c r="D235" s="233"/>
      <c r="E235" s="167"/>
      <c r="F235" s="160"/>
      <c r="G235" s="94"/>
      <c r="H235" s="94"/>
      <c r="I235" s="94"/>
      <c r="J235" s="94"/>
      <c r="K235" s="94"/>
      <c r="L235" s="94"/>
      <c r="M235" s="94"/>
      <c r="N235" s="94"/>
    </row>
    <row r="236" spans="1:14" ht="12.75" customHeight="1" x14ac:dyDescent="0.2">
      <c r="A236" s="231"/>
      <c r="B236" s="134"/>
      <c r="C236" s="94"/>
      <c r="D236" s="233"/>
      <c r="E236" s="167"/>
      <c r="F236" s="160"/>
      <c r="G236" s="94"/>
      <c r="H236" s="94"/>
      <c r="I236" s="94"/>
      <c r="J236" s="94"/>
      <c r="K236" s="94"/>
      <c r="L236" s="94"/>
      <c r="M236" s="94"/>
      <c r="N236" s="94"/>
    </row>
    <row r="237" spans="1:14" ht="12.75" customHeight="1" x14ac:dyDescent="0.2">
      <c r="A237" s="231"/>
      <c r="B237" s="134"/>
      <c r="C237" s="94"/>
      <c r="D237" s="233"/>
      <c r="E237" s="167"/>
      <c r="F237" s="160"/>
      <c r="G237" s="94"/>
      <c r="H237" s="94"/>
      <c r="I237" s="94"/>
      <c r="J237" s="94"/>
      <c r="K237" s="94"/>
      <c r="L237" s="94"/>
      <c r="M237" s="94"/>
      <c r="N237" s="94"/>
    </row>
    <row r="238" spans="1:14" ht="12.75" customHeight="1" thickBot="1" x14ac:dyDescent="0.25">
      <c r="A238" s="231"/>
      <c r="B238" s="134"/>
      <c r="C238" s="94"/>
      <c r="D238" s="94"/>
      <c r="E238" s="145" t="s">
        <v>251</v>
      </c>
      <c r="F238" s="168">
        <f>SUM(F219:F237)</f>
        <v>0</v>
      </c>
      <c r="G238" s="94"/>
      <c r="H238" s="94"/>
      <c r="I238" s="94"/>
      <c r="J238" s="94"/>
      <c r="K238" s="94"/>
      <c r="L238" s="94"/>
      <c r="M238" s="94"/>
      <c r="N238" s="94"/>
    </row>
    <row r="239" spans="1:14" ht="12.75" customHeight="1" thickTop="1" thickBot="1" x14ac:dyDescent="0.25">
      <c r="A239" s="161"/>
      <c r="B239" s="162"/>
      <c r="C239" s="163"/>
      <c r="D239" s="163"/>
      <c r="E239" s="212"/>
      <c r="F239" s="164"/>
      <c r="G239" s="94"/>
      <c r="H239" s="94"/>
      <c r="I239" s="94"/>
      <c r="J239" s="94"/>
      <c r="K239" s="94"/>
      <c r="L239" s="94"/>
      <c r="M239" s="94"/>
      <c r="N239" s="94"/>
    </row>
    <row r="240" spans="1:14" ht="12.75" customHeight="1" thickTop="1" x14ac:dyDescent="0.2"/>
  </sheetData>
  <customSheetViews>
    <customSheetView guid="{535643D0-B9EE-11D2-A857-00805F2505DF}" scale="75" fitToPage="1" showRuler="0" topLeftCell="A120">
      <selection activeCell="A121" sqref="A121:M239"/>
      <pageMargins left="0.25" right="0.25" top="0.25" bottom="0.25" header="0.25" footer="0.25"/>
      <printOptions horizontalCentered="1"/>
      <pageSetup paperSize="5" scale="30"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7-B9EE-11D2-A857-00805F2505DF}" scale="75" fitToPage="1" showRuler="0" topLeftCell="A40">
      <selection activeCell="A41" sqref="A41:AG118"/>
      <pageMargins left="0.25" right="0.25" top="0.25" bottom="0.25" header="0.25" footer="0.25"/>
      <printOptions horizontalCentered="1"/>
      <pageSetup paperSize="5" scale="30"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BE-B9EE-11D2-A857-00805F2505DF}" scale="75" fitToPage="1" showRuler="0" topLeftCell="O18">
      <selection activeCell="A6" sqref="A6:R40"/>
      <pageMargins left="0.25" right="0.25" top="0.25" bottom="0.25" header="0.25" footer="0.25"/>
      <printOptions horizontalCentered="1"/>
      <pageSetup paperSize="5" scale="30"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scale="30" orientation="landscape" horizontalDpi="4294967292" verticalDpi="4294967292" r:id="rId4"/>
  <headerFooter alignWithMargins="0">
    <oddFooter>&amp;L&amp;"Times New Roman,Italic"&amp;F/&amp;A&amp;R&amp;"Times New Roman,Italic"&amp;D &amp;T</oddFooter>
  </headerFooter>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T152"/>
  <sheetViews>
    <sheetView showGridLines="0" zoomScale="75" workbookViewId="0">
      <pane xSplit="1" ySplit="6" topLeftCell="K68" activePane="bottomRight" state="frozen"/>
      <selection activeCell="M62" sqref="M62"/>
      <selection pane="topRight" activeCell="M62" sqref="M62"/>
      <selection pane="bottomLeft" activeCell="M62" sqref="M62"/>
      <selection pane="bottomRight" activeCell="AE56" sqref="AE56"/>
    </sheetView>
  </sheetViews>
  <sheetFormatPr defaultRowHeight="12.75" x14ac:dyDescent="0.2"/>
  <cols>
    <col min="1" max="1" width="42.28515625" style="1" customWidth="1"/>
    <col min="2" max="2" width="11.42578125" style="42" customWidth="1"/>
    <col min="3" max="3" width="18.140625" style="41" customWidth="1"/>
    <col min="4" max="4" width="6.140625" style="42" customWidth="1"/>
    <col min="5" max="5" width="14.28515625" style="1" customWidth="1"/>
    <col min="6" max="6" width="6.140625" style="42" customWidth="1"/>
    <col min="7" max="7" width="17.5703125" style="1" customWidth="1"/>
    <col min="8" max="8" width="6.140625" style="1" customWidth="1"/>
    <col min="9" max="9" width="14.7109375" style="1" customWidth="1"/>
    <col min="10" max="10" width="6.140625" style="42" customWidth="1"/>
    <col min="11" max="11" width="15.140625" style="1" customWidth="1"/>
    <col min="12" max="12" width="6.140625" style="42" customWidth="1"/>
    <col min="13" max="13" width="17.5703125" style="1" customWidth="1"/>
    <col min="14" max="14" width="9.7109375" style="9" customWidth="1"/>
    <col min="15" max="15" width="17.28515625" style="41" customWidth="1"/>
    <col min="16" max="16" width="10" style="9" customWidth="1"/>
    <col min="17" max="17" width="17.28515625" style="41" customWidth="1"/>
    <col min="18" max="18" width="7.140625" style="9" customWidth="1"/>
    <col min="19" max="19" width="17.28515625" style="41" customWidth="1"/>
    <col min="20" max="20" width="7.85546875" style="9" customWidth="1"/>
    <col min="21" max="21" width="17.28515625" style="41" customWidth="1"/>
    <col min="22" max="22" width="6.140625" style="42" customWidth="1"/>
    <col min="23" max="23" width="15.140625" style="1" customWidth="1"/>
    <col min="24" max="24" width="7.42578125" style="1" customWidth="1"/>
    <col min="25" max="25" width="17.5703125" style="1" customWidth="1"/>
    <col min="26" max="26" width="8" style="42" customWidth="1"/>
    <col min="27" max="27" width="16.140625" style="1" customWidth="1"/>
    <col min="28" max="28" width="8.7109375" style="42" customWidth="1"/>
    <col min="29" max="29" width="17.140625" style="1" customWidth="1"/>
    <col min="30" max="30" width="13" style="42" customWidth="1"/>
    <col min="31" max="31" width="15.7109375" style="1" customWidth="1"/>
    <col min="32" max="32" width="3.5703125" style="42" customWidth="1"/>
    <col min="33" max="33" width="8.42578125" style="9" customWidth="1"/>
    <col min="34" max="35" width="0" style="42" hidden="1" customWidth="1"/>
    <col min="36" max="36" width="0" hidden="1" customWidth="1"/>
    <col min="37" max="37" width="0" style="42" hidden="1" customWidth="1"/>
    <col min="38" max="38" width="13.42578125" style="1" hidden="1" customWidth="1"/>
    <col min="39" max="39" width="1.42578125" style="1" hidden="1" customWidth="1"/>
    <col min="40" max="40" width="1.7109375" style="1" hidden="1" customWidth="1"/>
    <col min="41" max="41" width="18.42578125" hidden="1" customWidth="1"/>
    <col min="42" max="42" width="13" style="1" hidden="1" customWidth="1"/>
    <col min="43" max="44" width="9.140625" style="1"/>
    <col min="45" max="45" width="9" style="1" customWidth="1"/>
    <col min="46" max="46" width="9.140625" style="1" hidden="1" customWidth="1"/>
    <col min="47" max="16384" width="9.140625" style="1"/>
  </cols>
  <sheetData>
    <row r="1" spans="1:43" x14ac:dyDescent="0.2">
      <c r="A1" s="170" t="s">
        <v>363</v>
      </c>
      <c r="B1"/>
      <c r="D1"/>
      <c r="AQ1" s="2"/>
    </row>
    <row r="2" spans="1:43" ht="13.5" thickBot="1" x14ac:dyDescent="0.25">
      <c r="A2" s="170" t="s">
        <v>0</v>
      </c>
      <c r="B2"/>
      <c r="C2" s="447"/>
      <c r="D2"/>
      <c r="E2" s="171"/>
      <c r="G2" s="171"/>
      <c r="H2" s="171"/>
      <c r="I2" s="171"/>
      <c r="K2" s="171"/>
      <c r="M2" s="171"/>
      <c r="N2" s="171"/>
      <c r="O2" s="447" t="s">
        <v>1</v>
      </c>
      <c r="P2" s="171"/>
      <c r="Q2" s="447" t="s">
        <v>1</v>
      </c>
      <c r="R2" s="171"/>
      <c r="S2" s="447" t="s">
        <v>1</v>
      </c>
      <c r="T2" s="171"/>
      <c r="U2" s="447" t="s">
        <v>1</v>
      </c>
      <c r="W2" s="171"/>
      <c r="X2" s="171"/>
      <c r="Y2" s="171"/>
      <c r="AA2" s="171"/>
      <c r="AB2" s="27"/>
      <c r="AC2" s="171"/>
      <c r="AE2" s="171"/>
      <c r="AG2" s="171"/>
      <c r="AI2" s="266"/>
      <c r="AK2" s="263" t="s">
        <v>2</v>
      </c>
      <c r="AL2" s="130"/>
      <c r="AQ2" s="3"/>
    </row>
    <row r="3" spans="1:43" x14ac:dyDescent="0.2">
      <c r="A3" s="170" t="s">
        <v>3</v>
      </c>
      <c r="B3"/>
      <c r="C3" s="406"/>
      <c r="D3"/>
      <c r="E3"/>
      <c r="G3"/>
      <c r="H3"/>
      <c r="M3"/>
      <c r="O3" s="406"/>
      <c r="Q3" s="406"/>
      <c r="S3" s="406"/>
      <c r="U3" s="406"/>
      <c r="X3"/>
      <c r="Y3"/>
      <c r="AC3"/>
      <c r="AN3"/>
    </row>
    <row r="4" spans="1:43" ht="13.5" x14ac:dyDescent="0.25">
      <c r="A4" s="172">
        <f>PriceAlberta!B5</f>
        <v>36847</v>
      </c>
      <c r="C4" s="448"/>
      <c r="E4" s="173"/>
      <c r="G4" s="173"/>
      <c r="H4" s="442"/>
      <c r="I4" s="173"/>
      <c r="K4" s="173"/>
      <c r="M4" s="173"/>
      <c r="N4" s="442"/>
      <c r="O4" s="448"/>
      <c r="P4" s="442"/>
      <c r="Q4" s="448"/>
      <c r="R4" s="442"/>
      <c r="S4" s="448"/>
      <c r="T4" s="442"/>
      <c r="U4" s="448"/>
      <c r="W4" s="173"/>
      <c r="X4" s="442"/>
      <c r="Y4" s="173"/>
      <c r="AA4" s="173"/>
      <c r="AC4" s="173"/>
      <c r="AE4" s="173"/>
      <c r="AG4" s="442"/>
      <c r="AL4" s="173"/>
      <c r="AN4"/>
    </row>
    <row r="5" spans="1:43" x14ac:dyDescent="0.2">
      <c r="C5" s="117" t="s">
        <v>473</v>
      </c>
      <c r="E5" s="33" t="str">
        <f>AlbertaIndex!$B3</f>
        <v>Alberta and BC Index</v>
      </c>
      <c r="G5" s="396" t="s">
        <v>356</v>
      </c>
      <c r="H5" s="33"/>
      <c r="I5" s="33" t="str">
        <f>PriceEOL!$B3</f>
        <v>Canadian Gas (C4) -EOL</v>
      </c>
      <c r="K5" s="33" t="str">
        <f>EOLIndex!$B3</f>
        <v>EOL Index</v>
      </c>
      <c r="M5" s="396" t="s">
        <v>475</v>
      </c>
      <c r="N5" s="33"/>
      <c r="O5" s="117" t="s">
        <v>513</v>
      </c>
      <c r="P5" s="33"/>
      <c r="Q5" s="117" t="s">
        <v>512</v>
      </c>
      <c r="R5" s="33"/>
      <c r="S5" s="839" t="s">
        <v>514</v>
      </c>
      <c r="T5" s="33"/>
      <c r="U5" s="117" t="s">
        <v>463</v>
      </c>
      <c r="W5" s="33" t="str">
        <f>OptionsIndex!$B3</f>
        <v>Options Index</v>
      </c>
      <c r="X5" s="396"/>
      <c r="Y5" s="396" t="str">
        <f>Straddle!$B3</f>
        <v>Exotics Book</v>
      </c>
      <c r="AA5" s="33" t="s">
        <v>365</v>
      </c>
      <c r="AC5" s="396" t="s">
        <v>4</v>
      </c>
      <c r="AE5" s="33" t="str">
        <f>'US $'!$B3</f>
        <v>Canadian Gas</v>
      </c>
      <c r="AG5" s="33"/>
      <c r="AL5" s="33" t="s">
        <v>4</v>
      </c>
      <c r="AN5"/>
    </row>
    <row r="6" spans="1:43" x14ac:dyDescent="0.2">
      <c r="A6"/>
      <c r="C6" s="485" t="str">
        <f>PriceAlberta!$C3</f>
        <v>Canadian $</v>
      </c>
      <c r="E6" s="267" t="str">
        <f>AlbertaIndex!$C3</f>
        <v>Canadian $</v>
      </c>
      <c r="G6" s="337" t="s">
        <v>474</v>
      </c>
      <c r="H6" s="443"/>
      <c r="I6" s="267" t="str">
        <f>PriceEOL!$C3</f>
        <v>Canadian $</v>
      </c>
      <c r="K6" s="267" t="str">
        <f>EOLIndex!$C3</f>
        <v>Canadian $</v>
      </c>
      <c r="M6" s="337"/>
      <c r="N6" s="33"/>
      <c r="O6" s="485" t="s">
        <v>78</v>
      </c>
      <c r="P6" s="33"/>
      <c r="Q6" s="485" t="s">
        <v>78</v>
      </c>
      <c r="R6" s="33"/>
      <c r="S6" s="485"/>
      <c r="T6" s="33"/>
      <c r="U6" s="485" t="str">
        <f>PriceAlberta!$C3</f>
        <v>Canadian $</v>
      </c>
      <c r="W6" s="267" t="str">
        <f>OptionsIndex!$C3</f>
        <v>Canadian $</v>
      </c>
      <c r="X6" s="443"/>
      <c r="Y6" s="267" t="str">
        <f>Straddle!$C3</f>
        <v>Canadian $</v>
      </c>
      <c r="AA6" s="267"/>
      <c r="AC6" s="337" t="s">
        <v>5</v>
      </c>
      <c r="AE6" s="359" t="str">
        <f>'US $'!$C3</f>
        <v>US$ Conversion</v>
      </c>
      <c r="AG6" s="33"/>
      <c r="AL6" s="267" t="str">
        <f>'US $'!B3</f>
        <v>Canadian Gas</v>
      </c>
      <c r="AN6"/>
      <c r="AP6"/>
    </row>
    <row r="7" spans="1:43" x14ac:dyDescent="0.2">
      <c r="A7"/>
      <c r="C7" s="118"/>
      <c r="E7" s="174"/>
      <c r="G7" s="174"/>
      <c r="H7" s="174"/>
      <c r="I7" s="174"/>
      <c r="K7" s="174"/>
      <c r="M7" s="174"/>
      <c r="N7" s="174"/>
      <c r="O7" s="118"/>
      <c r="P7" s="174"/>
      <c r="Q7" s="118"/>
      <c r="R7" s="174"/>
      <c r="S7" s="118"/>
      <c r="T7" s="174"/>
      <c r="U7" s="118"/>
      <c r="W7" s="174"/>
      <c r="X7" s="174"/>
      <c r="Y7" s="174"/>
      <c r="AA7" s="174"/>
      <c r="AC7" s="174"/>
      <c r="AE7" s="174"/>
      <c r="AG7" s="174"/>
      <c r="AL7" s="174"/>
      <c r="AN7"/>
      <c r="AP7"/>
    </row>
    <row r="8" spans="1:43" x14ac:dyDescent="0.2">
      <c r="A8"/>
      <c r="B8" s="1" t="s">
        <v>6</v>
      </c>
      <c r="C8" s="449">
        <f>PriceAlberta!B6</f>
        <v>949832</v>
      </c>
      <c r="D8" s="1"/>
      <c r="E8" s="175">
        <f>AlbertaIndex!B6</f>
        <v>949833</v>
      </c>
      <c r="G8" s="175"/>
      <c r="H8" s="175"/>
      <c r="I8" s="175">
        <f>PriceEOL!$B6</f>
        <v>949837</v>
      </c>
      <c r="K8" s="175">
        <f>EOLIndex!$B6</f>
        <v>949838</v>
      </c>
      <c r="M8" s="175"/>
      <c r="N8" s="175"/>
      <c r="O8" s="449">
        <f>[1]PriceBC!B6</f>
        <v>906323</v>
      </c>
      <c r="P8" s="42"/>
      <c r="Q8" s="449">
        <f>[1]BCIndex!B6</f>
        <v>906539</v>
      </c>
      <c r="R8" s="42"/>
      <c r="S8" s="175"/>
      <c r="T8" s="175"/>
      <c r="U8" s="449">
        <f>Options!B6</f>
        <v>949836</v>
      </c>
      <c r="W8" s="175">
        <f>OptionsIndex!$B6</f>
        <v>949856</v>
      </c>
      <c r="X8" s="175"/>
      <c r="Y8" s="175">
        <f>Straddle!$B6</f>
        <v>949834</v>
      </c>
      <c r="AA8" s="175"/>
      <c r="AC8" s="822"/>
      <c r="AE8" s="175"/>
      <c r="AG8" s="175"/>
      <c r="AL8" s="175"/>
      <c r="AN8"/>
      <c r="AP8"/>
    </row>
    <row r="9" spans="1:43" x14ac:dyDescent="0.2">
      <c r="A9"/>
      <c r="C9" s="118"/>
      <c r="E9" s="174"/>
      <c r="G9" s="174"/>
      <c r="H9" s="174"/>
      <c r="I9" s="174"/>
      <c r="K9" s="174"/>
      <c r="M9" s="174"/>
      <c r="N9" s="174"/>
      <c r="O9" s="118"/>
      <c r="P9" s="174"/>
      <c r="Q9" s="118"/>
      <c r="R9" s="174"/>
      <c r="S9" s="118"/>
      <c r="T9" s="174"/>
      <c r="U9" s="118"/>
      <c r="W9" s="174"/>
      <c r="X9" s="174"/>
      <c r="Y9" s="174"/>
      <c r="AA9" s="174"/>
      <c r="AC9" s="174"/>
      <c r="AE9" s="174"/>
      <c r="AG9" s="174"/>
      <c r="AL9" s="174"/>
    </row>
    <row r="10" spans="1:43" hidden="1" x14ac:dyDescent="0.2">
      <c r="A10" s="176" t="s">
        <v>7</v>
      </c>
      <c r="AN10"/>
    </row>
    <row r="11" spans="1:43" ht="12" hidden="1" customHeight="1" x14ac:dyDescent="0.2">
      <c r="A11" s="176"/>
      <c r="AN11"/>
      <c r="AP11"/>
    </row>
    <row r="12" spans="1:43" ht="13.5" hidden="1" x14ac:dyDescent="0.25">
      <c r="A12" s="177">
        <f>A4</f>
        <v>36847</v>
      </c>
      <c r="AN12"/>
    </row>
    <row r="13" spans="1:43" hidden="1" x14ac:dyDescent="0.2">
      <c r="A13" s="178" t="s">
        <v>8</v>
      </c>
      <c r="C13" s="450">
        <f>PriceAlberta!$R15</f>
        <v>0</v>
      </c>
      <c r="E13" s="179">
        <f>AlbertaIndex!$R15</f>
        <v>0</v>
      </c>
      <c r="G13" s="179">
        <f>IF(G18=0,0,G14/G18)</f>
        <v>0</v>
      </c>
      <c r="H13" s="249"/>
      <c r="I13" s="179">
        <f>PriceEOL!$R15</f>
        <v>0</v>
      </c>
      <c r="K13" s="179">
        <f>EOLIndex!$R15</f>
        <v>0</v>
      </c>
      <c r="M13" s="179">
        <f>IF(M18=0,0,M14/M18)</f>
        <v>0</v>
      </c>
      <c r="N13" s="249"/>
      <c r="O13" s="450">
        <f>'Price - East '!$R15</f>
        <v>0</v>
      </c>
      <c r="P13" s="249"/>
      <c r="Q13" s="450">
        <f>'Price - East '!$R15</f>
        <v>0</v>
      </c>
      <c r="R13" s="249"/>
      <c r="S13" s="450">
        <f>'Price - East '!$R15</f>
        <v>0</v>
      </c>
      <c r="T13" s="249"/>
      <c r="U13" s="450">
        <f>'Price - East '!$R15</f>
        <v>0</v>
      </c>
      <c r="W13" s="179">
        <f>OptionsIndex!$R15</f>
        <v>0</v>
      </c>
      <c r="X13" s="249"/>
      <c r="Y13" s="179">
        <f>Straddle!$R15</f>
        <v>0</v>
      </c>
      <c r="AA13" s="179" t="e">
        <f>IF(AA18=0,0,AA14/AA18)</f>
        <v>#REF!</v>
      </c>
      <c r="AC13" s="179" t="e">
        <f>IF(AC18=0,0,AC14/AC18)</f>
        <v>#REF!</v>
      </c>
      <c r="AD13"/>
      <c r="AE13" s="179">
        <f>'US $'!$R15</f>
        <v>0</v>
      </c>
      <c r="AG13" s="249"/>
      <c r="AL13" s="179" t="e">
        <f>IF(AL18=0,0,AL14/AL18)</f>
        <v>#REF!</v>
      </c>
      <c r="AN13" s="4"/>
    </row>
    <row r="14" spans="1:43" hidden="1" x14ac:dyDescent="0.2">
      <c r="A14" s="178" t="s">
        <v>9</v>
      </c>
      <c r="C14" s="180">
        <f>PriceAlberta!L16/100</f>
        <v>0</v>
      </c>
      <c r="E14" s="180">
        <f>AlbertaIndex!L16/100</f>
        <v>0</v>
      </c>
      <c r="G14" s="180">
        <f>+E14+C14</f>
        <v>0</v>
      </c>
      <c r="H14" s="444"/>
      <c r="I14" s="180">
        <f>+PriceEOL!$R16</f>
        <v>0</v>
      </c>
      <c r="K14" s="180">
        <f>+EOLIndex!$R16</f>
        <v>0</v>
      </c>
      <c r="M14" s="180">
        <f>+K14+I14</f>
        <v>0</v>
      </c>
      <c r="N14" s="444"/>
      <c r="O14" s="180">
        <f>'Price - East '!H16/100</f>
        <v>0</v>
      </c>
      <c r="P14" s="444"/>
      <c r="Q14" s="180">
        <f>'Price - East '!J16/100</f>
        <v>0</v>
      </c>
      <c r="R14" s="444"/>
      <c r="S14" s="180">
        <f>'Price - East '!L16/100</f>
        <v>0</v>
      </c>
      <c r="T14" s="444"/>
      <c r="U14" s="180">
        <f>'Price - East '!N16/100</f>
        <v>0</v>
      </c>
      <c r="W14" s="180">
        <f>+OptionsIndex!$R16</f>
        <v>0</v>
      </c>
      <c r="X14" s="444"/>
      <c r="Y14" s="180">
        <f>+Straddle!$R16</f>
        <v>0</v>
      </c>
      <c r="AA14" s="180" t="e">
        <f>+Y14+#REF!</f>
        <v>#REF!</v>
      </c>
      <c r="AC14" s="180" t="e">
        <f>+G14+M14+#REF!</f>
        <v>#REF!</v>
      </c>
      <c r="AD14"/>
      <c r="AE14" s="180">
        <f>+'US $'!$R16</f>
        <v>0</v>
      </c>
      <c r="AG14" s="444"/>
      <c r="AL14" s="180" t="e">
        <f>#REF!+E14+AE14+AG14+I14+K14+W14+Y14</f>
        <v>#REF!</v>
      </c>
      <c r="AN14" s="4"/>
    </row>
    <row r="15" spans="1:43" hidden="1" x14ac:dyDescent="0.2">
      <c r="A15" s="178" t="s">
        <v>10</v>
      </c>
      <c r="C15" s="180">
        <f>PriceAlberta!M16/100</f>
        <v>0</v>
      </c>
      <c r="E15" s="180">
        <f>AlbertaIndex!M16/100</f>
        <v>0</v>
      </c>
      <c r="G15" s="180">
        <f>+E15+C15</f>
        <v>0</v>
      </c>
      <c r="H15" s="444"/>
      <c r="I15" s="180"/>
      <c r="K15" s="180"/>
      <c r="M15" s="180">
        <f>+K15+I15</f>
        <v>0</v>
      </c>
      <c r="N15" s="444"/>
      <c r="O15" s="180">
        <f>'Price - East '!I16/100</f>
        <v>0</v>
      </c>
      <c r="P15" s="444"/>
      <c r="Q15" s="180" t="e">
        <f>'Price - East '!K16/100</f>
        <v>#VALUE!</v>
      </c>
      <c r="R15" s="444"/>
      <c r="S15" s="180">
        <f>'Price - East '!M16/100</f>
        <v>0</v>
      </c>
      <c r="T15" s="444"/>
      <c r="U15" s="180">
        <f>'Price - East '!O16/100</f>
        <v>0</v>
      </c>
      <c r="W15" s="180"/>
      <c r="X15" s="444"/>
      <c r="Y15" s="180"/>
      <c r="AA15" s="180" t="e">
        <f>+Y15+#REF!</f>
        <v>#REF!</v>
      </c>
      <c r="AC15" s="180" t="e">
        <f>+G15+M15+#REF!</f>
        <v>#REF!</v>
      </c>
      <c r="AE15" s="180"/>
      <c r="AG15" s="444"/>
      <c r="AL15" s="180"/>
      <c r="AN15" s="4"/>
    </row>
    <row r="16" spans="1:43" hidden="1" x14ac:dyDescent="0.2">
      <c r="A16" s="178" t="s">
        <v>11</v>
      </c>
      <c r="C16" s="180">
        <f>PriceAlberta!N16/1000</f>
        <v>0</v>
      </c>
      <c r="E16" s="180">
        <f>AlbertaIndex!N16/1000</f>
        <v>0</v>
      </c>
      <c r="G16" s="180">
        <f>+E16+C16</f>
        <v>0</v>
      </c>
      <c r="H16" s="444"/>
      <c r="I16" s="180"/>
      <c r="K16" s="180"/>
      <c r="M16" s="180">
        <f>+K16+I16</f>
        <v>0</v>
      </c>
      <c r="N16" s="444"/>
      <c r="O16" s="180">
        <f>'Price - East '!J16/1000</f>
        <v>0</v>
      </c>
      <c r="P16" s="444"/>
      <c r="Q16" s="180">
        <f>'Price - East '!L16/1000</f>
        <v>0</v>
      </c>
      <c r="R16" s="444"/>
      <c r="S16" s="180">
        <f>'Price - East '!N16/1000</f>
        <v>0</v>
      </c>
      <c r="T16" s="444"/>
      <c r="U16" s="180">
        <f>'Price - East '!P16/1000</f>
        <v>0</v>
      </c>
      <c r="W16" s="180"/>
      <c r="X16" s="444"/>
      <c r="Y16" s="180"/>
      <c r="AA16" s="180" t="e">
        <f>+Y16+#REF!</f>
        <v>#REF!</v>
      </c>
      <c r="AC16" s="180" t="e">
        <f>+G16+M16+#REF!</f>
        <v>#REF!</v>
      </c>
      <c r="AE16" s="180"/>
      <c r="AG16" s="444"/>
      <c r="AL16" s="180"/>
      <c r="AN16" s="4"/>
    </row>
    <row r="17" spans="1:43" hidden="1" x14ac:dyDescent="0.2">
      <c r="A17" s="178" t="s">
        <v>12</v>
      </c>
      <c r="C17" s="180">
        <f>PriceAlberta!O16/100</f>
        <v>0</v>
      </c>
      <c r="E17" s="180">
        <f>AlbertaIndex!O16/100</f>
        <v>0</v>
      </c>
      <c r="G17" s="180">
        <f>+E17+C17</f>
        <v>0</v>
      </c>
      <c r="H17" s="444"/>
      <c r="I17" s="180"/>
      <c r="K17" s="180"/>
      <c r="M17" s="180">
        <f>+K17+I17</f>
        <v>0</v>
      </c>
      <c r="N17" s="444"/>
      <c r="O17" s="180" t="e">
        <f>'Price - East '!K16/100</f>
        <v>#VALUE!</v>
      </c>
      <c r="P17" s="444"/>
      <c r="Q17" s="180">
        <f>'Price - East '!M16/100</f>
        <v>0</v>
      </c>
      <c r="R17" s="444"/>
      <c r="S17" s="180">
        <f>'Price - East '!O16/100</f>
        <v>0</v>
      </c>
      <c r="T17" s="444"/>
      <c r="U17" s="180">
        <f>'Price - East '!Q16/100</f>
        <v>0</v>
      </c>
      <c r="W17" s="180"/>
      <c r="X17" s="444"/>
      <c r="Y17" s="180"/>
      <c r="AA17" s="180" t="e">
        <f>+Y17+#REF!</f>
        <v>#REF!</v>
      </c>
      <c r="AC17" s="180" t="e">
        <f>+G17+M17+#REF!</f>
        <v>#REF!</v>
      </c>
      <c r="AE17" s="180"/>
      <c r="AG17" s="444"/>
      <c r="AL17" s="180"/>
      <c r="AN17" s="4"/>
      <c r="AQ17" s="43"/>
    </row>
    <row r="18" spans="1:43" hidden="1" x14ac:dyDescent="0.2">
      <c r="A18" s="272" t="s">
        <v>13</v>
      </c>
      <c r="B18" s="273"/>
      <c r="C18" s="451">
        <f>PriceAlberta!$R17</f>
        <v>0</v>
      </c>
      <c r="D18" s="273"/>
      <c r="E18" s="274">
        <f>AlbertaIndex!$R17</f>
        <v>0</v>
      </c>
      <c r="F18" s="273"/>
      <c r="G18" s="180">
        <f>+E18+C18</f>
        <v>0</v>
      </c>
      <c r="H18" s="445"/>
      <c r="I18" s="274">
        <f>PriceEOL!$R17</f>
        <v>0</v>
      </c>
      <c r="J18" s="273"/>
      <c r="K18" s="274">
        <f>EOLIndex!$R17</f>
        <v>0</v>
      </c>
      <c r="L18" s="273"/>
      <c r="M18" s="180">
        <f>+K18+I18</f>
        <v>0</v>
      </c>
      <c r="N18" s="445"/>
      <c r="O18" s="451">
        <f>'Price - East '!$R17</f>
        <v>0</v>
      </c>
      <c r="P18" s="445"/>
      <c r="Q18" s="451">
        <f>'Price - East '!$R17</f>
        <v>0</v>
      </c>
      <c r="R18" s="445"/>
      <c r="S18" s="451">
        <f>'Price - East '!$R17</f>
        <v>0</v>
      </c>
      <c r="T18" s="445"/>
      <c r="U18" s="451">
        <f>'Price - East '!$R17</f>
        <v>0</v>
      </c>
      <c r="V18" s="273"/>
      <c r="W18" s="274">
        <f>OptionsIndex!$R17</f>
        <v>0</v>
      </c>
      <c r="X18" s="444"/>
      <c r="Y18" s="180">
        <f>Straddle!$R17</f>
        <v>0</v>
      </c>
      <c r="Z18" s="273"/>
      <c r="AA18" s="274" t="e">
        <f>+Y18+#REF!</f>
        <v>#REF!</v>
      </c>
      <c r="AB18" s="273"/>
      <c r="AC18" s="180" t="e">
        <f>+G18+M18+#REF!</f>
        <v>#REF!</v>
      </c>
      <c r="AD18" s="273"/>
      <c r="AE18" s="274">
        <f>'US $'!$R17</f>
        <v>0</v>
      </c>
      <c r="AF18" s="273"/>
      <c r="AG18" s="445"/>
      <c r="AH18" s="273"/>
      <c r="AI18" s="273"/>
      <c r="AK18" s="273"/>
      <c r="AL18" s="275" t="e">
        <f>#REF!+E18+AE18+AG18+I18+K18+W18+Y18</f>
        <v>#REF!</v>
      </c>
      <c r="AN18" s="4"/>
      <c r="AQ18" s="43"/>
    </row>
    <row r="19" spans="1:43" ht="12.75" hidden="1" customHeight="1" x14ac:dyDescent="0.2">
      <c r="A19" s="181"/>
      <c r="C19" s="452"/>
      <c r="E19" s="182"/>
      <c r="G19" s="182"/>
      <c r="H19" s="182"/>
      <c r="I19" s="182"/>
      <c r="K19" s="182"/>
      <c r="M19" s="182"/>
      <c r="N19" s="446"/>
      <c r="O19" s="452"/>
      <c r="P19" s="446"/>
      <c r="Q19" s="452"/>
      <c r="R19" s="446"/>
      <c r="S19" s="452"/>
      <c r="T19" s="446"/>
      <c r="U19" s="452"/>
      <c r="W19" s="182"/>
      <c r="X19" s="182"/>
      <c r="Y19" s="182"/>
      <c r="AA19" s="182"/>
      <c r="AC19" s="182"/>
      <c r="AE19" s="182"/>
      <c r="AG19" s="446"/>
      <c r="AL19" s="182"/>
    </row>
    <row r="20" spans="1:43" hidden="1" x14ac:dyDescent="0.2">
      <c r="A20" s="181" t="s">
        <v>14</v>
      </c>
      <c r="C20" s="180">
        <f>PriceAlberta!$S14+PriceAlberta!$Y16</f>
        <v>0</v>
      </c>
      <c r="E20" s="183">
        <f>AlbertaIndex!$S14+AlbertaIndex!$Y16</f>
        <v>0</v>
      </c>
      <c r="G20" s="183">
        <f>+E20+C20</f>
        <v>0</v>
      </c>
      <c r="H20" s="446"/>
      <c r="I20" s="183">
        <f>PriceEOL!$S14+PriceEOL!$Y16</f>
        <v>0</v>
      </c>
      <c r="K20" s="183">
        <f>EOLIndex!$S14+EOLIndex!$Y16</f>
        <v>0</v>
      </c>
      <c r="M20" s="183">
        <f>+K20+I20</f>
        <v>0</v>
      </c>
      <c r="N20" s="446"/>
      <c r="O20" s="180">
        <f>'Price - East '!$S14+'Price - East '!$Y16</f>
        <v>0</v>
      </c>
      <c r="P20" s="446"/>
      <c r="Q20" s="180">
        <f>'Price - East '!$S14+'Price - East '!$Y16</f>
        <v>0</v>
      </c>
      <c r="R20" s="446"/>
      <c r="S20" s="180">
        <f>'Price - East '!$S14+'Price - East '!$Y16</f>
        <v>0</v>
      </c>
      <c r="T20" s="446"/>
      <c r="U20" s="180">
        <f>'Price - East '!$S14+'Price - East '!$Y16</f>
        <v>0</v>
      </c>
      <c r="W20" s="183">
        <f>OptionsIndex!$S14+OptionsIndex!$Y16</f>
        <v>0</v>
      </c>
      <c r="X20" s="446"/>
      <c r="Y20" s="183">
        <f>Straddle!$S14+Straddle!$Y16</f>
        <v>0</v>
      </c>
      <c r="AA20" s="183" t="e">
        <f>+Y20+#REF!</f>
        <v>#REF!</v>
      </c>
      <c r="AC20" s="180" t="e">
        <f>+G20+M20+#REF!</f>
        <v>#REF!</v>
      </c>
      <c r="AE20" s="183">
        <f>'US $'!$S14+'US $'!$Y16</f>
        <v>0</v>
      </c>
      <c r="AG20" s="446"/>
      <c r="AL20" s="180" t="e">
        <f>#REF!+E20+AE20+AG20+I20+K20+W20+Y20</f>
        <v>#REF!</v>
      </c>
      <c r="AQ20" s="43"/>
    </row>
    <row r="21" spans="1:43" hidden="1" x14ac:dyDescent="0.2">
      <c r="A21" s="181" t="s">
        <v>15</v>
      </c>
      <c r="C21" s="180">
        <f>PriceAlberta!$T14+PriceAlberta!$Y17</f>
        <v>0</v>
      </c>
      <c r="E21" s="183">
        <f>AlbertaIndex!$T14+AlbertaIndex!$Y17</f>
        <v>0</v>
      </c>
      <c r="G21" s="183">
        <f>+E21+C21</f>
        <v>0</v>
      </c>
      <c r="H21" s="446"/>
      <c r="I21" s="183">
        <f>PriceEOL!$T14+PriceEOL!$Y17</f>
        <v>0</v>
      </c>
      <c r="K21" s="183">
        <f>EOLIndex!$T14+EOLIndex!$Y17</f>
        <v>0</v>
      </c>
      <c r="M21" s="183">
        <f>+K21+I21</f>
        <v>0</v>
      </c>
      <c r="N21" s="446"/>
      <c r="O21" s="180">
        <f>'Price - East '!$T14+'Price - East '!$Y17</f>
        <v>0</v>
      </c>
      <c r="P21" s="446"/>
      <c r="Q21" s="180">
        <f>'Price - East '!$T14+'Price - East '!$Y17</f>
        <v>0</v>
      </c>
      <c r="R21" s="446"/>
      <c r="S21" s="180">
        <f>'Price - East '!$T14+'Price - East '!$Y17</f>
        <v>0</v>
      </c>
      <c r="T21" s="446"/>
      <c r="U21" s="180">
        <f>'Price - East '!$T14+'Price - East '!$Y17</f>
        <v>0</v>
      </c>
      <c r="W21" s="183">
        <f>OptionsIndex!$T14+OptionsIndex!$Y17</f>
        <v>0</v>
      </c>
      <c r="X21" s="446"/>
      <c r="Y21" s="183">
        <f>Straddle!$T14+Straddle!$Y17</f>
        <v>0</v>
      </c>
      <c r="AA21" s="183" t="e">
        <f>+Y21+#REF!</f>
        <v>#REF!</v>
      </c>
      <c r="AC21" s="180" t="e">
        <f>+G21+M21+#REF!</f>
        <v>#REF!</v>
      </c>
      <c r="AE21" s="183">
        <f>'US $'!$T14+'US $'!$Y17</f>
        <v>0</v>
      </c>
      <c r="AG21" s="446"/>
      <c r="AL21" s="180" t="e">
        <f>#REF!+E21+AE21+AG21+I21+K21+W21+Y21</f>
        <v>#REF!</v>
      </c>
    </row>
    <row r="22" spans="1:43" hidden="1" x14ac:dyDescent="0.2">
      <c r="A22" s="181" t="s">
        <v>16</v>
      </c>
      <c r="B22" s="192"/>
      <c r="C22" s="180">
        <f>SUM(C20:C21)</f>
        <v>0</v>
      </c>
      <c r="D22" s="192"/>
      <c r="E22" s="183">
        <f>SUM(E20:E21)</f>
        <v>0</v>
      </c>
      <c r="F22" s="192"/>
      <c r="G22" s="183">
        <f>+E22+C22</f>
        <v>0</v>
      </c>
      <c r="H22" s="446"/>
      <c r="I22" s="183">
        <f>SUM(I20:I21)</f>
        <v>0</v>
      </c>
      <c r="J22" s="192"/>
      <c r="K22" s="183">
        <f>SUM(K20:K21)</f>
        <v>0</v>
      </c>
      <c r="L22" s="192"/>
      <c r="M22" s="183">
        <f>+K22+I22</f>
        <v>0</v>
      </c>
      <c r="N22" s="446"/>
      <c r="O22" s="180">
        <f>SUM(O20:O21)</f>
        <v>0</v>
      </c>
      <c r="P22" s="446"/>
      <c r="Q22" s="180">
        <f>SUM(Q20:Q21)</f>
        <v>0</v>
      </c>
      <c r="R22" s="446"/>
      <c r="S22" s="180">
        <f>SUM(S20:S21)</f>
        <v>0</v>
      </c>
      <c r="T22" s="446"/>
      <c r="U22" s="180">
        <f>SUM(U20:U21)</f>
        <v>0</v>
      </c>
      <c r="V22" s="192"/>
      <c r="W22" s="183">
        <f>SUM(W20:W21)</f>
        <v>0</v>
      </c>
      <c r="X22" s="446"/>
      <c r="Y22" s="183">
        <f>SUM(Y20:Y21)</f>
        <v>0</v>
      </c>
      <c r="Z22" s="192"/>
      <c r="AA22" s="183" t="e">
        <f>+Y22+#REF!</f>
        <v>#REF!</v>
      </c>
      <c r="AB22" s="192"/>
      <c r="AC22" s="180" t="e">
        <f>+G22+M22+#REF!</f>
        <v>#REF!</v>
      </c>
      <c r="AD22" s="192"/>
      <c r="AE22" s="183">
        <f>SUM(AE20:AE21)</f>
        <v>0</v>
      </c>
      <c r="AF22" s="192"/>
      <c r="AG22" s="446"/>
      <c r="AH22" s="192"/>
      <c r="AI22" s="192"/>
      <c r="AK22" s="192"/>
      <c r="AL22" s="180" t="e">
        <f>#REF!+E22+AE22+AG22+I22+K22+W22+Y22</f>
        <v>#REF!</v>
      </c>
      <c r="AQ22" s="43"/>
    </row>
    <row r="23" spans="1:43" ht="6.75" hidden="1" customHeight="1" x14ac:dyDescent="0.2">
      <c r="C23" s="452"/>
      <c r="E23" s="182"/>
      <c r="G23" s="182"/>
      <c r="H23" s="182"/>
      <c r="I23" s="182"/>
      <c r="K23" s="182"/>
      <c r="M23" s="182"/>
      <c r="N23" s="446"/>
      <c r="O23" s="452"/>
      <c r="P23" s="446"/>
      <c r="Q23" s="452"/>
      <c r="R23" s="446"/>
      <c r="S23" s="452"/>
      <c r="T23" s="446"/>
      <c r="U23" s="452"/>
      <c r="W23" s="182"/>
      <c r="X23" s="182"/>
      <c r="Y23" s="182"/>
      <c r="AA23" s="182"/>
      <c r="AC23" s="182"/>
      <c r="AE23" s="182"/>
      <c r="AG23" s="446"/>
      <c r="AL23" s="182"/>
    </row>
    <row r="24" spans="1:43" ht="13.5" hidden="1" x14ac:dyDescent="0.25">
      <c r="A24" s="177"/>
    </row>
    <row r="25" spans="1:43" hidden="1" x14ac:dyDescent="0.2">
      <c r="A25" s="181" t="s">
        <v>14</v>
      </c>
      <c r="C25" s="180">
        <f>PriceAlberta!$S24+PriceAlberta!$Y16</f>
        <v>0</v>
      </c>
      <c r="E25" s="183">
        <f>AlbertaIndex!$S24+AlbertaIndex!$Y16</f>
        <v>0</v>
      </c>
      <c r="G25" s="183">
        <f>+E25+C25</f>
        <v>0</v>
      </c>
      <c r="H25" s="446"/>
      <c r="I25" s="183">
        <f>PriceEOL!$S24+PriceEOL!$Y16</f>
        <v>0</v>
      </c>
      <c r="K25" s="183">
        <f>EOLIndex!$S24+EOLIndex!$Y16</f>
        <v>0</v>
      </c>
      <c r="M25" s="183">
        <f>+K25+I25</f>
        <v>0</v>
      </c>
      <c r="N25" s="446"/>
      <c r="O25" s="180">
        <f>'Price - East '!$S24+'Price - East '!$Y16</f>
        <v>0</v>
      </c>
      <c r="P25" s="446"/>
      <c r="Q25" s="180">
        <f>'Price - East '!$S24+'Price - East '!$Y16</f>
        <v>0</v>
      </c>
      <c r="R25" s="446"/>
      <c r="S25" s="180">
        <f>'Price - East '!$S24+'Price - East '!$Y16</f>
        <v>0</v>
      </c>
      <c r="T25" s="446"/>
      <c r="U25" s="180">
        <f>'Price - East '!$S24+'Price - East '!$Y16</f>
        <v>0</v>
      </c>
      <c r="W25" s="183">
        <f>OptionsIndex!$S24+OptionsIndex!$Y16</f>
        <v>0</v>
      </c>
      <c r="X25" s="446"/>
      <c r="Y25" s="183">
        <f>Straddle!$S24+Straddle!$Y16</f>
        <v>0</v>
      </c>
      <c r="AA25" s="183" t="e">
        <f>+Y25+#REF!</f>
        <v>#REF!</v>
      </c>
      <c r="AC25" s="180" t="e">
        <f>+G25+M25+#REF!</f>
        <v>#REF!</v>
      </c>
      <c r="AD25" s="42" t="s">
        <v>17</v>
      </c>
      <c r="AE25" s="183">
        <f>'US $'!$S24+'US $'!$Y16</f>
        <v>0</v>
      </c>
      <c r="AG25" s="446"/>
      <c r="AL25" s="180" t="e">
        <f>#REF!+E25+AE25+AG25+I25+K25+W25+Y25</f>
        <v>#REF!</v>
      </c>
    </row>
    <row r="26" spans="1:43" hidden="1" x14ac:dyDescent="0.2">
      <c r="A26" s="181" t="s">
        <v>15</v>
      </c>
      <c r="C26" s="180">
        <f>PriceAlberta!$T24+PriceAlberta!$Y17</f>
        <v>0</v>
      </c>
      <c r="E26" s="183">
        <f>AlbertaIndex!$T24+AlbertaIndex!$Y17</f>
        <v>0</v>
      </c>
      <c r="G26" s="183">
        <f>+E26+C26</f>
        <v>0</v>
      </c>
      <c r="H26" s="446"/>
      <c r="I26" s="183">
        <f>PriceEOL!$T24+PriceEOL!$Y17</f>
        <v>0</v>
      </c>
      <c r="K26" s="183">
        <f>EOLIndex!$T24+EOLIndex!$Y17</f>
        <v>0</v>
      </c>
      <c r="M26" s="183">
        <f>+K26+I26</f>
        <v>0</v>
      </c>
      <c r="N26" s="446"/>
      <c r="O26" s="180">
        <f>'Price - East '!$T24+'Price - East '!$Y17</f>
        <v>0</v>
      </c>
      <c r="P26" s="446"/>
      <c r="Q26" s="180">
        <f>'Price - East '!$T24+'Price - East '!$Y17</f>
        <v>0</v>
      </c>
      <c r="R26" s="446"/>
      <c r="S26" s="180">
        <f>'Price - East '!$T24+'Price - East '!$Y17</f>
        <v>0</v>
      </c>
      <c r="T26" s="446"/>
      <c r="U26" s="180">
        <f>'Price - East '!$T24+'Price - East '!$Y17</f>
        <v>0</v>
      </c>
      <c r="W26" s="183">
        <f>OptionsIndex!$T24+OptionsIndex!$Y17</f>
        <v>0</v>
      </c>
      <c r="X26" s="446"/>
      <c r="Y26" s="183">
        <f>Straddle!$T24+Straddle!$Y17</f>
        <v>0</v>
      </c>
      <c r="AA26" s="183" t="e">
        <f>+Y26+#REF!</f>
        <v>#REF!</v>
      </c>
      <c r="AC26" s="180" t="e">
        <f>+G26+M26+#REF!</f>
        <v>#REF!</v>
      </c>
      <c r="AE26" s="183">
        <f>'US $'!$T24+'US $'!$Y17</f>
        <v>0</v>
      </c>
      <c r="AG26" s="446"/>
      <c r="AL26" s="180" t="e">
        <f>#REF!+E26+AE26+AG26+I26+K26+W26+Y26</f>
        <v>#REF!</v>
      </c>
    </row>
    <row r="27" spans="1:43" hidden="1" x14ac:dyDescent="0.2">
      <c r="A27" s="181" t="s">
        <v>16</v>
      </c>
      <c r="B27" s="192"/>
      <c r="C27" s="180">
        <f>SUM(C25:C26)</f>
        <v>0</v>
      </c>
      <c r="D27" s="192"/>
      <c r="E27" s="183">
        <f>SUM(E25:E26)</f>
        <v>0</v>
      </c>
      <c r="F27" s="192"/>
      <c r="G27" s="183">
        <f>+E27+C27</f>
        <v>0</v>
      </c>
      <c r="H27" s="446"/>
      <c r="I27" s="183">
        <f>SUM(I25:I26)</f>
        <v>0</v>
      </c>
      <c r="J27" s="192"/>
      <c r="K27" s="183">
        <f>SUM(K25:K26)</f>
        <v>0</v>
      </c>
      <c r="L27" s="192"/>
      <c r="M27" s="183">
        <f>+K27+I27</f>
        <v>0</v>
      </c>
      <c r="N27" s="446"/>
      <c r="O27" s="180">
        <f>SUM(O25:O26)</f>
        <v>0</v>
      </c>
      <c r="P27" s="446"/>
      <c r="Q27" s="180">
        <f>SUM(Q25:Q26)</f>
        <v>0</v>
      </c>
      <c r="R27" s="446"/>
      <c r="S27" s="180">
        <f>SUM(S25:S26)</f>
        <v>0</v>
      </c>
      <c r="T27" s="446"/>
      <c r="U27" s="180">
        <f>SUM(U25:U26)</f>
        <v>0</v>
      </c>
      <c r="V27" s="192"/>
      <c r="W27" s="183">
        <f>SUM(W25:W26)</f>
        <v>0</v>
      </c>
      <c r="X27" s="446"/>
      <c r="Y27" s="183">
        <f>SUM(Y25:Y26)</f>
        <v>0</v>
      </c>
      <c r="Z27" s="192"/>
      <c r="AA27" s="183" t="e">
        <f>+Y27+#REF!</f>
        <v>#REF!</v>
      </c>
      <c r="AB27" s="192"/>
      <c r="AC27" s="180" t="e">
        <f>+G27+M27+#REF!</f>
        <v>#REF!</v>
      </c>
      <c r="AD27" s="192"/>
      <c r="AE27" s="183">
        <f>SUM(AE25:AE26)</f>
        <v>0</v>
      </c>
      <c r="AF27" s="192"/>
      <c r="AG27" s="446"/>
      <c r="AH27" s="192"/>
      <c r="AI27" s="192"/>
      <c r="AK27" s="192"/>
      <c r="AL27" s="180" t="e">
        <f>#REF!+E27+AE27+AG27+I27+K27+W27+Y27</f>
        <v>#REF!</v>
      </c>
    </row>
    <row r="28" spans="1:43" ht="7.5" hidden="1" customHeight="1" x14ac:dyDescent="0.2">
      <c r="B28" s="192"/>
      <c r="D28" s="192"/>
      <c r="F28" s="192"/>
      <c r="J28" s="192"/>
      <c r="L28" s="192"/>
      <c r="V28" s="192"/>
      <c r="Z28" s="192"/>
      <c r="AB28" s="192"/>
      <c r="AD28" s="192"/>
      <c r="AF28" s="192"/>
      <c r="AH28" s="192"/>
      <c r="AI28" s="192"/>
      <c r="AK28" s="192"/>
    </row>
    <row r="29" spans="1:43" hidden="1" x14ac:dyDescent="0.2">
      <c r="A29" s="185"/>
      <c r="B29" s="192"/>
      <c r="C29" s="180">
        <f>-C27+C22</f>
        <v>0</v>
      </c>
      <c r="D29" s="192"/>
      <c r="E29" s="183">
        <f>-E27+E22</f>
        <v>0</v>
      </c>
      <c r="F29" s="192"/>
      <c r="G29" s="183">
        <f>E29+A29</f>
        <v>0</v>
      </c>
      <c r="H29" s="446"/>
      <c r="I29" s="183">
        <f>-I27+I22</f>
        <v>0</v>
      </c>
      <c r="J29" s="192"/>
      <c r="K29" s="183">
        <f>-K27+K22</f>
        <v>0</v>
      </c>
      <c r="L29" s="192"/>
      <c r="M29" s="183">
        <f>K29+G29</f>
        <v>0</v>
      </c>
      <c r="N29" s="446"/>
      <c r="O29" s="180">
        <f>-O27+O22</f>
        <v>0</v>
      </c>
      <c r="P29" s="446"/>
      <c r="Q29" s="180">
        <f>-Q27+Q22</f>
        <v>0</v>
      </c>
      <c r="R29" s="446"/>
      <c r="S29" s="180">
        <f>-S27+S22</f>
        <v>0</v>
      </c>
      <c r="T29" s="446"/>
      <c r="U29" s="180">
        <f>-U27+U22</f>
        <v>0</v>
      </c>
      <c r="V29" s="192"/>
      <c r="W29" s="183">
        <f>-W27+W22</f>
        <v>0</v>
      </c>
      <c r="X29" s="446"/>
      <c r="Y29" s="183">
        <f>-Y27+Y22</f>
        <v>0</v>
      </c>
      <c r="Z29" s="192"/>
      <c r="AA29" s="183" t="e">
        <f>Y29+#REF!</f>
        <v>#REF!</v>
      </c>
      <c r="AB29" s="192"/>
      <c r="AC29" s="180" t="e">
        <f>+G29+M29+#REF!</f>
        <v>#REF!</v>
      </c>
      <c r="AD29" s="192"/>
      <c r="AE29" s="183">
        <f>-AE27+AE22</f>
        <v>0</v>
      </c>
      <c r="AF29" s="192"/>
      <c r="AG29" s="446"/>
      <c r="AH29" s="192"/>
      <c r="AI29" s="192"/>
      <c r="AK29" s="192"/>
      <c r="AL29" s="180" t="e">
        <f>#REF!+E29+AE29+AG29+I29+K29+W29+Y29</f>
        <v>#REF!</v>
      </c>
    </row>
    <row r="30" spans="1:43" ht="7.5" hidden="1" customHeight="1" x14ac:dyDescent="0.2">
      <c r="B30" s="192"/>
      <c r="D30" s="192"/>
      <c r="F30" s="192"/>
      <c r="J30" s="192"/>
      <c r="L30" s="192"/>
      <c r="V30" s="192"/>
      <c r="Z30" s="192"/>
      <c r="AB30" s="192"/>
      <c r="AD30" s="192"/>
      <c r="AF30" s="192"/>
      <c r="AH30" s="192"/>
      <c r="AI30" s="192"/>
      <c r="AK30" s="192"/>
    </row>
    <row r="31" spans="1:43" hidden="1" x14ac:dyDescent="0.2">
      <c r="A31" s="186" t="s">
        <v>18</v>
      </c>
      <c r="B31" s="192"/>
      <c r="D31" s="192"/>
      <c r="F31" s="192"/>
      <c r="J31" s="192"/>
      <c r="L31" s="192"/>
      <c r="V31" s="192"/>
      <c r="Z31" s="192"/>
      <c r="AB31" s="192"/>
      <c r="AD31" s="192"/>
      <c r="AF31" s="192"/>
      <c r="AH31" s="192"/>
      <c r="AI31" s="192"/>
      <c r="AK31" s="192"/>
    </row>
    <row r="32" spans="1:43" x14ac:dyDescent="0.2">
      <c r="B32" s="192"/>
      <c r="D32" s="192"/>
      <c r="F32" s="192"/>
      <c r="J32" s="192"/>
      <c r="L32" s="192"/>
      <c r="V32" s="192"/>
      <c r="Z32" s="192"/>
      <c r="AB32" s="192"/>
      <c r="AD32" s="192"/>
      <c r="AF32" s="192"/>
      <c r="AH32" s="192"/>
      <c r="AI32" s="192"/>
      <c r="AK32" s="192"/>
    </row>
    <row r="33" spans="1:42" ht="13.5" x14ac:dyDescent="0.25">
      <c r="A33" s="347" t="s">
        <v>19</v>
      </c>
      <c r="B33" s="192"/>
      <c r="C33" s="452"/>
      <c r="D33" s="192"/>
      <c r="E33" s="182"/>
      <c r="F33" s="192"/>
      <c r="G33" s="182"/>
      <c r="H33" s="182"/>
      <c r="I33" s="182"/>
      <c r="J33" s="192"/>
      <c r="K33" s="182"/>
      <c r="L33" s="192"/>
      <c r="M33" s="182"/>
      <c r="N33" s="446"/>
      <c r="O33" s="452"/>
      <c r="P33" s="446"/>
      <c r="Q33" s="452"/>
      <c r="R33" s="446"/>
      <c r="S33" s="452"/>
      <c r="T33" s="446"/>
      <c r="U33" s="452"/>
      <c r="V33" s="192"/>
      <c r="W33" s="182"/>
      <c r="X33" s="182"/>
      <c r="Y33" s="182"/>
      <c r="Z33" s="192"/>
      <c r="AA33" s="182"/>
      <c r="AB33" s="192"/>
      <c r="AC33" s="182"/>
      <c r="AD33" s="192"/>
      <c r="AE33" s="182"/>
      <c r="AF33" s="192"/>
      <c r="AG33" s="446"/>
      <c r="AH33" s="192"/>
      <c r="AI33" s="192"/>
      <c r="AK33" s="192"/>
      <c r="AL33" s="182"/>
    </row>
    <row r="34" spans="1:42" x14ac:dyDescent="0.2">
      <c r="A34" s="181" t="s">
        <v>20</v>
      </c>
      <c r="B34" s="192"/>
      <c r="C34" s="453">
        <f>PriceAlberta!$M30/1</f>
        <v>189743238.366</v>
      </c>
      <c r="D34" s="192"/>
      <c r="E34" s="328">
        <f>AlbertaIndex!$M30/1</f>
        <v>23424055</v>
      </c>
      <c r="F34" s="192"/>
      <c r="G34" s="328">
        <f>(+E34+C34)</f>
        <v>213167293.366</v>
      </c>
      <c r="H34" s="327"/>
      <c r="I34" s="328">
        <f>PriceEOL!$M30/1</f>
        <v>582322</v>
      </c>
      <c r="J34" s="192"/>
      <c r="K34" s="328">
        <f>EOLIndex!$M30/1</f>
        <v>1426641</v>
      </c>
      <c r="L34" s="192"/>
      <c r="M34" s="328">
        <f>(+K34+I34)</f>
        <v>2008963</v>
      </c>
      <c r="N34" s="191"/>
      <c r="O34" s="453">
        <f>PriceBC!$M30/1</f>
        <v>-2182705</v>
      </c>
      <c r="P34" s="191"/>
      <c r="Q34" s="453">
        <f>BCIndex!$M30/1</f>
        <v>2373199</v>
      </c>
      <c r="R34" s="191"/>
      <c r="S34" s="453">
        <f>(+Q34+O34)</f>
        <v>190494</v>
      </c>
      <c r="T34" s="191"/>
      <c r="U34" s="453">
        <f>Options!$M30/1+OptionsProp!M30</f>
        <v>54722785</v>
      </c>
      <c r="V34" s="192"/>
      <c r="W34" s="328">
        <f>OptionsIndex!$M30/1</f>
        <v>-3331545</v>
      </c>
      <c r="X34" s="327"/>
      <c r="Y34" s="328">
        <f>Straddle!$M30/1</f>
        <v>1863146</v>
      </c>
      <c r="Z34" s="192"/>
      <c r="AA34" s="328">
        <f>(+U34+W34+Y34)</f>
        <v>53254386</v>
      </c>
      <c r="AB34" s="192"/>
      <c r="AC34" s="328">
        <f>M34+G34+AA34+S34</f>
        <v>268621136.366</v>
      </c>
      <c r="AD34" s="192"/>
      <c r="AE34" s="188">
        <f>'US $'!$M30/1</f>
        <v>172103528.8816835</v>
      </c>
      <c r="AF34" s="192"/>
      <c r="AG34" s="847"/>
      <c r="AH34" s="192"/>
      <c r="AI34" s="192"/>
      <c r="AK34" s="192"/>
      <c r="AL34" s="188" t="e">
        <f>#REF!+E34+AE34+AG34+I34+K34+W34+Y34</f>
        <v>#REF!</v>
      </c>
      <c r="AM34" s="258"/>
    </row>
    <row r="35" spans="1:42" x14ac:dyDescent="0.2">
      <c r="A35" s="181" t="s">
        <v>21</v>
      </c>
      <c r="B35" s="192"/>
      <c r="C35" s="453">
        <f>PriceAlberta!$M31/1</f>
        <v>0.67391316778957844</v>
      </c>
      <c r="D35" s="192"/>
      <c r="E35" s="328">
        <f>AlbertaIndex!$M31/1</f>
        <v>0</v>
      </c>
      <c r="F35" s="192"/>
      <c r="G35" s="328">
        <f>(+E35+C35)</f>
        <v>0.67391316778957844</v>
      </c>
      <c r="H35" s="327"/>
      <c r="I35" s="328">
        <f>PriceEOL!$M31/1</f>
        <v>0</v>
      </c>
      <c r="J35" s="192"/>
      <c r="K35" s="328">
        <f>EOLIndex!$M31/1</f>
        <v>0</v>
      </c>
      <c r="L35" s="192"/>
      <c r="M35" s="328">
        <f>(+K35+I35)</f>
        <v>0</v>
      </c>
      <c r="N35" s="191"/>
      <c r="O35" s="453">
        <f>PriceBC!$M31/1</f>
        <v>0</v>
      </c>
      <c r="P35" s="191"/>
      <c r="Q35" s="453">
        <f>BCIndex!$M31/1</f>
        <v>0</v>
      </c>
      <c r="R35" s="191"/>
      <c r="S35" s="453">
        <f>(+Q35+O35)</f>
        <v>0</v>
      </c>
      <c r="T35" s="191"/>
      <c r="U35" s="453">
        <f>Options!$M31/1+OptionsProp!$M31/1</f>
        <v>0</v>
      </c>
      <c r="V35" s="192"/>
      <c r="W35" s="328">
        <f>OptionsIndex!$M31/1</f>
        <v>0</v>
      </c>
      <c r="X35" s="327"/>
      <c r="Y35" s="328">
        <f>Straddle!$M31/1</f>
        <v>0</v>
      </c>
      <c r="Z35" s="192"/>
      <c r="AA35" s="328">
        <f>(+U35+W35+Y35)</f>
        <v>0</v>
      </c>
      <c r="AB35" s="192"/>
      <c r="AC35" s="328">
        <f>M35+G35+AA35+S35</f>
        <v>0.67391316778957844</v>
      </c>
      <c r="AD35" s="192"/>
      <c r="AE35" s="188">
        <f>'US $'!$M31/1</f>
        <v>-593557.86586225871</v>
      </c>
      <c r="AF35" s="192"/>
      <c r="AG35" s="191"/>
      <c r="AH35" s="192"/>
      <c r="AI35" s="192"/>
      <c r="AK35" s="192"/>
      <c r="AL35" s="188" t="e">
        <f>#REF!+E35+AE35+AG35+I35+K35+W35+Y35</f>
        <v>#REF!</v>
      </c>
      <c r="AM35" s="258"/>
    </row>
    <row r="36" spans="1:42" x14ac:dyDescent="0.2">
      <c r="A36" s="181" t="s">
        <v>22</v>
      </c>
      <c r="B36" s="192"/>
      <c r="C36" s="453">
        <f>PriceAlberta!$M32/1</f>
        <v>66473906.395000011</v>
      </c>
      <c r="D36" s="192"/>
      <c r="E36" s="328">
        <f>AlbertaIndex!$M32/1</f>
        <v>12227277</v>
      </c>
      <c r="F36" s="192"/>
      <c r="G36" s="328">
        <f>(+E36+C36)</f>
        <v>78701183.395000011</v>
      </c>
      <c r="H36" s="327"/>
      <c r="I36" s="328">
        <f>PriceEOL!$M32/1</f>
        <v>2431713</v>
      </c>
      <c r="J36" s="192"/>
      <c r="K36" s="328">
        <f>EOLIndex!$M32/1</f>
        <v>568776</v>
      </c>
      <c r="L36" s="192"/>
      <c r="M36" s="328">
        <f>(+K36+I36)</f>
        <v>3000489</v>
      </c>
      <c r="N36" s="191"/>
      <c r="O36" s="453">
        <f>PriceBC!$M32/1</f>
        <v>0</v>
      </c>
      <c r="P36" s="191"/>
      <c r="Q36" s="453">
        <f>BCIndex!$M32/1</f>
        <v>0</v>
      </c>
      <c r="R36" s="191"/>
      <c r="S36" s="453">
        <f>(+Q36+O36)</f>
        <v>0</v>
      </c>
      <c r="T36" s="191"/>
      <c r="U36" s="453">
        <f>Options!$M32/1+OptionsProp!$M32/1</f>
        <v>-61866677.539999992</v>
      </c>
      <c r="V36" s="192"/>
      <c r="W36" s="328">
        <f>OptionsIndex!$M32/1</f>
        <v>868008</v>
      </c>
      <c r="X36" s="327"/>
      <c r="Y36" s="328">
        <f>Straddle!$M32/1</f>
        <v>183786</v>
      </c>
      <c r="Z36" s="192"/>
      <c r="AA36" s="328">
        <f>(+U36+W36+Y36)</f>
        <v>-60814883.539999992</v>
      </c>
      <c r="AB36" s="192"/>
      <c r="AC36" s="328">
        <f>M36+G36+AA36+S36</f>
        <v>20886788.855000019</v>
      </c>
      <c r="AD36" s="192"/>
      <c r="AE36" s="188">
        <f>'US $'!$M32/1</f>
        <v>12126114.623452131</v>
      </c>
      <c r="AF36" s="192"/>
      <c r="AG36" s="191"/>
      <c r="AH36" s="192"/>
      <c r="AI36" s="192"/>
      <c r="AK36" s="192"/>
      <c r="AL36" s="188" t="e">
        <f>#REF!+E36+AE36+AG36+I36+K36+W36+Y36</f>
        <v>#REF!</v>
      </c>
      <c r="AM36" s="258"/>
    </row>
    <row r="37" spans="1:42" x14ac:dyDescent="0.2">
      <c r="A37" s="170" t="s">
        <v>359</v>
      </c>
      <c r="B37" s="192"/>
      <c r="C37" s="328">
        <f>SUM(C34:C36)</f>
        <v>256217145.43491319</v>
      </c>
      <c r="D37" s="192"/>
      <c r="E37" s="328">
        <f>SUM(E34:E36)</f>
        <v>35651332</v>
      </c>
      <c r="F37" s="192"/>
      <c r="G37" s="328">
        <f>SUM(G34:G36)</f>
        <v>291868477.43491316</v>
      </c>
      <c r="H37" s="327"/>
      <c r="I37" s="328">
        <f>SUM(I34:I36)</f>
        <v>3014035</v>
      </c>
      <c r="J37" s="192"/>
      <c r="K37" s="328">
        <f>SUM(K34:K36)</f>
        <v>1995417</v>
      </c>
      <c r="L37" s="192"/>
      <c r="M37" s="328">
        <f>SUM(M34:M36)</f>
        <v>5009452</v>
      </c>
      <c r="N37" s="191"/>
      <c r="O37" s="453">
        <f>SUM(O34:O36)</f>
        <v>-2182705</v>
      </c>
      <c r="P37" s="191"/>
      <c r="Q37" s="453">
        <f>SUM(Q34:Q36)</f>
        <v>2373199</v>
      </c>
      <c r="R37" s="191"/>
      <c r="S37" s="453">
        <f>SUM(S34:S36)</f>
        <v>190494</v>
      </c>
      <c r="T37" s="191"/>
      <c r="U37" s="453">
        <f>SUM(U34:U36)</f>
        <v>-7143892.5399999917</v>
      </c>
      <c r="V37" s="192"/>
      <c r="W37" s="328">
        <f>SUM(W34:W36)</f>
        <v>-2463537</v>
      </c>
      <c r="X37" s="327"/>
      <c r="Y37" s="328">
        <f>SUM(Y34:Y36)</f>
        <v>2046932</v>
      </c>
      <c r="Z37" s="192"/>
      <c r="AA37" s="328">
        <f>(+U37+W37+Y37)</f>
        <v>-7560497.5399999917</v>
      </c>
      <c r="AB37" s="192"/>
      <c r="AC37" s="328">
        <f>M37+G37+AA37+S37</f>
        <v>289507925.8949132</v>
      </c>
      <c r="AD37" s="192"/>
      <c r="AE37" s="188">
        <f>SUM(AE34:AE36)</f>
        <v>183636085.63927338</v>
      </c>
      <c r="AF37" s="192"/>
      <c r="AG37" s="191"/>
      <c r="AH37" s="192"/>
      <c r="AI37" s="192"/>
      <c r="AK37" s="192"/>
      <c r="AL37" s="188" t="e">
        <f>SUM(AL34:AL36)</f>
        <v>#REF!</v>
      </c>
      <c r="AM37" s="258"/>
    </row>
    <row r="38" spans="1:42" ht="9.75" customHeight="1" x14ac:dyDescent="0.2">
      <c r="B38" s="192"/>
      <c r="C38" s="404"/>
      <c r="D38" s="192"/>
      <c r="E38" s="189"/>
      <c r="F38" s="192"/>
      <c r="G38" s="189"/>
      <c r="H38" s="189"/>
      <c r="I38" s="189"/>
      <c r="J38" s="192"/>
      <c r="K38" s="189"/>
      <c r="L38" s="192"/>
      <c r="M38" s="189"/>
      <c r="N38" s="191"/>
      <c r="O38" s="404"/>
      <c r="P38" s="191"/>
      <c r="Q38" s="404"/>
      <c r="R38" s="191"/>
      <c r="S38" s="404"/>
      <c r="T38" s="191"/>
      <c r="U38" s="404"/>
      <c r="V38" s="192"/>
      <c r="W38" s="189"/>
      <c r="X38" s="189"/>
      <c r="Y38" s="189"/>
      <c r="Z38" s="192"/>
      <c r="AA38" s="189"/>
      <c r="AB38" s="192"/>
      <c r="AC38" s="189"/>
      <c r="AD38" s="192"/>
      <c r="AE38" s="189"/>
      <c r="AF38" s="192"/>
      <c r="AG38" s="191"/>
      <c r="AH38" s="192"/>
      <c r="AI38" s="192"/>
      <c r="AK38" s="192"/>
      <c r="AL38" s="189"/>
      <c r="AM38" s="258"/>
    </row>
    <row r="39" spans="1:42" ht="13.5" x14ac:dyDescent="0.25">
      <c r="A39" s="190">
        <f>A4</f>
        <v>36847</v>
      </c>
      <c r="B39" s="192"/>
      <c r="D39" s="192"/>
      <c r="F39" s="192"/>
      <c r="J39" s="192"/>
      <c r="L39" s="192"/>
      <c r="V39" s="192"/>
      <c r="Z39" s="192"/>
      <c r="AB39" s="192"/>
      <c r="AD39" s="192"/>
      <c r="AF39" s="192"/>
      <c r="AH39" s="192"/>
      <c r="AI39" s="192"/>
      <c r="AK39" s="192"/>
      <c r="AM39" s="258"/>
    </row>
    <row r="40" spans="1:42" x14ac:dyDescent="0.2">
      <c r="A40" s="181" t="s">
        <v>23</v>
      </c>
      <c r="B40" s="470">
        <f>(AC40-('Orig Sched'!Q181*1000))</f>
        <v>0.76045300019904971</v>
      </c>
      <c r="C40" s="453">
        <f>+PriceAlberta!$B60/1</f>
        <v>602987</v>
      </c>
      <c r="D40" s="332"/>
      <c r="E40" s="328">
        <f>+AlbertaIndex!$B60/1</f>
        <v>0</v>
      </c>
      <c r="F40" s="264"/>
      <c r="G40" s="453">
        <f>(+E40+C40)</f>
        <v>602987</v>
      </c>
      <c r="H40" s="327"/>
      <c r="I40" s="188">
        <f>+PriceEOL!$B60/1</f>
        <v>0</v>
      </c>
      <c r="J40" s="264"/>
      <c r="K40" s="188">
        <f>+EOLIndex!$B60/1</f>
        <v>0</v>
      </c>
      <c r="L40" s="264"/>
      <c r="M40" s="453">
        <f>(+K40+I40)</f>
        <v>0</v>
      </c>
      <c r="N40" s="191"/>
      <c r="O40" s="453">
        <f>+PriceBC!$B60/1</f>
        <v>0</v>
      </c>
      <c r="P40" s="191"/>
      <c r="Q40" s="453">
        <f>+BCIndex!$B60/1</f>
        <v>0</v>
      </c>
      <c r="R40" s="191"/>
      <c r="S40" s="453">
        <f>(+Q40+O40)</f>
        <v>0</v>
      </c>
      <c r="T40" s="191"/>
      <c r="U40" s="453">
        <f>+Options!$B60/1+OptionsProp!$B60/1</f>
        <v>54909</v>
      </c>
      <c r="V40" s="264"/>
      <c r="W40" s="188">
        <f>+OptionsIndex!$B60/1</f>
        <v>0</v>
      </c>
      <c r="X40" s="327"/>
      <c r="Y40" s="328">
        <f>+Straddle!$B60/1</f>
        <v>0</v>
      </c>
      <c r="Z40" s="264"/>
      <c r="AA40" s="328">
        <f>(+U40+W40+Y40)</f>
        <v>54909</v>
      </c>
      <c r="AB40" s="264"/>
      <c r="AC40" s="453">
        <f>M40+G40+AA40+S40</f>
        <v>657896</v>
      </c>
      <c r="AD40" s="264"/>
      <c r="AE40" s="188">
        <f>+'US $'!$B60/1</f>
        <v>427074.69069802971</v>
      </c>
      <c r="AF40" s="264"/>
      <c r="AG40" s="191"/>
      <c r="AH40" s="264"/>
      <c r="AI40" s="264"/>
      <c r="AK40" s="264" t="e">
        <f>(AL40-'Orig Sched'!O185)*0</f>
        <v>#REF!</v>
      </c>
      <c r="AL40" s="188" t="e">
        <f>#REF!+E40+AE40+AG40+I40+K40+W40+Y40</f>
        <v>#REF!</v>
      </c>
      <c r="AM40" s="258"/>
      <c r="AO40" s="264" t="s">
        <v>24</v>
      </c>
    </row>
    <row r="41" spans="1:42" x14ac:dyDescent="0.2">
      <c r="A41" s="181" t="s">
        <v>25</v>
      </c>
      <c r="B41" s="192"/>
      <c r="D41" s="192"/>
      <c r="F41" s="192"/>
      <c r="I41" s="189"/>
      <c r="J41" s="192"/>
      <c r="K41" s="189"/>
      <c r="L41" s="192"/>
      <c r="N41" s="191"/>
      <c r="P41" s="191"/>
      <c r="R41" s="191"/>
      <c r="T41" s="191"/>
      <c r="V41" s="192"/>
      <c r="W41" s="189"/>
      <c r="Z41" s="192"/>
      <c r="AA41" s="189"/>
      <c r="AB41" s="192"/>
      <c r="AD41" s="192"/>
      <c r="AE41" s="189"/>
      <c r="AF41" s="192"/>
      <c r="AG41" s="191"/>
      <c r="AH41" s="192"/>
      <c r="AI41" s="192"/>
      <c r="AK41" s="192"/>
      <c r="AL41" s="189"/>
      <c r="AM41" s="258"/>
      <c r="AO41" s="192" t="s">
        <v>355</v>
      </c>
      <c r="AP41" s="414">
        <f>+'Orig Sched'!Q16</f>
        <v>0</v>
      </c>
    </row>
    <row r="42" spans="1:42" s="41" customFormat="1" x14ac:dyDescent="0.2">
      <c r="A42" s="178" t="s">
        <v>26</v>
      </c>
      <c r="B42" s="402"/>
      <c r="C42" s="403">
        <f>PriceAlberta!B53</f>
        <v>814175</v>
      </c>
      <c r="D42" s="402"/>
      <c r="E42" s="403">
        <f>AlbertaIndex!B53</f>
        <v>-26234</v>
      </c>
      <c r="F42" s="402"/>
      <c r="G42" s="403">
        <f>(+E42+C42)</f>
        <v>787941</v>
      </c>
      <c r="H42" s="403"/>
      <c r="I42" s="403">
        <f>+PriceEOL!B53</f>
        <v>1550840</v>
      </c>
      <c r="J42" s="402"/>
      <c r="K42" s="403">
        <f>+EOLIndex!B53</f>
        <v>8211</v>
      </c>
      <c r="L42" s="402"/>
      <c r="M42" s="403">
        <f>(+K42+I42)</f>
        <v>1559051</v>
      </c>
      <c r="N42" s="454"/>
      <c r="O42" s="403">
        <f>PriceBC!B53</f>
        <v>223885</v>
      </c>
      <c r="P42" s="454"/>
      <c r="Q42" s="403">
        <f>BCIndex!B53</f>
        <v>138</v>
      </c>
      <c r="R42" s="454"/>
      <c r="S42" s="403">
        <f>(+Q42+O42)</f>
        <v>224023</v>
      </c>
      <c r="T42" s="454"/>
      <c r="U42" s="403">
        <f>Options!B53+OptionsProp!B53</f>
        <v>3047670</v>
      </c>
      <c r="V42" s="402"/>
      <c r="W42" s="403">
        <f>+OptionsIndex!B53</f>
        <v>48302</v>
      </c>
      <c r="X42" s="403"/>
      <c r="Y42" s="403">
        <f>+Straddle!B53</f>
        <v>155022</v>
      </c>
      <c r="Z42" s="402"/>
      <c r="AA42" s="403">
        <f>(+U42+W42+Y42)</f>
        <v>3250994</v>
      </c>
      <c r="AB42" s="402"/>
      <c r="AC42" s="403">
        <f t="shared" ref="AC42:AC51" si="0">M42+G42+AA42+S42</f>
        <v>5822009</v>
      </c>
      <c r="AD42" s="402"/>
      <c r="AE42" s="404">
        <f>'US $'!B53</f>
        <v>3779370.4368413021</v>
      </c>
      <c r="AF42" s="402"/>
      <c r="AG42" s="454"/>
      <c r="AH42" s="402"/>
      <c r="AI42" s="402"/>
      <c r="AK42" s="402"/>
      <c r="AL42" s="404"/>
      <c r="AM42" s="405"/>
      <c r="AO42" s="402"/>
      <c r="AP42" s="435">
        <f>+'Orig Sched'!Q12*1000</f>
        <v>10294.59</v>
      </c>
    </row>
    <row r="43" spans="1:42" x14ac:dyDescent="0.2">
      <c r="A43" s="181" t="s">
        <v>27</v>
      </c>
      <c r="B43" s="192"/>
      <c r="C43" s="403">
        <f>PriceAlberta!$B47</f>
        <v>3006870</v>
      </c>
      <c r="D43" s="192"/>
      <c r="E43" s="327">
        <f>AlbertaIndex!$B47</f>
        <v>0</v>
      </c>
      <c r="F43" s="192"/>
      <c r="G43" s="327">
        <f t="shared" ref="G43:G54" si="1">(+E43+C43)</f>
        <v>3006870</v>
      </c>
      <c r="H43" s="327"/>
      <c r="I43" s="327">
        <f>+PriceEOL!B47</f>
        <v>-1608325</v>
      </c>
      <c r="J43" s="192"/>
      <c r="K43" s="327">
        <f>EOLIndex!$B47</f>
        <v>0</v>
      </c>
      <c r="L43" s="192"/>
      <c r="M43" s="327">
        <f>(+K43+I43)</f>
        <v>-1608325</v>
      </c>
      <c r="N43" s="191"/>
      <c r="O43" s="403">
        <f>PriceBC!$B47</f>
        <v>-3144036</v>
      </c>
      <c r="P43" s="191"/>
      <c r="Q43" s="403">
        <f>BCIndex!$B47</f>
        <v>0</v>
      </c>
      <c r="R43" s="191"/>
      <c r="S43" s="403">
        <f>(+Q43+O43)</f>
        <v>-3144036</v>
      </c>
      <c r="T43" s="191"/>
      <c r="U43" s="403">
        <f>Options!$B47+OptionsProp!$B47</f>
        <v>8841033</v>
      </c>
      <c r="V43" s="192"/>
      <c r="W43" s="327">
        <f>OptionsIndex!$B47</f>
        <v>0</v>
      </c>
      <c r="X43" s="327"/>
      <c r="Y43" s="327">
        <f>(Straddle!$B47)</f>
        <v>-1848924</v>
      </c>
      <c r="Z43" s="192"/>
      <c r="AA43" s="403">
        <f t="shared" ref="AA43:AA51" si="2">(+U43+W43+Y43)</f>
        <v>6992109</v>
      </c>
      <c r="AB43" s="192"/>
      <c r="AC43" s="327">
        <f t="shared" si="0"/>
        <v>5246618</v>
      </c>
      <c r="AD43" s="192"/>
      <c r="AE43" s="191">
        <f>'US $'!$B47</f>
        <v>3405854.0552925011</v>
      </c>
      <c r="AF43" s="192"/>
      <c r="AG43" s="191"/>
      <c r="AH43" s="192"/>
      <c r="AI43" s="192"/>
      <c r="AK43" s="192"/>
      <c r="AL43" s="191" t="e">
        <f>#REF!+E43+AE43+AG43+I43+K43+W43+Y43</f>
        <v>#REF!</v>
      </c>
      <c r="AM43" s="258"/>
      <c r="AO43" s="414"/>
      <c r="AP43" s="414">
        <f>SUM(AP41:AP42)</f>
        <v>10294.59</v>
      </c>
    </row>
    <row r="44" spans="1:42" x14ac:dyDescent="0.2">
      <c r="A44" s="181" t="s">
        <v>28</v>
      </c>
      <c r="B44" s="192"/>
      <c r="C44" s="403">
        <f>PriceAlberta!$B48</f>
        <v>-11829833</v>
      </c>
      <c r="D44" s="192"/>
      <c r="E44" s="327">
        <f>AlbertaIndex!$B48</f>
        <v>0</v>
      </c>
      <c r="F44" s="192"/>
      <c r="G44" s="327">
        <f>(+E44+C44)</f>
        <v>-11829833</v>
      </c>
      <c r="H44" s="327"/>
      <c r="I44" s="327">
        <f>+PriceEOL!B48</f>
        <v>-249238</v>
      </c>
      <c r="J44" s="192"/>
      <c r="K44" s="327">
        <f>(EOLIndex!$B48)/1</f>
        <v>0</v>
      </c>
      <c r="L44" s="192"/>
      <c r="M44" s="327">
        <f>(+K44+I44)</f>
        <v>-249238</v>
      </c>
      <c r="N44" s="191"/>
      <c r="O44" s="403">
        <f>PriceBC!$B48</f>
        <v>-4703036</v>
      </c>
      <c r="P44" s="191"/>
      <c r="Q44" s="403">
        <f>BCIndex!$B48</f>
        <v>0</v>
      </c>
      <c r="R44" s="191"/>
      <c r="S44" s="403">
        <f>(+Q44+O44)</f>
        <v>-4703036</v>
      </c>
      <c r="T44" s="191"/>
      <c r="U44" s="403">
        <f>Options!$B48+OptionsProp!$B48</f>
        <v>2128328</v>
      </c>
      <c r="V44" s="192"/>
      <c r="W44" s="327">
        <f>OptionsIndex!$B48</f>
        <v>0</v>
      </c>
      <c r="X44" s="327"/>
      <c r="Y44" s="327">
        <f>(Straddle!$B48)</f>
        <v>1927657</v>
      </c>
      <c r="Z44" s="192"/>
      <c r="AA44" s="403">
        <f t="shared" si="2"/>
        <v>4055985</v>
      </c>
      <c r="AB44" s="192"/>
      <c r="AC44" s="327">
        <f t="shared" si="0"/>
        <v>-12726122</v>
      </c>
      <c r="AD44" s="192"/>
      <c r="AE44" s="191">
        <f>'US $'!$B48</f>
        <v>-8261191.1562547749</v>
      </c>
      <c r="AF44" s="192"/>
      <c r="AG44" s="191"/>
      <c r="AH44" s="192"/>
      <c r="AI44" s="192"/>
      <c r="AK44" s="192"/>
      <c r="AL44" s="191" t="e">
        <f>#REF!+E44+AE44+AG44+I44+K44+W44+Y44</f>
        <v>#REF!</v>
      </c>
      <c r="AM44" s="258"/>
    </row>
    <row r="45" spans="1:42" x14ac:dyDescent="0.2">
      <c r="A45" s="181" t="s">
        <v>29</v>
      </c>
      <c r="B45" s="192"/>
      <c r="C45" s="403">
        <f>PriceAlberta!$B49</f>
        <v>0</v>
      </c>
      <c r="D45" s="192"/>
      <c r="E45" s="327">
        <f>AlbertaIndex!$B49</f>
        <v>-5367</v>
      </c>
      <c r="F45" s="192"/>
      <c r="G45" s="327">
        <f t="shared" si="1"/>
        <v>-5367</v>
      </c>
      <c r="H45" s="327"/>
      <c r="I45" s="327">
        <f>+PriceEOL!B49</f>
        <v>0</v>
      </c>
      <c r="J45" s="192"/>
      <c r="K45" s="327">
        <f>EOLIndex!$B49/1</f>
        <v>-42580</v>
      </c>
      <c r="L45" s="192"/>
      <c r="M45" s="327">
        <f t="shared" ref="M45:M51" si="3">(+K45+I45)</f>
        <v>-42580</v>
      </c>
      <c r="N45" s="191"/>
      <c r="O45" s="403">
        <f>PriceBC!$B49</f>
        <v>0</v>
      </c>
      <c r="P45" s="191"/>
      <c r="Q45" s="403">
        <f>BCIndex!$B49</f>
        <v>0</v>
      </c>
      <c r="R45" s="191"/>
      <c r="S45" s="403">
        <f t="shared" ref="S45:S51" si="4">(+Q45+O45)</f>
        <v>0</v>
      </c>
      <c r="T45" s="191"/>
      <c r="U45" s="403">
        <f>Options!$B49+OptionsProp!$B49</f>
        <v>0</v>
      </c>
      <c r="V45" s="192"/>
      <c r="W45" s="327">
        <f>OptionsIndex!$B49/1</f>
        <v>-802</v>
      </c>
      <c r="X45" s="327"/>
      <c r="Y45" s="327">
        <f>Straddle!$B49/1</f>
        <v>0</v>
      </c>
      <c r="Z45" s="192"/>
      <c r="AA45" s="403">
        <f t="shared" si="2"/>
        <v>-802</v>
      </c>
      <c r="AB45" s="192"/>
      <c r="AC45" s="327">
        <f t="shared" si="0"/>
        <v>-48749</v>
      </c>
      <c r="AD45" s="192"/>
      <c r="AE45" s="191">
        <f>'US $'!$B49</f>
        <v>-31645.52466778678</v>
      </c>
      <c r="AF45" s="192"/>
      <c r="AG45" s="191"/>
      <c r="AH45" s="192"/>
      <c r="AI45" s="192"/>
      <c r="AK45" s="192"/>
      <c r="AL45" s="191" t="e">
        <f>#REF!+E45+AE45+AG45+I45+K45+W45+Y45</f>
        <v>#REF!</v>
      </c>
      <c r="AM45" s="258"/>
    </row>
    <row r="46" spans="1:42" x14ac:dyDescent="0.2">
      <c r="A46" s="181" t="s">
        <v>30</v>
      </c>
      <c r="B46" s="192"/>
      <c r="C46" s="403">
        <f>PriceAlberta!$B51+PriceAlberta!$B54</f>
        <v>-822689</v>
      </c>
      <c r="D46" s="192"/>
      <c r="E46" s="327">
        <f>AlbertaIndex!$B51+AlbertaIndex!$B54</f>
        <v>681116</v>
      </c>
      <c r="F46" s="192"/>
      <c r="G46" s="327">
        <f t="shared" si="1"/>
        <v>-141573</v>
      </c>
      <c r="H46" s="327"/>
      <c r="I46" s="327">
        <f>+PriceEOL!B51+PriceEOL!B54</f>
        <v>-205060</v>
      </c>
      <c r="J46" s="192"/>
      <c r="K46" s="327">
        <f>EOLIndex!$B51+EOLIndex!$B54</f>
        <v>0</v>
      </c>
      <c r="L46" s="192"/>
      <c r="M46" s="327">
        <f t="shared" si="3"/>
        <v>-205060</v>
      </c>
      <c r="N46" s="191"/>
      <c r="O46" s="403">
        <f>PriceBC!$B51+PriceBC!$B54</f>
        <v>-66338</v>
      </c>
      <c r="P46" s="191"/>
      <c r="Q46" s="403">
        <f>BCIndex!$B51+BCIndex!$B54</f>
        <v>58118</v>
      </c>
      <c r="R46" s="191"/>
      <c r="S46" s="403">
        <f t="shared" si="4"/>
        <v>-8220</v>
      </c>
      <c r="T46" s="191"/>
      <c r="U46" s="403">
        <f>Options!$B51+Options!$B54+OptionsProp!$B51+OptionsProp!$B54</f>
        <v>-9566430</v>
      </c>
      <c r="V46" s="192"/>
      <c r="W46" s="327">
        <f>OptionsIndex!$B51+OptionsIndex!$B54</f>
        <v>-12493</v>
      </c>
      <c r="X46" s="327"/>
      <c r="Y46" s="327">
        <f>+Straddle!B51+Straddle!B54</f>
        <v>97120</v>
      </c>
      <c r="Z46" s="192"/>
      <c r="AA46" s="403">
        <f t="shared" si="2"/>
        <v>-9481803</v>
      </c>
      <c r="AB46" s="192"/>
      <c r="AC46" s="327">
        <f t="shared" si="0"/>
        <v>-9836656</v>
      </c>
      <c r="AD46" s="192"/>
      <c r="AE46" s="191">
        <f>'US $'!$B51+'US $'!$B54</f>
        <v>-6385487.704292044</v>
      </c>
      <c r="AF46" s="192"/>
      <c r="AG46" s="191"/>
      <c r="AH46" s="192"/>
      <c r="AI46" s="192"/>
      <c r="AK46" s="192"/>
      <c r="AL46" s="191"/>
      <c r="AM46" s="258"/>
    </row>
    <row r="47" spans="1:42" x14ac:dyDescent="0.2">
      <c r="A47" s="181" t="s">
        <v>31</v>
      </c>
      <c r="B47" s="192"/>
      <c r="C47" s="403">
        <f>+PriceAlberta!$B55/1</f>
        <v>-5822</v>
      </c>
      <c r="D47" s="192"/>
      <c r="E47" s="327">
        <f>+AlbertaIndex!$B55/1</f>
        <v>0</v>
      </c>
      <c r="F47" s="192"/>
      <c r="G47" s="327">
        <f t="shared" si="1"/>
        <v>-5822</v>
      </c>
      <c r="H47" s="327"/>
      <c r="I47" s="327">
        <f>+PriceEOL!$B55/1</f>
        <v>0</v>
      </c>
      <c r="J47" s="192"/>
      <c r="K47" s="327">
        <f>+EOLIndex!$B55/1</f>
        <v>0</v>
      </c>
      <c r="L47" s="192"/>
      <c r="M47" s="327">
        <f t="shared" si="3"/>
        <v>0</v>
      </c>
      <c r="N47" s="191"/>
      <c r="O47" s="403">
        <f>+PriceBC!$B55/1</f>
        <v>19119</v>
      </c>
      <c r="P47" s="191"/>
      <c r="Q47" s="403">
        <f>+BCIndex!$B55/1</f>
        <v>0</v>
      </c>
      <c r="R47" s="191"/>
      <c r="S47" s="403">
        <f t="shared" si="4"/>
        <v>19119</v>
      </c>
      <c r="T47" s="191"/>
      <c r="U47" s="403">
        <f>+Options!$B55/1+OptionsProp!$B55/1</f>
        <v>1650174</v>
      </c>
      <c r="V47" s="192"/>
      <c r="W47" s="327">
        <f>+OptionsIndex!$B55/1</f>
        <v>0</v>
      </c>
      <c r="X47" s="327"/>
      <c r="Y47" s="327">
        <f>+Straddle!$B55/1</f>
        <v>0</v>
      </c>
      <c r="Z47" s="192"/>
      <c r="AA47" s="403">
        <f t="shared" si="2"/>
        <v>1650174</v>
      </c>
      <c r="AB47" s="192"/>
      <c r="AC47" s="327">
        <f t="shared" si="0"/>
        <v>1663471</v>
      </c>
      <c r="AD47" s="192"/>
      <c r="AE47" s="191">
        <f>+'US $'!$B55/1</f>
        <v>1079845.9981670997</v>
      </c>
      <c r="AF47" s="192"/>
      <c r="AG47" s="191"/>
      <c r="AH47" s="192"/>
      <c r="AI47" s="192"/>
      <c r="AK47" s="192"/>
      <c r="AL47" s="191" t="e">
        <f>#REF!+E47+AE47+AG47+I47+K47+W47+Y47</f>
        <v>#REF!</v>
      </c>
      <c r="AM47" s="258"/>
    </row>
    <row r="48" spans="1:42" x14ac:dyDescent="0.2">
      <c r="A48" s="181" t="s">
        <v>32</v>
      </c>
      <c r="B48" s="192"/>
      <c r="C48" s="403">
        <f>+PriceAlberta!$B56/1</f>
        <v>-42160</v>
      </c>
      <c r="D48" s="192"/>
      <c r="E48" s="327">
        <f>+AlbertaIndex!$B56/1</f>
        <v>0</v>
      </c>
      <c r="F48" s="192"/>
      <c r="G48" s="327">
        <f t="shared" si="1"/>
        <v>-42160</v>
      </c>
      <c r="H48" s="327"/>
      <c r="I48" s="327">
        <f>+PriceEOL!$B56/1</f>
        <v>0</v>
      </c>
      <c r="J48" s="192"/>
      <c r="K48" s="327">
        <f>+EOLIndex!$B56/1</f>
        <v>0</v>
      </c>
      <c r="L48" s="192"/>
      <c r="M48" s="327">
        <f t="shared" si="3"/>
        <v>0</v>
      </c>
      <c r="N48" s="191"/>
      <c r="O48" s="403">
        <f>+PriceBC!$B56/1</f>
        <v>0</v>
      </c>
      <c r="P48" s="191"/>
      <c r="Q48" s="403">
        <f>+BCIndex!$B56/1</f>
        <v>0</v>
      </c>
      <c r="R48" s="191"/>
      <c r="S48" s="403">
        <f t="shared" si="4"/>
        <v>0</v>
      </c>
      <c r="T48" s="191"/>
      <c r="U48" s="403">
        <f>+Options!$B56/1+OptionsProp!$B56/1</f>
        <v>-939697</v>
      </c>
      <c r="V48" s="192"/>
      <c r="W48" s="327">
        <f>+OptionsIndex!$B56/1</f>
        <v>0</v>
      </c>
      <c r="X48" s="327"/>
      <c r="Y48" s="327">
        <f>+Straddle!$B56/1</f>
        <v>0</v>
      </c>
      <c r="Z48" s="192"/>
      <c r="AA48" s="403">
        <f t="shared" si="2"/>
        <v>-939697</v>
      </c>
      <c r="AB48" s="192"/>
      <c r="AC48" s="327">
        <f t="shared" si="0"/>
        <v>-981857</v>
      </c>
      <c r="AD48" s="192"/>
      <c r="AE48" s="191">
        <f>+'US $'!$B56/1</f>
        <v>-637374.71360928682</v>
      </c>
      <c r="AF48" s="192"/>
      <c r="AG48" s="191"/>
      <c r="AH48" s="192"/>
      <c r="AI48" s="192"/>
      <c r="AK48" s="192"/>
      <c r="AL48" s="191" t="e">
        <f>#REF!+E48+AE48+AG48+I48+K48+W48+Y48</f>
        <v>#REF!</v>
      </c>
      <c r="AM48" s="258"/>
    </row>
    <row r="49" spans="1:43" x14ac:dyDescent="0.2">
      <c r="A49" s="181" t="s">
        <v>33</v>
      </c>
      <c r="B49" s="192"/>
      <c r="C49" s="403">
        <f>+PriceAlberta!$B57/1</f>
        <v>22364</v>
      </c>
      <c r="D49" s="192"/>
      <c r="E49" s="327">
        <f>+AlbertaIndex!$B57/1</f>
        <v>0</v>
      </c>
      <c r="F49" s="192"/>
      <c r="G49" s="327">
        <f t="shared" si="1"/>
        <v>22364</v>
      </c>
      <c r="H49" s="327"/>
      <c r="I49" s="327">
        <f>+PriceEOL!$B57/1</f>
        <v>0</v>
      </c>
      <c r="J49" s="192"/>
      <c r="K49" s="327">
        <f>+EOLIndex!$B57/1</f>
        <v>0</v>
      </c>
      <c r="L49" s="192"/>
      <c r="M49" s="327">
        <f t="shared" si="3"/>
        <v>0</v>
      </c>
      <c r="N49" s="191"/>
      <c r="O49" s="403">
        <f>+PriceBC!$B57/1</f>
        <v>0</v>
      </c>
      <c r="P49" s="191"/>
      <c r="Q49" s="403">
        <f>+BCIndex!$B57/1</f>
        <v>0</v>
      </c>
      <c r="R49" s="191"/>
      <c r="S49" s="403">
        <f t="shared" si="4"/>
        <v>0</v>
      </c>
      <c r="T49" s="191"/>
      <c r="U49" s="403">
        <f>+Options!$B57/1+OptionsProp!$B57/1</f>
        <v>1079050</v>
      </c>
      <c r="V49" s="192"/>
      <c r="W49" s="327">
        <f>+OptionsIndex!$B57/1</f>
        <v>0</v>
      </c>
      <c r="X49" s="327"/>
      <c r="Y49" s="327">
        <f>+Straddle!$B57/1</f>
        <v>0</v>
      </c>
      <c r="Z49" s="192"/>
      <c r="AA49" s="403">
        <f t="shared" si="2"/>
        <v>1079050</v>
      </c>
      <c r="AB49" s="192"/>
      <c r="AC49" s="327">
        <f t="shared" si="0"/>
        <v>1101414</v>
      </c>
      <c r="AD49" s="192"/>
      <c r="AE49" s="191">
        <f>+'US $'!$B57/1</f>
        <v>714985.4131663359</v>
      </c>
      <c r="AF49" s="192"/>
      <c r="AG49" s="191"/>
      <c r="AH49" s="192"/>
      <c r="AI49" s="192"/>
      <c r="AK49" s="192"/>
      <c r="AL49" s="191" t="e">
        <f>#REF!+E49+AE49+AG49+I49+K49+W49+Y49</f>
        <v>#REF!</v>
      </c>
      <c r="AM49" s="258"/>
    </row>
    <row r="50" spans="1:43" x14ac:dyDescent="0.2">
      <c r="A50" s="181" t="s">
        <v>34</v>
      </c>
      <c r="B50" s="192"/>
      <c r="C50" s="403">
        <v>0</v>
      </c>
      <c r="D50" s="192"/>
      <c r="E50" s="327">
        <v>0</v>
      </c>
      <c r="F50" s="192"/>
      <c r="G50" s="327">
        <f t="shared" si="1"/>
        <v>0</v>
      </c>
      <c r="H50" s="327"/>
      <c r="I50" s="327">
        <v>0</v>
      </c>
      <c r="J50" s="192"/>
      <c r="K50" s="327">
        <v>0</v>
      </c>
      <c r="L50" s="192"/>
      <c r="M50" s="327">
        <f t="shared" si="3"/>
        <v>0</v>
      </c>
      <c r="N50" s="191"/>
      <c r="O50" s="403">
        <v>0</v>
      </c>
      <c r="P50" s="191"/>
      <c r="Q50" s="403">
        <v>0</v>
      </c>
      <c r="R50" s="191"/>
      <c r="S50" s="403">
        <f t="shared" si="4"/>
        <v>0</v>
      </c>
      <c r="T50" s="191"/>
      <c r="U50" s="403">
        <v>0</v>
      </c>
      <c r="V50" s="192"/>
      <c r="W50" s="327">
        <v>0</v>
      </c>
      <c r="X50" s="327"/>
      <c r="Y50" s="327">
        <v>0</v>
      </c>
      <c r="Z50" s="192"/>
      <c r="AA50" s="403">
        <f t="shared" si="2"/>
        <v>0</v>
      </c>
      <c r="AB50" s="192"/>
      <c r="AC50" s="327">
        <f t="shared" si="0"/>
        <v>0</v>
      </c>
      <c r="AD50" s="192"/>
      <c r="AE50" s="191">
        <v>0</v>
      </c>
      <c r="AF50" s="192"/>
      <c r="AG50" s="191"/>
      <c r="AH50" s="192"/>
      <c r="AI50" s="192"/>
      <c r="AK50" s="192"/>
      <c r="AL50" s="191" t="e">
        <f>#REF!+E50+AE50+AG50+I50+K50+W50+Y50</f>
        <v>#REF!</v>
      </c>
      <c r="AM50" s="258"/>
    </row>
    <row r="51" spans="1:43" x14ac:dyDescent="0.2">
      <c r="A51" s="181" t="s">
        <v>35</v>
      </c>
      <c r="B51" s="333"/>
      <c r="C51" s="403">
        <f>PriceAlberta!$B67/1</f>
        <v>-65000</v>
      </c>
      <c r="D51" s="333"/>
      <c r="E51" s="327">
        <f>AlbertaIndex!$B67/1</f>
        <v>0</v>
      </c>
      <c r="F51" s="192"/>
      <c r="G51" s="327">
        <f t="shared" si="1"/>
        <v>-65000</v>
      </c>
      <c r="H51" s="327"/>
      <c r="I51" s="327">
        <f>PriceEOL!$B67/1</f>
        <v>0</v>
      </c>
      <c r="J51" s="192"/>
      <c r="K51" s="327">
        <f>EOLIndex!$B67/1</f>
        <v>0</v>
      </c>
      <c r="L51" s="192"/>
      <c r="M51" s="327">
        <f t="shared" si="3"/>
        <v>0</v>
      </c>
      <c r="N51" s="191"/>
      <c r="O51" s="403">
        <f>PriceBC!$B67/1</f>
        <v>0</v>
      </c>
      <c r="P51" s="191"/>
      <c r="Q51" s="403">
        <f>BCIndex!$B67/1</f>
        <v>0</v>
      </c>
      <c r="R51" s="191"/>
      <c r="S51" s="403">
        <f t="shared" si="4"/>
        <v>0</v>
      </c>
      <c r="T51" s="191"/>
      <c r="U51" s="403">
        <f>Options!$B67/1+OptionsProp!$B67/1</f>
        <v>0</v>
      </c>
      <c r="V51" s="192"/>
      <c r="W51" s="327">
        <f>OptionsIndex!$B67/1</f>
        <v>0</v>
      </c>
      <c r="X51" s="327"/>
      <c r="Y51" s="327">
        <f>Straddle!$B67/1</f>
        <v>0</v>
      </c>
      <c r="Z51" s="192"/>
      <c r="AA51" s="403">
        <f t="shared" si="2"/>
        <v>0</v>
      </c>
      <c r="AB51" s="192"/>
      <c r="AC51" s="327">
        <f t="shared" si="0"/>
        <v>-65000</v>
      </c>
      <c r="AD51" s="192"/>
      <c r="AE51" s="191">
        <f>'US $'!$B67/1</f>
        <v>-42194.898426760359</v>
      </c>
      <c r="AF51" s="192"/>
      <c r="AG51" s="191"/>
      <c r="AH51" s="192"/>
      <c r="AI51" s="192"/>
      <c r="AK51" s="192"/>
      <c r="AL51" s="191" t="e">
        <f>#REF!+E51+AE51+AG51+I51+K51+W51+Y51</f>
        <v>#REF!</v>
      </c>
      <c r="AM51" s="258"/>
    </row>
    <row r="52" spans="1:43" x14ac:dyDescent="0.2">
      <c r="A52" s="269" t="s">
        <v>36</v>
      </c>
      <c r="B52" s="270"/>
      <c r="C52" s="453">
        <f>SUM(C42:C51)</f>
        <v>-8922095</v>
      </c>
      <c r="D52" s="270"/>
      <c r="E52" s="328">
        <f>SUM(E42:E51)</f>
        <v>649515</v>
      </c>
      <c r="F52" s="270"/>
      <c r="G52" s="328">
        <f>SUM(G42:G51)</f>
        <v>-8272580</v>
      </c>
      <c r="H52" s="327"/>
      <c r="I52" s="328">
        <f>SUM(I42:I51)</f>
        <v>-511783</v>
      </c>
      <c r="J52" s="270"/>
      <c r="K52" s="328">
        <f>SUM(K42:K51)</f>
        <v>-34369</v>
      </c>
      <c r="L52" s="270"/>
      <c r="M52" s="328">
        <f>SUM(M42:M51)</f>
        <v>-546152</v>
      </c>
      <c r="N52" s="315"/>
      <c r="O52" s="453">
        <f>SUM(O42:O51)</f>
        <v>-7670406</v>
      </c>
      <c r="P52" s="315"/>
      <c r="Q52" s="453">
        <f>SUM(Q42:Q51)</f>
        <v>58256</v>
      </c>
      <c r="R52" s="315"/>
      <c r="S52" s="453">
        <f>SUM(S42:S51)</f>
        <v>-7612150</v>
      </c>
      <c r="T52" s="315"/>
      <c r="U52" s="453">
        <f>SUM(U42:U51)</f>
        <v>6240128</v>
      </c>
      <c r="V52" s="270"/>
      <c r="W52" s="328">
        <f>SUM(W42:W51)</f>
        <v>35007</v>
      </c>
      <c r="X52" s="327"/>
      <c r="Y52" s="328">
        <f>SUM(Y42:Y51)</f>
        <v>330875</v>
      </c>
      <c r="Z52" s="270"/>
      <c r="AA52" s="328">
        <f>SUM(AA42:AA51)</f>
        <v>6606010</v>
      </c>
      <c r="AB52" s="270"/>
      <c r="AC52" s="328">
        <f>SUM(AC42:AC51)</f>
        <v>-9824872</v>
      </c>
      <c r="AD52" s="270"/>
      <c r="AE52" s="364">
        <f>SUM(AE42:AE51)</f>
        <v>-6377838.0937834131</v>
      </c>
      <c r="AF52" s="270"/>
      <c r="AG52" s="315"/>
      <c r="AH52" s="270"/>
      <c r="AI52" s="270"/>
      <c r="AK52" s="270"/>
      <c r="AL52" s="271" t="e">
        <f>SUM(AL43:AL51)</f>
        <v>#REF!</v>
      </c>
      <c r="AM52" s="258"/>
    </row>
    <row r="53" spans="1:43" x14ac:dyDescent="0.2">
      <c r="A53" s="181" t="s">
        <v>37</v>
      </c>
      <c r="B53" s="192"/>
      <c r="C53" s="453">
        <f>+PriceAlberta!$B63/1</f>
        <v>0</v>
      </c>
      <c r="D53" s="192"/>
      <c r="E53" s="328">
        <f>+AlbertaIndex!$B63/1</f>
        <v>0</v>
      </c>
      <c r="F53" s="192"/>
      <c r="G53" s="328">
        <f t="shared" si="1"/>
        <v>0</v>
      </c>
      <c r="H53" s="327"/>
      <c r="I53" s="328">
        <f>+PriceEOL!$B63/1</f>
        <v>0</v>
      </c>
      <c r="J53" s="192"/>
      <c r="K53" s="328">
        <f>+EOLIndex!$B63/1</f>
        <v>0</v>
      </c>
      <c r="L53" s="192"/>
      <c r="M53" s="328">
        <f>(+K53+I53)</f>
        <v>0</v>
      </c>
      <c r="N53" s="191"/>
      <c r="O53" s="453">
        <f>+PriceBC!$B63/1</f>
        <v>0</v>
      </c>
      <c r="P53" s="191"/>
      <c r="Q53" s="453">
        <f>+BCIndex!$B63/1</f>
        <v>0</v>
      </c>
      <c r="R53" s="191"/>
      <c r="S53" s="453">
        <f>(+Q53+O53)</f>
        <v>0</v>
      </c>
      <c r="T53" s="191"/>
      <c r="U53" s="453">
        <f>+Options!$B63/1+OptionsProp!$B63/1</f>
        <v>0</v>
      </c>
      <c r="V53" s="192"/>
      <c r="W53" s="328">
        <f>+OptionsIndex!$B63/1</f>
        <v>0</v>
      </c>
      <c r="X53" s="327"/>
      <c r="Y53" s="328">
        <f>+Straddle!$B63/1</f>
        <v>0</v>
      </c>
      <c r="Z53" s="192"/>
      <c r="AA53" s="328">
        <f>(+U53+W53+Y53)</f>
        <v>0</v>
      </c>
      <c r="AB53" s="192"/>
      <c r="AC53" s="328">
        <f>M53+G53+AA53+S53</f>
        <v>0</v>
      </c>
      <c r="AD53" s="192"/>
      <c r="AE53" s="188">
        <f>+'US $'!$B63/1</f>
        <v>0</v>
      </c>
      <c r="AF53" s="192"/>
      <c r="AG53" s="191"/>
      <c r="AH53" s="192"/>
      <c r="AI53" s="192"/>
      <c r="AK53" s="192"/>
      <c r="AL53" s="188" t="e">
        <f>#REF!+E53+AE53+AG53+I53+K53+W53+Y53</f>
        <v>#REF!</v>
      </c>
      <c r="AM53" s="258"/>
      <c r="AO53" s="467" t="e">
        <f>+AC53/AE53</f>
        <v>#DIV/0!</v>
      </c>
    </row>
    <row r="54" spans="1:43" x14ac:dyDescent="0.2">
      <c r="A54" s="181" t="s">
        <v>38</v>
      </c>
      <c r="B54" s="192"/>
      <c r="C54" s="453">
        <f>(+PriceAlberta!$B62+PriceAlberta!$B70+PriceAlberta!$B66)/1</f>
        <v>30433</v>
      </c>
      <c r="D54" s="192"/>
      <c r="E54" s="328">
        <f>(+AlbertaIndex!$B62+AlbertaIndex!$B70+AlbertaIndex!$B66)/1</f>
        <v>194</v>
      </c>
      <c r="F54" s="192"/>
      <c r="G54" s="328">
        <f t="shared" si="1"/>
        <v>30627</v>
      </c>
      <c r="H54" s="327"/>
      <c r="I54" s="328">
        <f>(+PriceEOL!$B62+PriceEOL!$B70+PriceEOL!$B66)/1</f>
        <v>-4647</v>
      </c>
      <c r="J54" s="192"/>
      <c r="K54" s="328">
        <f>(+EOLIndex!$B62+EOLIndex!$B70+EOLIndex!$B66)/1</f>
        <v>-13</v>
      </c>
      <c r="L54" s="192"/>
      <c r="M54" s="328">
        <f>(+K54+I54)</f>
        <v>-4660</v>
      </c>
      <c r="N54" s="191"/>
      <c r="O54" s="453">
        <f>PriceBC!$B62+PriceBC!$B70+PriceBC!$B66/1</f>
        <v>112688</v>
      </c>
      <c r="P54" s="191"/>
      <c r="Q54" s="453">
        <f>BCIndex!$B62+BCIndex!$B70+BCIndex!$B66/1</f>
        <v>7</v>
      </c>
      <c r="R54" s="191"/>
      <c r="S54" s="453">
        <f>(+Q54+O54)</f>
        <v>112695</v>
      </c>
      <c r="T54" s="191"/>
      <c r="U54" s="453">
        <f>(+Options!$B62+Options!$B70+Options!$B66)/1+(+OptionsProp!$B62+OptionsProp!$B70+OptionsProp!$B66)/1</f>
        <v>-555582</v>
      </c>
      <c r="V54" s="192"/>
      <c r="W54" s="328">
        <f>(+OptionsIndex!$B62+OptionsIndex!$B70+OptionsIndex!$B66)/1</f>
        <v>-3</v>
      </c>
      <c r="X54" s="327"/>
      <c r="Y54" s="328">
        <f>(+Straddle!$B62+Straddle!$B70+Straddle!$B66)/1</f>
        <v>-2111</v>
      </c>
      <c r="Z54" s="192"/>
      <c r="AA54" s="328">
        <f>(+U54+W54+Y54)</f>
        <v>-557696</v>
      </c>
      <c r="AB54" s="192"/>
      <c r="AC54" s="328">
        <f>M54+G54+AA54+S54</f>
        <v>-419034</v>
      </c>
      <c r="AD54" s="192"/>
      <c r="AE54" s="188">
        <f>(+'US $'!$B62+'US $'!$B70+'US $'!$B66)/1</f>
        <v>-272016.87795937073</v>
      </c>
      <c r="AF54" s="192"/>
      <c r="AG54" s="191"/>
      <c r="AH54" s="192"/>
      <c r="AI54" s="192"/>
      <c r="AK54" s="192"/>
      <c r="AL54" s="188" t="e">
        <f>#REF!+E54+AE54+AG54+I54+K54+W54+Y54</f>
        <v>#REF!</v>
      </c>
      <c r="AM54" s="258"/>
    </row>
    <row r="55" spans="1:43" x14ac:dyDescent="0.2">
      <c r="A55" s="269" t="s">
        <v>39</v>
      </c>
      <c r="B55" s="270"/>
      <c r="C55" s="453">
        <f>C40+C52+C53+C54</f>
        <v>-8288675</v>
      </c>
      <c r="D55" s="270"/>
      <c r="E55" s="328">
        <f>E40+E52+E53+E54</f>
        <v>649709</v>
      </c>
      <c r="F55" s="270"/>
      <c r="G55" s="328">
        <f>G40+G52+G53+G54</f>
        <v>-7638966</v>
      </c>
      <c r="H55" s="327"/>
      <c r="I55" s="328">
        <f>I40+I52+I53+I54</f>
        <v>-516430</v>
      </c>
      <c r="J55" s="270"/>
      <c r="K55" s="328">
        <f>K40+K52+K53+K54</f>
        <v>-34382</v>
      </c>
      <c r="L55" s="270"/>
      <c r="M55" s="328">
        <f>M40+M52+M53+M54</f>
        <v>-550812</v>
      </c>
      <c r="N55" s="315"/>
      <c r="O55" s="453">
        <f>O40+O52+O53+O54</f>
        <v>-7557718</v>
      </c>
      <c r="P55" s="315"/>
      <c r="Q55" s="453">
        <f>Q40+Q52+Q53+Q54</f>
        <v>58263</v>
      </c>
      <c r="R55" s="315"/>
      <c r="S55" s="453">
        <f>S40+S52+S53+S54</f>
        <v>-7499455</v>
      </c>
      <c r="T55" s="315"/>
      <c r="U55" s="453">
        <f>U40+U52+U53+U54</f>
        <v>5739455</v>
      </c>
      <c r="V55" s="270"/>
      <c r="W55" s="328">
        <f>W40+W52+W53+W54</f>
        <v>35004</v>
      </c>
      <c r="X55" s="327"/>
      <c r="Y55" s="328">
        <f>Y40+Y52+Y53+Y54</f>
        <v>328764</v>
      </c>
      <c r="Z55" s="270"/>
      <c r="AA55" s="328">
        <f>AA40+AA52+AA53+AA54</f>
        <v>6103223</v>
      </c>
      <c r="AB55" s="270"/>
      <c r="AC55" s="328">
        <f>M55+G55+AA55+S55</f>
        <v>-9586010</v>
      </c>
      <c r="AD55" s="270"/>
      <c r="AE55" s="364">
        <f>AE40+AE52+AE53+AE54</f>
        <v>-6222780.2810447542</v>
      </c>
      <c r="AF55" s="413"/>
      <c r="AG55" s="315"/>
      <c r="AH55" s="270"/>
      <c r="AI55" s="270"/>
      <c r="AK55" s="270"/>
      <c r="AL55" s="271" t="e">
        <f>AL40+AL52+AL53+AL54</f>
        <v>#REF!</v>
      </c>
      <c r="AM55" s="258"/>
    </row>
    <row r="56" spans="1:43" x14ac:dyDescent="0.2">
      <c r="A56" s="269" t="s">
        <v>451</v>
      </c>
      <c r="B56" s="270"/>
      <c r="C56" s="454"/>
      <c r="D56" s="270"/>
      <c r="E56" s="191"/>
      <c r="F56" s="397"/>
      <c r="G56" s="573">
        <f>+G55-G40</f>
        <v>-8241953</v>
      </c>
      <c r="H56" s="191"/>
      <c r="I56" s="315"/>
      <c r="J56" s="270"/>
      <c r="K56" s="315"/>
      <c r="L56" s="397"/>
      <c r="M56" s="573">
        <f>+M55-M40</f>
        <v>-550812</v>
      </c>
      <c r="N56" s="315"/>
      <c r="O56" s="454"/>
      <c r="P56" s="315"/>
      <c r="Q56" s="454"/>
      <c r="R56" s="315"/>
      <c r="S56" s="454">
        <f>+S55-S40</f>
        <v>-7499455</v>
      </c>
      <c r="T56" s="315"/>
      <c r="U56" s="454"/>
      <c r="V56" s="270"/>
      <c r="W56" s="315"/>
      <c r="X56"/>
      <c r="Y56" s="573">
        <f>+Y55-Y40</f>
        <v>328764</v>
      </c>
      <c r="Z56" s="397"/>
      <c r="AA56" s="573">
        <f>+AA55-AA40</f>
        <v>6048314</v>
      </c>
      <c r="AB56" s="270"/>
      <c r="AC56" s="573">
        <f>AC55-AC40</f>
        <v>-10243906</v>
      </c>
      <c r="AD56" s="270"/>
      <c r="AE56" s="574">
        <f>+AE55-AE40</f>
        <v>-6649854.9717427837</v>
      </c>
      <c r="AF56" s="270"/>
      <c r="AG56" s="315"/>
      <c r="AH56" s="270"/>
      <c r="AI56" s="270"/>
      <c r="AK56" s="270"/>
      <c r="AL56" s="316"/>
      <c r="AM56" s="258"/>
    </row>
    <row r="57" spans="1:43" x14ac:dyDescent="0.2">
      <c r="A57" s="269" t="s">
        <v>40</v>
      </c>
      <c r="B57" s="270"/>
      <c r="C57" s="454"/>
      <c r="D57" s="270"/>
      <c r="E57" s="191"/>
      <c r="F57" s="397"/>
      <c r="G57"/>
      <c r="H57" s="191"/>
      <c r="I57" s="315"/>
      <c r="J57" s="270"/>
      <c r="K57" s="315"/>
      <c r="L57" s="397"/>
      <c r="M57"/>
      <c r="N57" s="315"/>
      <c r="O57" s="454"/>
      <c r="P57" s="315"/>
      <c r="Q57" s="454"/>
      <c r="R57" s="315"/>
      <c r="S57" s="454"/>
      <c r="T57" s="315"/>
      <c r="U57" s="454"/>
      <c r="V57" s="270"/>
      <c r="W57" s="315"/>
      <c r="X57"/>
      <c r="Y57"/>
      <c r="Z57" s="397"/>
      <c r="AA57" s="315"/>
      <c r="AB57" s="270"/>
      <c r="AC57"/>
      <c r="AD57" s="270"/>
      <c r="AE57" s="499">
        <f>(PriceBC!M30/SpotRates!D36)-(PriceBC!M30/SpotRates!J2)+(BCIndex!M30/SpotRates!D36)-(BCIndex!M30/SpotRates!J2)+(PriceAlberta!M30/SpotRates!D36)-(PriceAlberta!M30/SpotRates!J2)+(AlbertaIndex!M30/SpotRates!D36-AlbertaIndex!M30/SpotRates!J2)+(PriceEOL!M30/SpotRates!D36)-(PriceEOL!M30/SpotRates!J2)+(Options!M30/SpotRates!D36)-(Options!M30/SpotRates!J2)+(EOLIndex!M30/SpotRates!D36)-(EOLIndex!M30/SpotRates!J2)+(OptionsIndex!M30/SpotRates!D36)-(OptionsIndex!M30/SpotRates!J2)+(AC55/SpotRates!D36-Report!AC55/SpotRates!F36)+2419953-501619+121689+190368+529282+1087897+635274-36626-918354-209738-407157+594109+1149980+41444</f>
        <v>-3897475.1546439361</v>
      </c>
      <c r="AF57" s="270"/>
      <c r="AG57" s="315"/>
      <c r="AH57" s="270"/>
      <c r="AI57" s="270"/>
      <c r="AK57" s="270"/>
      <c r="AL57" s="316"/>
      <c r="AM57" s="258"/>
    </row>
    <row r="58" spans="1:43" x14ac:dyDescent="0.2">
      <c r="A58" s="269" t="s">
        <v>41</v>
      </c>
      <c r="B58" s="270"/>
      <c r="C58" s="454"/>
      <c r="D58" s="270"/>
      <c r="E58" s="191"/>
      <c r="F58" s="397"/>
      <c r="G58"/>
      <c r="H58" s="191"/>
      <c r="I58" s="315"/>
      <c r="J58" s="270"/>
      <c r="K58" s="315"/>
      <c r="L58" s="397"/>
      <c r="M58"/>
      <c r="N58" s="315"/>
      <c r="O58" s="454"/>
      <c r="P58" s="315"/>
      <c r="Q58" s="454"/>
      <c r="R58" s="315"/>
      <c r="S58" s="454"/>
      <c r="T58" s="315"/>
      <c r="U58" s="454"/>
      <c r="V58" s="270"/>
      <c r="W58" s="315"/>
      <c r="X58"/>
      <c r="Y58"/>
      <c r="Z58" s="397"/>
      <c r="AA58" s="315"/>
      <c r="AB58" s="270"/>
      <c r="AC58"/>
      <c r="AD58" s="270"/>
      <c r="AE58" s="364">
        <f>AE55+AE57</f>
        <v>-10120255.435688689</v>
      </c>
      <c r="AF58" s="270"/>
      <c r="AG58" s="315"/>
      <c r="AH58" s="270"/>
      <c r="AI58" s="270"/>
      <c r="AK58" s="270"/>
      <c r="AL58" s="316"/>
      <c r="AM58" s="258"/>
    </row>
    <row r="59" spans="1:43" ht="9" customHeight="1" x14ac:dyDescent="0.2">
      <c r="B59" s="192"/>
      <c r="C59" s="455"/>
      <c r="D59" s="192"/>
      <c r="E59" s="311"/>
      <c r="F59" s="192"/>
      <c r="G59"/>
      <c r="H59" s="311"/>
      <c r="I59" s="189"/>
      <c r="J59" s="192"/>
      <c r="K59" s="189"/>
      <c r="L59" s="192"/>
      <c r="M59"/>
      <c r="N59" s="191"/>
      <c r="O59" s="455"/>
      <c r="P59" s="191"/>
      <c r="Q59" s="455"/>
      <c r="R59" s="191"/>
      <c r="S59" s="455"/>
      <c r="T59" s="191"/>
      <c r="U59" s="455"/>
      <c r="V59" s="192"/>
      <c r="W59" s="189"/>
      <c r="X59"/>
      <c r="Y59"/>
      <c r="Z59" s="192"/>
      <c r="AA59" s="189"/>
      <c r="AB59" s="192"/>
      <c r="AC59"/>
      <c r="AD59" s="192"/>
      <c r="AE59" s="189"/>
      <c r="AF59" s="192"/>
      <c r="AG59" s="191"/>
      <c r="AH59" s="192"/>
      <c r="AI59" s="192"/>
      <c r="AK59" s="192"/>
      <c r="AL59" s="189"/>
      <c r="AM59" s="258"/>
      <c r="AN59"/>
      <c r="AP59" s="9"/>
      <c r="AQ59" s="9"/>
    </row>
    <row r="60" spans="1:43" ht="13.5" x14ac:dyDescent="0.25">
      <c r="A60" s="187">
        <f>A4</f>
        <v>36847</v>
      </c>
      <c r="C60" s="455"/>
      <c r="E60" s="311"/>
      <c r="G60" s="311"/>
      <c r="H60" s="311"/>
      <c r="M60" s="311"/>
      <c r="O60" s="455"/>
      <c r="Q60" s="455"/>
      <c r="S60" s="455"/>
      <c r="U60" s="455"/>
      <c r="X60" s="311"/>
      <c r="Y60" s="311"/>
      <c r="AC60" s="311"/>
      <c r="AM60" s="258"/>
    </row>
    <row r="61" spans="1:43" x14ac:dyDescent="0.2">
      <c r="A61" s="181" t="s">
        <v>42</v>
      </c>
      <c r="B61" s="192"/>
      <c r="C61" s="453">
        <f>+(PriceAlberta!$E19/1)</f>
        <v>182804071.60600001</v>
      </c>
      <c r="D61" s="192"/>
      <c r="E61" s="328">
        <f>+(AlbertaIndex!$E19/1)</f>
        <v>24189362</v>
      </c>
      <c r="F61" s="192"/>
      <c r="G61" s="328">
        <f>(+E61+C61)</f>
        <v>206993433.60600001</v>
      </c>
      <c r="H61" s="327"/>
      <c r="I61" s="328">
        <f>+(PriceEOL!$E19/1)</f>
        <v>339547</v>
      </c>
      <c r="J61" s="192"/>
      <c r="K61" s="328">
        <f>+(EOLIndex!$E19/1)</f>
        <v>1395374</v>
      </c>
      <c r="L61" s="192"/>
      <c r="M61" s="328">
        <f>(+K61+I61)</f>
        <v>1734921</v>
      </c>
      <c r="N61" s="191"/>
      <c r="O61" s="453">
        <f>+PriceBC!$E19/1</f>
        <v>-9748560</v>
      </c>
      <c r="P61" s="191"/>
      <c r="Q61" s="453">
        <f>+BCIndex!$E19/1</f>
        <v>2436701</v>
      </c>
      <c r="R61" s="191"/>
      <c r="S61" s="453">
        <f>(+Q61+O61)</f>
        <v>-7311859</v>
      </c>
      <c r="T61" s="191"/>
      <c r="U61" s="453">
        <f>+(Options!$E19/1)+(OptionsProp!$E19/1)</f>
        <v>60845293</v>
      </c>
      <c r="V61" s="192"/>
      <c r="W61" s="328">
        <f>+(OptionsIndex!$E19/1)</f>
        <v>-3304147</v>
      </c>
      <c r="X61" s="327"/>
      <c r="Y61" s="328">
        <f>+(Straddle!$E19/1)</f>
        <v>2191903</v>
      </c>
      <c r="Z61" s="192"/>
      <c r="AA61" s="328">
        <f>(+U61+W61+Y61)</f>
        <v>59733049</v>
      </c>
      <c r="AB61" s="192"/>
      <c r="AC61" s="328">
        <f>M61+G61+AA61+S61</f>
        <v>261149544.60600001</v>
      </c>
      <c r="AD61" s="192"/>
      <c r="AE61" s="498">
        <f>+('US $'!$E19/1)</f>
        <v>163215456.53223258</v>
      </c>
      <c r="AF61" s="192"/>
      <c r="AG61" s="191"/>
      <c r="AH61" s="192"/>
      <c r="AI61" s="192"/>
      <c r="AK61" s="192"/>
      <c r="AL61" s="188" t="e">
        <f>#REF!+E61+AE61+AG61+I61+K61+W61+Y61</f>
        <v>#REF!</v>
      </c>
      <c r="AM61" s="258"/>
    </row>
    <row r="62" spans="1:43" x14ac:dyDescent="0.2">
      <c r="A62" s="181" t="s">
        <v>43</v>
      </c>
      <c r="B62" s="192"/>
      <c r="C62" s="453">
        <f>(PriceAlberta!$B58+PriceAlberta!$B64)/1</f>
        <v>876492</v>
      </c>
      <c r="D62" s="192"/>
      <c r="E62" s="328">
        <f>(AlbertaIndex!$B58+AlbertaIndex!$B64)/1</f>
        <v>35911</v>
      </c>
      <c r="F62" s="192"/>
      <c r="G62" s="328">
        <f>(+E62+C62)</f>
        <v>912403</v>
      </c>
      <c r="H62" s="327"/>
      <c r="I62" s="328">
        <f>(PriceEOL!$B58+PriceEOL!B64)/1</f>
        <v>1867</v>
      </c>
      <c r="J62" s="192"/>
      <c r="K62" s="328">
        <f>(EOLIndex!$B58)/1+EOLIndex!B64</f>
        <v>-85</v>
      </c>
      <c r="L62" s="192"/>
      <c r="M62" s="328">
        <f>(+K62+I62)</f>
        <v>1782</v>
      </c>
      <c r="N62" s="191"/>
      <c r="O62" s="453">
        <f>(PriceBC!$B58+PriceBC!$B64)/1</f>
        <v>350</v>
      </c>
      <c r="P62" s="191"/>
      <c r="Q62" s="453">
        <f>BCIndex!$B58+BCIndex!$B64/1</f>
        <v>-60</v>
      </c>
      <c r="R62" s="191"/>
      <c r="S62" s="453">
        <f>(+Q62+O62)</f>
        <v>290</v>
      </c>
      <c r="T62" s="191"/>
      <c r="U62" s="453">
        <f>(Options!$B58+Options!$B64)/1+(OptionsProp!$B58+OptionsProp!$B64)/1</f>
        <v>-15397</v>
      </c>
      <c r="V62" s="192"/>
      <c r="W62" s="328">
        <f>(OptionsIndex!$B58)/1+OptionsIndex!B64</f>
        <v>154</v>
      </c>
      <c r="X62" s="327"/>
      <c r="Y62" s="328">
        <f>(Straddle!$B58)/1+Straddle!B64</f>
        <v>169</v>
      </c>
      <c r="Z62" s="192"/>
      <c r="AA62" s="328">
        <f>(+U62+W62+Y62)</f>
        <v>-15074</v>
      </c>
      <c r="AB62" s="192"/>
      <c r="AC62" s="328">
        <f>M62+G62+AA62+S62</f>
        <v>899401</v>
      </c>
      <c r="AD62" s="192"/>
      <c r="AE62" s="498">
        <f>('US $'!$B58+'US $'!$B64)/1</f>
        <v>583848.2129219491</v>
      </c>
      <c r="AF62" s="192"/>
      <c r="AG62" s="191"/>
      <c r="AH62" s="192"/>
      <c r="AI62" s="192"/>
      <c r="AK62" s="192"/>
      <c r="AL62" s="188" t="e">
        <f>#REF!+E62+AE62+AG62+I62+K62+W62+Y62</f>
        <v>#REF!</v>
      </c>
      <c r="AM62" s="258"/>
    </row>
    <row r="63" spans="1:43" x14ac:dyDescent="0.2">
      <c r="A63" s="181" t="s">
        <v>44</v>
      </c>
      <c r="B63" s="192"/>
      <c r="C63" s="453">
        <f>(PriceAlberta!$B59+PriceAlberta!$B65)/1</f>
        <v>678515</v>
      </c>
      <c r="D63" s="192"/>
      <c r="E63" s="328">
        <f>(AlbertaIndex!$B59+AlbertaIndex!$B65)/1</f>
        <v>79687</v>
      </c>
      <c r="F63" s="192"/>
      <c r="G63" s="328">
        <f>(+E63+C63)</f>
        <v>758202</v>
      </c>
      <c r="H63" s="327"/>
      <c r="I63" s="328">
        <f>(PriceEOL!$B59+PriceEOL!B65)/1</f>
        <v>-11352</v>
      </c>
      <c r="J63" s="192"/>
      <c r="K63" s="328">
        <f>(EOLIndex!$B59)/1+EOLIndex!B65</f>
        <v>3200</v>
      </c>
      <c r="L63" s="192"/>
      <c r="M63" s="328">
        <f>(+K63+I63)</f>
        <v>-8152</v>
      </c>
      <c r="N63" s="191"/>
      <c r="O63" s="453">
        <f>PriceBC!$B59+PriceBC!$B65/1</f>
        <v>-8487</v>
      </c>
      <c r="P63" s="191"/>
      <c r="Q63" s="453">
        <f>BCIndex!$B59+BCIndex!$B65/1</f>
        <v>5299</v>
      </c>
      <c r="R63" s="191"/>
      <c r="S63" s="453">
        <f>(+Q63+O63)</f>
        <v>-3188</v>
      </c>
      <c r="T63" s="191"/>
      <c r="U63" s="453">
        <f>(Options!$B59+Options!$B65)/1+(OptionsProp!$B59+OptionsProp!$B65)/1</f>
        <v>177456</v>
      </c>
      <c r="V63" s="192"/>
      <c r="W63" s="328">
        <f>(OptionsIndex!$B59)/1+OptionsIndex!B65</f>
        <v>-7760</v>
      </c>
      <c r="X63" s="327"/>
      <c r="Y63" s="328">
        <f>(Straddle!$B59)/1+Straddle!B65</f>
        <v>-176</v>
      </c>
      <c r="Z63" s="192"/>
      <c r="AA63" s="328">
        <f>(+U63+W63+Y63)</f>
        <v>169520</v>
      </c>
      <c r="AB63" s="192"/>
      <c r="AC63" s="328">
        <f>M63+G63+AA63+S63</f>
        <v>916382</v>
      </c>
      <c r="AD63" s="192"/>
      <c r="AE63" s="498">
        <f>('US $'!$B59+'US $'!$B65)/1</f>
        <v>594871.46784786938</v>
      </c>
      <c r="AF63" s="192"/>
      <c r="AG63" s="191"/>
      <c r="AH63" s="192"/>
      <c r="AI63" s="192"/>
      <c r="AK63" s="192"/>
      <c r="AL63" s="188" t="e">
        <f>#REF!+E63+AE63+AG63+I63+K63+W63+Y63</f>
        <v>#REF!</v>
      </c>
      <c r="AM63" s="258"/>
    </row>
    <row r="64" spans="1:43" ht="9.75" customHeight="1" x14ac:dyDescent="0.2">
      <c r="A64" s="181"/>
      <c r="B64" s="192"/>
      <c r="C64" s="455"/>
      <c r="D64" s="192"/>
      <c r="E64" s="311"/>
      <c r="F64" s="192"/>
      <c r="G64" s="311"/>
      <c r="H64" s="311"/>
      <c r="I64" s="311"/>
      <c r="J64" s="192"/>
      <c r="K64" s="311"/>
      <c r="L64" s="192"/>
      <c r="M64" s="311"/>
      <c r="N64" s="191"/>
      <c r="O64" s="455"/>
      <c r="P64" s="191"/>
      <c r="Q64" s="455"/>
      <c r="R64" s="191"/>
      <c r="S64" s="455"/>
      <c r="T64" s="191"/>
      <c r="U64" s="455"/>
      <c r="V64" s="192"/>
      <c r="W64" s="311"/>
      <c r="X64" s="311"/>
      <c r="Y64" s="311"/>
      <c r="Z64" s="192"/>
      <c r="AA64" s="311"/>
      <c r="AB64" s="192"/>
      <c r="AC64" s="311"/>
      <c r="AD64" s="192"/>
      <c r="AE64" s="454"/>
      <c r="AF64" s="192"/>
      <c r="AG64" s="191"/>
      <c r="AH64" s="192"/>
      <c r="AI64" s="192"/>
      <c r="AK64" s="192"/>
      <c r="AL64" s="191"/>
      <c r="AM64" s="258"/>
    </row>
    <row r="65" spans="1:46" x14ac:dyDescent="0.2">
      <c r="A65" s="181" t="s">
        <v>45</v>
      </c>
      <c r="B65" s="192"/>
      <c r="C65" s="453">
        <f>C61-SUM(C62:C63)</f>
        <v>181249064.60600001</v>
      </c>
      <c r="D65" s="192"/>
      <c r="E65" s="328">
        <f>E61-SUM(E62:E63)</f>
        <v>24073764</v>
      </c>
      <c r="F65" s="192"/>
      <c r="G65" s="328">
        <f>(+E65+C65)</f>
        <v>205322828.60600001</v>
      </c>
      <c r="H65" s="327"/>
      <c r="I65" s="328">
        <f>I61-SUM(I62:I63)</f>
        <v>349032</v>
      </c>
      <c r="J65" s="192"/>
      <c r="K65" s="328">
        <f>K61-SUM(K62:K63)</f>
        <v>1392259</v>
      </c>
      <c r="L65" s="192"/>
      <c r="M65" s="328">
        <f>(+K65+I65)</f>
        <v>1741291</v>
      </c>
      <c r="N65" s="191"/>
      <c r="O65" s="453">
        <f>O61-SUM(O62:O63)</f>
        <v>-9740423</v>
      </c>
      <c r="P65" s="191"/>
      <c r="Q65" s="453">
        <f>Q61-SUM(Q62:Q63)</f>
        <v>2431462</v>
      </c>
      <c r="R65" s="191"/>
      <c r="S65" s="453">
        <f>(+Q65+O65)</f>
        <v>-7308961</v>
      </c>
      <c r="T65" s="191"/>
      <c r="U65" s="453">
        <f>U61-SUM(U62:U63)</f>
        <v>60683234</v>
      </c>
      <c r="V65" s="192"/>
      <c r="W65" s="328">
        <f>W61-SUM(W62:W63)</f>
        <v>-3296541</v>
      </c>
      <c r="X65" s="327"/>
      <c r="Y65" s="328">
        <f>Y61-SUM(Y62:Y63)</f>
        <v>2191910</v>
      </c>
      <c r="Z65" s="192"/>
      <c r="AA65" s="328">
        <f>(+U65+W65+Y65)</f>
        <v>59578603</v>
      </c>
      <c r="AB65" s="192"/>
      <c r="AC65" s="328">
        <f>M65+G65+AA65+S65</f>
        <v>259333761.60600001</v>
      </c>
      <c r="AD65" s="192"/>
      <c r="AE65" s="498">
        <f>AE61-SUM(AE62:AE63)</f>
        <v>162036736.85146275</v>
      </c>
      <c r="AF65" s="192"/>
      <c r="AG65" s="191"/>
      <c r="AH65" s="192"/>
      <c r="AI65" s="192"/>
      <c r="AK65" s="192"/>
      <c r="AL65" s="188" t="e">
        <f>#REF!+E65+AE65+AG65+I65+K65+W65+Y65</f>
        <v>#REF!</v>
      </c>
      <c r="AM65" s="258"/>
    </row>
    <row r="66" spans="1:46" x14ac:dyDescent="0.2">
      <c r="A66" s="181" t="s">
        <v>46</v>
      </c>
      <c r="B66" s="333">
        <f>C35+C53-C66</f>
        <v>0</v>
      </c>
      <c r="C66" s="453">
        <f>+PriceAlberta!$E26/1</f>
        <v>0.67391316778957844</v>
      </c>
      <c r="D66" s="333"/>
      <c r="E66" s="328">
        <f>+AlbertaIndex!$E26/1</f>
        <v>0</v>
      </c>
      <c r="F66" s="333">
        <f>G35+G53-G66</f>
        <v>0</v>
      </c>
      <c r="G66" s="328">
        <f>(+E66+C66)</f>
        <v>0.67391316778957844</v>
      </c>
      <c r="H66" s="333">
        <f>I35+I53-I66</f>
        <v>0</v>
      </c>
      <c r="I66" s="328">
        <f>+PriceEOL!$E26/1</f>
        <v>0</v>
      </c>
      <c r="J66" s="333">
        <f>K35+K53-K66</f>
        <v>0</v>
      </c>
      <c r="K66" s="328">
        <f>+EOLIndex!$E26/1</f>
        <v>0</v>
      </c>
      <c r="L66" s="333">
        <f>M35+M53-M66</f>
        <v>0</v>
      </c>
      <c r="M66" s="328">
        <f>(+K66+I66)</f>
        <v>0</v>
      </c>
      <c r="N66" s="192">
        <f>O35+O53-O66</f>
        <v>0</v>
      </c>
      <c r="O66" s="453">
        <f>+[1]PriceBC!$E26/1</f>
        <v>0</v>
      </c>
      <c r="P66" s="192"/>
      <c r="Q66" s="453">
        <f>+BCIndex!$E26/1</f>
        <v>0</v>
      </c>
      <c r="R66" s="333">
        <f>S35+S53-S66</f>
        <v>0</v>
      </c>
      <c r="S66" s="453">
        <f>(+Q66+O66)</f>
        <v>0</v>
      </c>
      <c r="T66" s="333">
        <f>U35+U53-U66</f>
        <v>0</v>
      </c>
      <c r="U66" s="453">
        <f>+Options!$E26/1+OptionsProp!$E26/1</f>
        <v>0</v>
      </c>
      <c r="V66" s="333">
        <f>W35+W53-W66</f>
        <v>0</v>
      </c>
      <c r="W66" s="328">
        <f>+OptionsIndex!$E26/1</f>
        <v>0</v>
      </c>
      <c r="X66" s="333">
        <f>Y35+Y53-Y66</f>
        <v>0</v>
      </c>
      <c r="Y66" s="328">
        <f>+Straddle!$E26/1</f>
        <v>0</v>
      </c>
      <c r="Z66" s="333">
        <f>AA35+AA53-AA66</f>
        <v>0</v>
      </c>
      <c r="AA66" s="328">
        <f>(+U66+W66+Y66)</f>
        <v>0</v>
      </c>
      <c r="AB66" s="192">
        <f>AA35+AA53-AA66</f>
        <v>0</v>
      </c>
      <c r="AC66" s="328">
        <f>M66+G66+AA66+S66</f>
        <v>0.67391316778957844</v>
      </c>
      <c r="AD66" s="192">
        <f>AE35+AE53-AE66</f>
        <v>0</v>
      </c>
      <c r="AE66" s="498">
        <f>+'US $'!$E26/1</f>
        <v>-593557.86586225871</v>
      </c>
      <c r="AF66" s="192">
        <f>AG35+AG53-AG66</f>
        <v>0</v>
      </c>
      <c r="AG66" s="191"/>
      <c r="AH66" s="192"/>
      <c r="AI66" s="192">
        <f>Y35+Y53-Y66</f>
        <v>0</v>
      </c>
      <c r="AK66" s="192" t="e">
        <f>AL35+AL53-AL66</f>
        <v>#REF!</v>
      </c>
      <c r="AL66" s="188" t="e">
        <f>#REF!+E66+AE66+AG66+I66+K66+W66+Y66</f>
        <v>#REF!</v>
      </c>
      <c r="AM66" s="258"/>
      <c r="AO66" s="468">
        <f>+AC66/AE66</f>
        <v>-1.1353790532462879E-6</v>
      </c>
    </row>
    <row r="67" spans="1:46" x14ac:dyDescent="0.2">
      <c r="A67" s="181" t="s">
        <v>47</v>
      </c>
      <c r="B67" s="192"/>
      <c r="C67" s="453">
        <f>+PriceAlberta!$E36/1</f>
        <v>66679405.395000011</v>
      </c>
      <c r="D67" s="192"/>
      <c r="E67" s="328">
        <f>+AlbertaIndex!$E36/1</f>
        <v>12227277</v>
      </c>
      <c r="F67" s="192"/>
      <c r="G67" s="328">
        <f>(+E67+C67)</f>
        <v>78906682.395000011</v>
      </c>
      <c r="H67" s="192"/>
      <c r="I67" s="328">
        <f>+PriceEOL!$E36/1</f>
        <v>2148573</v>
      </c>
      <c r="J67" s="192"/>
      <c r="K67" s="328">
        <f>+EOLIndex!$E36/1</f>
        <v>568776</v>
      </c>
      <c r="L67" s="192"/>
      <c r="M67" s="328">
        <f>(+K67+I67)</f>
        <v>2717349</v>
      </c>
      <c r="N67" s="192"/>
      <c r="O67" s="453">
        <f>+PriceBC!$E36/1</f>
        <v>0</v>
      </c>
      <c r="P67" s="192"/>
      <c r="Q67" s="453">
        <f>+BCIndex!$E36/1</f>
        <v>0</v>
      </c>
      <c r="R67" s="192"/>
      <c r="S67" s="453">
        <f>(+Q67+O67)</f>
        <v>0</v>
      </c>
      <c r="T67" s="192"/>
      <c r="U67" s="453">
        <f>+Options!$E36/1+OptionsProp!$E36/1</f>
        <v>-62087671.539999992</v>
      </c>
      <c r="V67" s="192"/>
      <c r="W67" s="328">
        <f>+OptionsIndex!$E36/1</f>
        <v>868008</v>
      </c>
      <c r="X67" s="192"/>
      <c r="Y67" s="328">
        <f>+Straddle!$E36/1</f>
        <v>183786</v>
      </c>
      <c r="Z67" s="192"/>
      <c r="AA67" s="453">
        <f>(+U67+W67+Y67)</f>
        <v>-61035877.539999992</v>
      </c>
      <c r="AB67" s="402"/>
      <c r="AC67" s="453">
        <f>M67+G67+AA67+S67</f>
        <v>20588153.855000019</v>
      </c>
      <c r="AD67" s="192"/>
      <c r="AE67" s="498">
        <f>+'US $'!$E36/1</f>
        <v>12072651.090536293</v>
      </c>
      <c r="AF67" s="192"/>
      <c r="AG67" s="191"/>
      <c r="AH67" s="192"/>
      <c r="AI67" s="192"/>
      <c r="AK67" s="192"/>
      <c r="AL67" s="188" t="e">
        <f>#REF!+E67+AE67+AG67+I67+K67+W67+Y67</f>
        <v>#REF!</v>
      </c>
      <c r="AM67" s="258"/>
      <c r="AT67" s="1">
        <f>60000-41867.65</f>
        <v>18132.349999999999</v>
      </c>
    </row>
    <row r="68" spans="1:46" x14ac:dyDescent="0.2">
      <c r="A68" s="170" t="s">
        <v>359</v>
      </c>
      <c r="B68" s="192">
        <f>C68-SUM(C65:C67)+(PriceAlberta!B67/1)*0</f>
        <v>-0.24000000953674316</v>
      </c>
      <c r="C68" s="453">
        <f>C37+C55</f>
        <v>247928470.43491319</v>
      </c>
      <c r="D68" s="192">
        <f>E68-SUM(E65:E67)+(AlbertaIndex!B67/1)*0</f>
        <v>0</v>
      </c>
      <c r="E68" s="328">
        <f>E37+E55</f>
        <v>36301041</v>
      </c>
      <c r="F68"/>
      <c r="G68" s="328">
        <f>(+E68+C68)</f>
        <v>284229511.43491316</v>
      </c>
      <c r="H68" s="192">
        <f>I68-SUM(I65:I67)+(PriceAlberta!H67/1)*0</f>
        <v>0</v>
      </c>
      <c r="I68" s="328">
        <f>I37+I55</f>
        <v>2497605</v>
      </c>
      <c r="J68" s="192">
        <f>K68-SUM(K65:K67)+(PriceAlberta!L67/1000)*0</f>
        <v>0</v>
      </c>
      <c r="K68" s="328">
        <f>K37+K55</f>
        <v>1961035</v>
      </c>
      <c r="L68"/>
      <c r="M68" s="328">
        <f>(+K68+I68)</f>
        <v>4458640</v>
      </c>
      <c r="N68" s="192">
        <f>O68-SUM(O65:O67)+(PriceBC!F67/1000)*0</f>
        <v>0</v>
      </c>
      <c r="O68" s="453">
        <f>O37+O55</f>
        <v>-9740423</v>
      </c>
      <c r="P68" s="192">
        <f>Q68-SUM(Q65:Q67)+(BCIndex!L67/1000)*0</f>
        <v>0</v>
      </c>
      <c r="Q68" s="453">
        <f>Q37+Q55</f>
        <v>2431462</v>
      </c>
      <c r="R68" s="192">
        <f>U68-SUM(U65:U67)+([1]PriceAlberta!L67/1000)*0</f>
        <v>0</v>
      </c>
      <c r="S68" s="453">
        <f>(+Q68+O68)</f>
        <v>-7308961</v>
      </c>
      <c r="T68" s="192">
        <f>U68-SUM(U65:U67)+(PriceAlberta!L67/1000)*0</f>
        <v>0</v>
      </c>
      <c r="U68" s="453">
        <f>U37+U55</f>
        <v>-1404437.5399999917</v>
      </c>
      <c r="V68" s="192">
        <f>W68-SUM(W65:W67)+(PriceAlberta!N67/1000)*0</f>
        <v>0</v>
      </c>
      <c r="W68" s="328">
        <f>W37+W55</f>
        <v>-2428533</v>
      </c>
      <c r="X68" s="192">
        <f>Y68-SUM(Y65:Y67)+(PriceAlberta!T67/1)*0</f>
        <v>0</v>
      </c>
      <c r="Y68" s="328">
        <f>Y37+Y55</f>
        <v>2375696</v>
      </c>
      <c r="Z68"/>
      <c r="AA68" s="328">
        <f>(+U68+W68+Y68)</f>
        <v>-1457274.5399999917</v>
      </c>
      <c r="AB68" s="192">
        <f>AC68-SUM(AC65:AC67)+(PriceAlberta!D67/1000)*0</f>
        <v>-0.24000000953674316</v>
      </c>
      <c r="AC68" s="328">
        <f>M68+G68+AA68+S68</f>
        <v>279921915.8949132</v>
      </c>
      <c r="AD68" s="192">
        <f>AE68-SUM(AE65:AE67)+(PriceAlberta!F67/1000)*0</f>
        <v>0.12744790315628052</v>
      </c>
      <c r="AE68" s="498">
        <f>AE37+AE55+AE57</f>
        <v>173515830.2035847</v>
      </c>
      <c r="AF68" s="192">
        <f>AG68-SUM(AG65:AG67)+(PriceAlberta!H67/1)*0</f>
        <v>0</v>
      </c>
      <c r="AG68" s="191"/>
      <c r="AH68" s="192"/>
      <c r="AI68" s="192">
        <f>Y68-SUM(Y65:Y67)+(PriceAlberta!P67/1000)*0</f>
        <v>0</v>
      </c>
      <c r="AK68" s="192" t="e">
        <f>AL68-SUM(AL65:AL67)+(PriceAlberta!R67/1000)*0</f>
        <v>#REF!</v>
      </c>
      <c r="AL68" s="188" t="e">
        <f>#REF!+E68+AE68+AG68+I68+K68+W68+Y68</f>
        <v>#REF!</v>
      </c>
      <c r="AM68" s="258"/>
    </row>
    <row r="69" spans="1:46" ht="9" customHeight="1" x14ac:dyDescent="0.2">
      <c r="B69" s="192"/>
      <c r="C69" s="455"/>
      <c r="D69" s="192"/>
      <c r="E69" s="311"/>
      <c r="F69" s="192"/>
      <c r="G69" s="311"/>
      <c r="H69" s="192"/>
      <c r="I69" s="311"/>
      <c r="J69" s="192"/>
      <c r="K69" s="311"/>
      <c r="L69" s="192"/>
      <c r="M69" s="311"/>
      <c r="N69" s="192"/>
      <c r="O69" s="455"/>
      <c r="P69" s="192"/>
      <c r="Q69" s="455"/>
      <c r="R69" s="192"/>
      <c r="S69" s="455"/>
      <c r="T69" s="192"/>
      <c r="U69" s="455"/>
      <c r="V69" s="192"/>
      <c r="W69" s="311"/>
      <c r="X69" s="192"/>
      <c r="Y69" s="311"/>
      <c r="Z69" s="192"/>
      <c r="AA69" s="311"/>
      <c r="AB69" s="192"/>
      <c r="AC69" s="311"/>
      <c r="AD69" s="192"/>
      <c r="AE69" s="41"/>
      <c r="AF69" s="192"/>
      <c r="AH69" s="192"/>
      <c r="AI69" s="192"/>
      <c r="AK69" s="192"/>
      <c r="AM69" s="258"/>
    </row>
    <row r="70" spans="1:46" ht="13.5" x14ac:dyDescent="0.25">
      <c r="A70" s="193" t="s">
        <v>445</v>
      </c>
      <c r="C70" s="455"/>
      <c r="E70" s="311"/>
      <c r="G70" s="311"/>
      <c r="H70" s="42"/>
      <c r="I70" s="311"/>
      <c r="K70" s="311"/>
      <c r="M70" s="311"/>
      <c r="N70" s="42"/>
      <c r="O70" s="455"/>
      <c r="P70" s="42"/>
      <c r="Q70" s="455"/>
      <c r="R70" s="42"/>
      <c r="S70" s="455"/>
      <c r="T70" s="42"/>
      <c r="U70" s="455"/>
      <c r="W70" s="311"/>
      <c r="X70" s="42"/>
      <c r="Y70" s="311"/>
      <c r="AA70" s="311"/>
      <c r="AC70" s="311"/>
      <c r="AE70" s="41"/>
      <c r="AM70" s="258"/>
      <c r="AR70" s="6"/>
    </row>
    <row r="71" spans="1:46" x14ac:dyDescent="0.2">
      <c r="A71" s="170" t="s">
        <v>359</v>
      </c>
      <c r="B71" s="192"/>
      <c r="C71" s="453">
        <f>168514520+8661616+43676513+1288188-314638</f>
        <v>221826199</v>
      </c>
      <c r="D71" s="192"/>
      <c r="E71" s="328">
        <f>41118431+73148</f>
        <v>41191579</v>
      </c>
      <c r="F71" s="192"/>
      <c r="G71" s="328">
        <f>(+E71+C71)</f>
        <v>263017778</v>
      </c>
      <c r="H71" s="192"/>
      <c r="I71" s="328">
        <v>0</v>
      </c>
      <c r="J71" s="192"/>
      <c r="K71" s="328">
        <v>0</v>
      </c>
      <c r="L71" s="192"/>
      <c r="M71" s="328">
        <f>(+K71+I71)</f>
        <v>0</v>
      </c>
      <c r="N71" s="192"/>
      <c r="O71" s="453">
        <v>0</v>
      </c>
      <c r="P71" s="192"/>
      <c r="Q71" s="453">
        <v>0</v>
      </c>
      <c r="R71" s="192"/>
      <c r="S71" s="453">
        <f>(+Q71+O71)</f>
        <v>0</v>
      </c>
      <c r="T71" s="192"/>
      <c r="U71" s="453">
        <v>-258361</v>
      </c>
      <c r="V71" s="192"/>
      <c r="W71" s="328">
        <v>283109</v>
      </c>
      <c r="X71" s="192"/>
      <c r="Y71" s="328">
        <v>0</v>
      </c>
      <c r="Z71" s="192"/>
      <c r="AA71" s="328">
        <f>(+U71+W71+Y71)</f>
        <v>24748</v>
      </c>
      <c r="AB71" s="192"/>
      <c r="AC71" s="328">
        <f>M71+G71+AA71+S71</f>
        <v>263042526</v>
      </c>
      <c r="AD71" s="192"/>
      <c r="AE71" s="188">
        <v>168872937</v>
      </c>
      <c r="AF71" s="192"/>
      <c r="AG71" s="191"/>
      <c r="AH71" s="192"/>
      <c r="AI71" s="192"/>
      <c r="AK71" s="192"/>
      <c r="AL71" s="188" t="e">
        <f>#REF!+E71+AE71+AG71+I71+K71+W71+Y71</f>
        <v>#REF!</v>
      </c>
      <c r="AM71" s="258"/>
    </row>
    <row r="72" spans="1:46" ht="12" customHeight="1" x14ac:dyDescent="0.2">
      <c r="B72" s="333">
        <f>SUM(C74:C76)-C68+C71</f>
        <v>0.24000000953674316</v>
      </c>
      <c r="C72" s="455"/>
      <c r="D72" s="192">
        <f>SUM(E74:E76)-E68+E71</f>
        <v>0</v>
      </c>
      <c r="E72" s="311"/>
      <c r="F72"/>
      <c r="G72" s="311"/>
      <c r="H72" s="333">
        <f>SUM(I74:I76)-I68+I71</f>
        <v>0</v>
      </c>
      <c r="I72" s="311"/>
      <c r="J72" s="192">
        <f>SUM(K74:K76)-K68+K71</f>
        <v>0</v>
      </c>
      <c r="K72" s="311"/>
      <c r="L72"/>
      <c r="M72" s="311"/>
      <c r="N72" s="192">
        <f>SUM(O74:O76)-O68+O71</f>
        <v>0</v>
      </c>
      <c r="O72" s="455"/>
      <c r="P72" s="192">
        <f>SUM(Q74:Q76)-Q68+Q71</f>
        <v>0</v>
      </c>
      <c r="Q72" s="455"/>
      <c r="R72" s="192">
        <f>SUM(U74:U76)-U68+U71</f>
        <v>0</v>
      </c>
      <c r="S72" s="455"/>
      <c r="T72" s="192">
        <f>SUM(U74:U76)-U68+U71</f>
        <v>0</v>
      </c>
      <c r="U72" s="455"/>
      <c r="V72" s="192">
        <f>SUM(W74:W76)-W68+W71</f>
        <v>0</v>
      </c>
      <c r="W72" s="311"/>
      <c r="X72" s="333">
        <f>SUM(Y74:Y76)-Y68+Y71</f>
        <v>0</v>
      </c>
      <c r="Y72" s="311"/>
      <c r="Z72"/>
      <c r="AA72" s="311"/>
      <c r="AB72" s="192">
        <f>SUM(AC74:AC76)-AC68+AC71</f>
        <v>0.24000000953674316</v>
      </c>
      <c r="AC72" s="311"/>
      <c r="AD72" s="192">
        <f>SUM(AE74:AE76)-AE68+AE71</f>
        <v>-1.1274479031562805</v>
      </c>
      <c r="AE72" s="184"/>
      <c r="AF72" s="192">
        <f>SUM(AG74:AG76)-AG68+AG71</f>
        <v>0</v>
      </c>
      <c r="AG72" s="471"/>
      <c r="AH72" s="192"/>
      <c r="AI72" s="192">
        <f>SUM(Y74:Y76)-Y68+Y71</f>
        <v>0</v>
      </c>
      <c r="AK72" s="192" t="e">
        <f>SUM(AL74:AL76)-AL68+AL71</f>
        <v>#REF!</v>
      </c>
      <c r="AL72" s="184"/>
      <c r="AM72" s="258"/>
    </row>
    <row r="73" spans="1:46" ht="13.5" x14ac:dyDescent="0.25">
      <c r="A73" s="194">
        <f>A4</f>
        <v>36847</v>
      </c>
      <c r="C73" s="455"/>
      <c r="E73" s="311"/>
      <c r="G73" s="311"/>
      <c r="H73" s="311"/>
      <c r="I73" s="311"/>
      <c r="K73" s="311"/>
      <c r="M73" s="311"/>
      <c r="O73" s="455"/>
      <c r="Q73" s="455"/>
      <c r="S73" s="455"/>
      <c r="U73" s="455"/>
      <c r="W73" s="311"/>
      <c r="X73" s="311"/>
      <c r="Y73" s="311"/>
      <c r="AA73" s="311"/>
      <c r="AC73" s="311"/>
      <c r="AM73" s="258"/>
    </row>
    <row r="74" spans="1:46" x14ac:dyDescent="0.2">
      <c r="A74" s="181" t="s">
        <v>20</v>
      </c>
      <c r="B74" s="192"/>
      <c r="C74" s="453">
        <f>C65-216885420+6242588-8855818</f>
        <v>-38249585.393999994</v>
      </c>
      <c r="D74" s="192"/>
      <c r="E74" s="328">
        <f>E65-32238676-67774</f>
        <v>-8232686</v>
      </c>
      <c r="F74" s="192"/>
      <c r="G74" s="328">
        <f>(+E74+C74)</f>
        <v>-46482271.393999994</v>
      </c>
      <c r="H74" s="327"/>
      <c r="I74" s="328">
        <f>I65</f>
        <v>349032</v>
      </c>
      <c r="J74" s="192"/>
      <c r="K74" s="328">
        <f>K65</f>
        <v>1392259</v>
      </c>
      <c r="L74" s="192"/>
      <c r="M74" s="328">
        <f>(+K74+I74)</f>
        <v>1741291</v>
      </c>
      <c r="N74" s="191"/>
      <c r="O74" s="453">
        <f>O65-0</f>
        <v>-9740423</v>
      </c>
      <c r="P74" s="191"/>
      <c r="Q74" s="453">
        <f>Q65-0</f>
        <v>2431462</v>
      </c>
      <c r="R74" s="191"/>
      <c r="S74" s="453">
        <f>(+Q74+O74)</f>
        <v>-7308961</v>
      </c>
      <c r="T74" s="191"/>
      <c r="U74" s="453">
        <f>U65-15432666</f>
        <v>45250568</v>
      </c>
      <c r="V74" s="192"/>
      <c r="W74" s="328">
        <f>W65-292010</f>
        <v>-3588551</v>
      </c>
      <c r="X74" s="327"/>
      <c r="Y74" s="328">
        <f>Y65</f>
        <v>2191910</v>
      </c>
      <c r="Z74" s="192"/>
      <c r="AA74" s="328">
        <f>(+U74+W74+Y74)</f>
        <v>43853927</v>
      </c>
      <c r="AB74" s="192"/>
      <c r="AC74" s="328">
        <f>M74+G74+AA74+S74</f>
        <v>-8196014.3939999938</v>
      </c>
      <c r="AD74" s="192"/>
      <c r="AE74" s="188">
        <f>AE65-174723140</f>
        <v>-12686403.148537248</v>
      </c>
      <c r="AF74" s="192"/>
      <c r="AG74" s="191"/>
      <c r="AH74" s="192"/>
      <c r="AI74" s="192"/>
      <c r="AK74" s="192"/>
      <c r="AL74" s="188" t="e">
        <f>#REF!+E74+AE74+AG74+I74+K74+W74+Y74</f>
        <v>#REF!</v>
      </c>
      <c r="AM74" s="258"/>
    </row>
    <row r="75" spans="1:46" x14ac:dyDescent="0.2">
      <c r="A75" s="181" t="s">
        <v>48</v>
      </c>
      <c r="B75" s="192"/>
      <c r="C75" s="453">
        <f>+C66--9399999</f>
        <v>9399999.6739131678</v>
      </c>
      <c r="D75" s="192"/>
      <c r="E75" s="328">
        <f>+E66</f>
        <v>0</v>
      </c>
      <c r="F75" s="192"/>
      <c r="G75" s="328">
        <f>(+E75+C75)</f>
        <v>9399999.6739131678</v>
      </c>
      <c r="H75" s="327"/>
      <c r="I75" s="328">
        <f>I66+0</f>
        <v>0</v>
      </c>
      <c r="J75" s="192"/>
      <c r="K75" s="328">
        <f>K66+0</f>
        <v>0</v>
      </c>
      <c r="L75" s="192"/>
      <c r="M75" s="328">
        <f>(+K75+I75)</f>
        <v>0</v>
      </c>
      <c r="N75" s="191"/>
      <c r="O75" s="453">
        <f>+O66</f>
        <v>0</v>
      </c>
      <c r="P75" s="191"/>
      <c r="Q75" s="453">
        <f>+Q66</f>
        <v>0</v>
      </c>
      <c r="R75" s="191"/>
      <c r="S75" s="453">
        <f>(+Q75+O75)</f>
        <v>0</v>
      </c>
      <c r="T75" s="191"/>
      <c r="U75" s="453">
        <f>+U66</f>
        <v>0</v>
      </c>
      <c r="V75" s="192"/>
      <c r="W75" s="328">
        <f>W66+0</f>
        <v>0</v>
      </c>
      <c r="X75" s="327"/>
      <c r="Y75" s="328">
        <f>Y66+0</f>
        <v>0</v>
      </c>
      <c r="Z75" s="192"/>
      <c r="AA75" s="328">
        <f>(+U75+W75+Y75)</f>
        <v>0</v>
      </c>
      <c r="AB75" s="192"/>
      <c r="AC75" s="328">
        <f>M75+G75+AA75+S75</f>
        <v>9399999.6739131678</v>
      </c>
      <c r="AD75" s="192"/>
      <c r="AE75" s="188">
        <f>AE66--7066522</f>
        <v>6472964.1341377413</v>
      </c>
      <c r="AF75" s="192"/>
      <c r="AG75" s="191"/>
      <c r="AH75" s="192"/>
      <c r="AI75" s="192"/>
      <c r="AK75" s="192"/>
      <c r="AL75" s="188" t="e">
        <f>#REF!+E75+AE75+AG75+I75+K75+W75+Y75</f>
        <v>#REF!</v>
      </c>
      <c r="AM75" s="258"/>
    </row>
    <row r="76" spans="1:46" x14ac:dyDescent="0.2">
      <c r="A76" s="181" t="s">
        <v>47</v>
      </c>
      <c r="B76" s="192"/>
      <c r="C76" s="453">
        <f>C67-13367228-7530776+9170456</f>
        <v>54951857.395000011</v>
      </c>
      <c r="D76" s="192"/>
      <c r="E76" s="328">
        <f>E67-8879755-5374</f>
        <v>3342148</v>
      </c>
      <c r="F76" s="192"/>
      <c r="G76" s="328">
        <f>(+E76+C76)</f>
        <v>58294005.395000011</v>
      </c>
      <c r="H76" s="327"/>
      <c r="I76" s="328">
        <f>I67</f>
        <v>2148573</v>
      </c>
      <c r="J76" s="192"/>
      <c r="K76" s="328">
        <f>K67</f>
        <v>568776</v>
      </c>
      <c r="L76" s="192"/>
      <c r="M76" s="328">
        <f>(+K76+I76)</f>
        <v>2717349</v>
      </c>
      <c r="N76" s="191"/>
      <c r="O76" s="453">
        <f>O67-0</f>
        <v>0</v>
      </c>
      <c r="P76" s="191"/>
      <c r="Q76" s="453">
        <f>Q67-0</f>
        <v>0</v>
      </c>
      <c r="R76" s="191"/>
      <c r="S76" s="453">
        <f>(+Q76+O76)</f>
        <v>0</v>
      </c>
      <c r="T76" s="191"/>
      <c r="U76" s="453">
        <f>U67--15691027</f>
        <v>-46396644.539999992</v>
      </c>
      <c r="V76" s="192"/>
      <c r="W76" s="328">
        <f>W67--8901</f>
        <v>876909</v>
      </c>
      <c r="X76" s="327"/>
      <c r="Y76" s="328">
        <f>Y67</f>
        <v>183786</v>
      </c>
      <c r="Z76" s="192"/>
      <c r="AA76" s="328">
        <f>(+U76+W76+Y76)</f>
        <v>-45335949.539999992</v>
      </c>
      <c r="AB76" s="192"/>
      <c r="AC76" s="453">
        <f>M76+G76+AA76+S76</f>
        <v>15675404.855000019</v>
      </c>
      <c r="AD76" s="192"/>
      <c r="AE76" s="188">
        <f>AE67-1216320</f>
        <v>10856331.090536293</v>
      </c>
      <c r="AF76" s="192"/>
      <c r="AG76" s="191"/>
      <c r="AH76" s="192"/>
      <c r="AI76" s="192"/>
      <c r="AK76" s="192"/>
      <c r="AL76" s="188" t="e">
        <f>#REF!+E76+AE76+AG76+I76+K76+W76+Y76</f>
        <v>#REF!</v>
      </c>
      <c r="AM76" s="258"/>
    </row>
    <row r="77" spans="1:46" x14ac:dyDescent="0.2">
      <c r="A77" s="269" t="s">
        <v>360</v>
      </c>
      <c r="B77" s="270"/>
      <c r="C77" s="453">
        <f>SUM(C74:C76)</f>
        <v>26102271.674913183</v>
      </c>
      <c r="D77" s="270"/>
      <c r="E77" s="328">
        <f>SUM(E74:E76)</f>
        <v>-4890538</v>
      </c>
      <c r="F77" s="270"/>
      <c r="G77" s="328">
        <f>(+E77+C77)</f>
        <v>21211733.674913183</v>
      </c>
      <c r="H77" s="327"/>
      <c r="I77" s="328">
        <f>SUM(I74:I76)</f>
        <v>2497605</v>
      </c>
      <c r="J77" s="270"/>
      <c r="K77" s="328">
        <f>SUM(K74:K76)</f>
        <v>1961035</v>
      </c>
      <c r="L77" s="270"/>
      <c r="M77" s="328">
        <f>(+K77+I77)</f>
        <v>4458640</v>
      </c>
      <c r="N77" s="315"/>
      <c r="O77" s="453">
        <f>SUM(O74:O76)</f>
        <v>-9740423</v>
      </c>
      <c r="P77" s="315"/>
      <c r="Q77" s="453">
        <f>SUM(Q74:Q76)</f>
        <v>2431462</v>
      </c>
      <c r="R77" s="315"/>
      <c r="S77" s="453">
        <f>(+Q77+O77)</f>
        <v>-7308961</v>
      </c>
      <c r="T77" s="315"/>
      <c r="U77" s="453">
        <f>SUM(U74:U76)</f>
        <v>-1146076.5399999917</v>
      </c>
      <c r="V77" s="270"/>
      <c r="W77" s="328">
        <f>SUM(W74:W76)</f>
        <v>-2711642</v>
      </c>
      <c r="X77" s="327"/>
      <c r="Y77" s="328">
        <f>SUM(Y74:Y76)</f>
        <v>2375696</v>
      </c>
      <c r="Z77" s="270"/>
      <c r="AA77" s="328">
        <f>(+U77+W77+Y77)</f>
        <v>-1482022.5399999917</v>
      </c>
      <c r="AB77" s="270"/>
      <c r="AC77" s="328">
        <f>M77+G77+AA77+S77</f>
        <v>16879390.134913191</v>
      </c>
      <c r="AD77" s="270"/>
      <c r="AE77" s="188">
        <f>SUM(AE74:AE76)</f>
        <v>4642892.0761367856</v>
      </c>
      <c r="AF77" s="270"/>
      <c r="AG77" s="315"/>
      <c r="AH77" s="270"/>
      <c r="AI77" s="270"/>
      <c r="AK77" s="270"/>
      <c r="AL77" s="271" t="e">
        <f>#REF!+E77+AE77+AG77+I77+K77+W77+Y77</f>
        <v>#REF!</v>
      </c>
      <c r="AM77" s="258"/>
      <c r="AN77" s="9"/>
      <c r="AP77" s="9"/>
      <c r="AQ77" s="9"/>
    </row>
    <row r="78" spans="1:46" hidden="1" x14ac:dyDescent="0.2">
      <c r="A78" s="269" t="s">
        <v>49</v>
      </c>
      <c r="B78" s="270"/>
      <c r="C78" s="454"/>
      <c r="D78" s="270"/>
      <c r="E78" s="191"/>
      <c r="F78" s="397"/>
      <c r="G78" s="188">
        <f>(G77/SpotRates!J1)*0</f>
        <v>0</v>
      </c>
      <c r="H78" s="191"/>
      <c r="I78" s="479"/>
      <c r="J78" s="270"/>
      <c r="K78" s="315"/>
      <c r="L78" s="397"/>
      <c r="M78" s="188">
        <f>(M77/SpotRates!J1)*0</f>
        <v>0</v>
      </c>
      <c r="N78" s="315"/>
      <c r="O78" s="454"/>
      <c r="P78" s="315"/>
      <c r="Q78" s="454"/>
      <c r="R78" s="315"/>
      <c r="S78" s="454" t="e">
        <f>IF(S77=0,0,(S77/[1]SpotRates!P1)*0)</f>
        <v>#DIV/0!</v>
      </c>
      <c r="T78" s="315"/>
      <c r="U78" s="454"/>
      <c r="V78" s="270"/>
      <c r="W78" s="315"/>
      <c r="X78" s="191"/>
      <c r="Y78" s="188"/>
      <c r="Z78" s="397"/>
      <c r="AA78" s="315" t="e">
        <f>(AA77/SpotRates!P1)*0</f>
        <v>#DIV/0!</v>
      </c>
      <c r="AB78" s="270"/>
      <c r="AC78" s="188">
        <f>(AC77/[1]SpotRates!J1)*0</f>
        <v>0</v>
      </c>
      <c r="AD78" s="270"/>
      <c r="AE78" s="315"/>
      <c r="AF78" s="270"/>
      <c r="AG78" s="315"/>
      <c r="AH78" s="270"/>
      <c r="AI78" s="270"/>
      <c r="AK78" s="270"/>
      <c r="AL78" s="316"/>
      <c r="AM78" s="258"/>
      <c r="AN78" s="9"/>
      <c r="AP78" s="9"/>
      <c r="AQ78" s="9"/>
    </row>
    <row r="79" spans="1:46" hidden="1" x14ac:dyDescent="0.2">
      <c r="A79" s="269" t="s">
        <v>40</v>
      </c>
      <c r="B79" s="270"/>
      <c r="C79" s="454"/>
      <c r="D79" s="270"/>
      <c r="E79" s="191"/>
      <c r="F79" s="397"/>
      <c r="G79" s="188">
        <f>(G80-G78)*0</f>
        <v>0</v>
      </c>
      <c r="H79" s="191"/>
      <c r="I79" s="479"/>
      <c r="J79" s="270"/>
      <c r="K79" s="315"/>
      <c r="L79" s="397"/>
      <c r="M79" s="188">
        <f>(M80-M78)*0</f>
        <v>0</v>
      </c>
      <c r="N79" s="315"/>
      <c r="O79" s="454"/>
      <c r="P79" s="315"/>
      <c r="Q79" s="454"/>
      <c r="R79" s="315"/>
      <c r="S79" s="454" t="e">
        <f>(S80-S78)*0</f>
        <v>#DIV/0!</v>
      </c>
      <c r="T79" s="315"/>
      <c r="U79" s="454"/>
      <c r="V79" s="270"/>
      <c r="W79" s="315"/>
      <c r="X79" s="191"/>
      <c r="Y79" s="188"/>
      <c r="Z79" s="397"/>
      <c r="AA79" s="315" t="e">
        <f>(AA80-AA78)*0</f>
        <v>#DIV/0!</v>
      </c>
      <c r="AB79" s="270"/>
      <c r="AC79" s="188">
        <f>(AC80-AC78)*0</f>
        <v>0</v>
      </c>
      <c r="AD79" s="270"/>
      <c r="AE79" s="315"/>
      <c r="AF79" s="270"/>
      <c r="AG79" s="315"/>
      <c r="AH79" s="270"/>
      <c r="AI79" s="270"/>
      <c r="AK79" s="270"/>
      <c r="AL79" s="316"/>
      <c r="AM79" s="258"/>
      <c r="AN79" s="9"/>
      <c r="AP79" s="9"/>
      <c r="AQ79" s="9"/>
    </row>
    <row r="80" spans="1:46" x14ac:dyDescent="0.2">
      <c r="A80" s="269" t="s">
        <v>361</v>
      </c>
      <c r="B80" s="270"/>
      <c r="C80" s="454"/>
      <c r="D80" s="270"/>
      <c r="E80" s="191"/>
      <c r="F80" s="397"/>
      <c r="G80" s="188">
        <f>G77/SpotRates!D36</f>
        <v>13610352.05320063</v>
      </c>
      <c r="H80" s="191"/>
      <c r="I80" s="479"/>
      <c r="J80" s="270"/>
      <c r="K80" s="315"/>
      <c r="L80" s="397"/>
      <c r="M80" s="188">
        <f>M77/SpotRates!D36</f>
        <v>2860853.3846647418</v>
      </c>
      <c r="N80" s="315"/>
      <c r="O80" s="454"/>
      <c r="P80" s="315"/>
      <c r="Q80" s="454"/>
      <c r="R80" s="315"/>
      <c r="S80" s="454" t="e">
        <f>S77/[1]SpotRates!J36</f>
        <v>#DIV/0!</v>
      </c>
      <c r="T80" s="315"/>
      <c r="U80" s="454"/>
      <c r="V80" s="270"/>
      <c r="W80" s="315"/>
      <c r="X80" s="191"/>
      <c r="Y80" s="188">
        <f>Y77/SpotRates!D36</f>
        <v>1524347.7702919473</v>
      </c>
      <c r="Z80" s="397"/>
      <c r="AA80" s="574">
        <f>AA77/SpotRates!D36</f>
        <v>-950928.80333653616</v>
      </c>
      <c r="AB80" s="270"/>
      <c r="AC80" s="188">
        <f>AC77/SpotRates!D36</f>
        <v>10830535.858141284</v>
      </c>
      <c r="AD80" s="270"/>
      <c r="AE80" s="315"/>
      <c r="AF80" s="270"/>
      <c r="AG80" s="315"/>
      <c r="AH80" s="270"/>
      <c r="AI80" s="270"/>
      <c r="AK80" s="270"/>
      <c r="AL80" s="316"/>
      <c r="AM80" s="258"/>
      <c r="AN80" s="9"/>
      <c r="AP80" s="9"/>
      <c r="AQ80" s="9"/>
    </row>
    <row r="81" spans="1:43" ht="12.75" customHeight="1" x14ac:dyDescent="0.2">
      <c r="A81" s="178"/>
      <c r="B81" s="192"/>
      <c r="C81" s="455"/>
      <c r="D81" s="192"/>
      <c r="E81" s="311"/>
      <c r="F81" s="192"/>
      <c r="G81" s="311"/>
      <c r="H81" s="311"/>
      <c r="J81" s="192"/>
      <c r="L81" s="192"/>
      <c r="M81" s="311"/>
      <c r="O81" s="455"/>
      <c r="Q81" s="455"/>
      <c r="S81" s="455"/>
      <c r="U81" s="455"/>
      <c r="V81" s="192"/>
      <c r="X81" s="311"/>
      <c r="Y81" s="311"/>
      <c r="Z81" s="192"/>
      <c r="AB81" s="192"/>
      <c r="AC81" s="311"/>
      <c r="AD81" s="192"/>
      <c r="AF81" s="192"/>
      <c r="AH81" s="192"/>
      <c r="AI81" s="192"/>
      <c r="AK81" s="192"/>
      <c r="AM81" s="258"/>
      <c r="AN81" s="9"/>
      <c r="AP81" s="9"/>
      <c r="AQ81" s="169"/>
    </row>
    <row r="82" spans="1:43" ht="13.5" x14ac:dyDescent="0.25">
      <c r="A82" s="195" t="s">
        <v>50</v>
      </c>
      <c r="C82" s="455"/>
      <c r="E82" s="311"/>
      <c r="G82" s="311"/>
      <c r="H82" s="311"/>
      <c r="M82" s="311"/>
      <c r="O82" s="455"/>
      <c r="Q82" s="455"/>
      <c r="S82" s="455"/>
      <c r="U82" s="455"/>
      <c r="X82" s="311"/>
      <c r="Y82" s="311"/>
      <c r="AC82" s="311"/>
      <c r="AM82" s="258"/>
      <c r="AN82" s="9"/>
      <c r="AP82" s="9"/>
      <c r="AQ82" s="9"/>
    </row>
    <row r="83" spans="1:43" x14ac:dyDescent="0.2">
      <c r="A83" s="181" t="s">
        <v>51</v>
      </c>
      <c r="C83" s="453">
        <f>C40-C105</f>
        <v>5742</v>
      </c>
      <c r="E83" s="328">
        <f>E40-E105</f>
        <v>0</v>
      </c>
      <c r="G83" s="328">
        <f>(+E83+C83)</f>
        <v>5742</v>
      </c>
      <c r="H83" s="327"/>
      <c r="I83" s="480">
        <f>I40-I105</f>
        <v>0</v>
      </c>
      <c r="K83" s="480">
        <f>K40-K105</f>
        <v>0</v>
      </c>
      <c r="M83" s="328">
        <f>(+K83+I83)</f>
        <v>0</v>
      </c>
      <c r="N83" s="472"/>
      <c r="O83" s="453">
        <f>O40-O105</f>
        <v>0</v>
      </c>
      <c r="P83" s="472"/>
      <c r="Q83" s="453">
        <f>Q40-Q105</f>
        <v>0</v>
      </c>
      <c r="R83" s="472"/>
      <c r="S83" s="453">
        <f>(+Q83+O83)</f>
        <v>0</v>
      </c>
      <c r="T83" s="472"/>
      <c r="U83" s="453">
        <f>U40-U105</f>
        <v>0</v>
      </c>
      <c r="W83" s="480">
        <f>W40-W105</f>
        <v>0</v>
      </c>
      <c r="X83" s="327"/>
      <c r="Y83" s="328">
        <f>Y40-Y105</f>
        <v>0</v>
      </c>
      <c r="AA83" s="328">
        <f>(+U83+W83+Y83)</f>
        <v>0</v>
      </c>
      <c r="AC83" s="328">
        <f>M83+G83+AA83+S83</f>
        <v>5742</v>
      </c>
      <c r="AE83" s="188">
        <f>AE40-AE105</f>
        <v>3417.5316001998144</v>
      </c>
      <c r="AG83" s="472"/>
      <c r="AL83" s="188" t="e">
        <f>#REF!+E83+AE83+AG83+I83+K83+W83+Y83</f>
        <v>#REF!</v>
      </c>
      <c r="AM83" s="258"/>
      <c r="AN83" s="9"/>
      <c r="AP83" s="9"/>
      <c r="AQ83" s="24"/>
    </row>
    <row r="84" spans="1:43" x14ac:dyDescent="0.2">
      <c r="A84" s="181" t="s">
        <v>25</v>
      </c>
      <c r="C84" s="455"/>
      <c r="E84" s="311"/>
      <c r="G84" s="311"/>
      <c r="H84" s="311"/>
      <c r="M84" s="311"/>
      <c r="O84" s="455"/>
      <c r="Q84" s="455"/>
      <c r="S84" s="455"/>
      <c r="U84" s="455"/>
      <c r="X84" s="311"/>
      <c r="Y84" s="311"/>
      <c r="AC84" s="311"/>
      <c r="AL84" s="189"/>
      <c r="AM84" s="258"/>
      <c r="AN84" s="9"/>
      <c r="AP84" s="9"/>
      <c r="AQ84" s="10"/>
    </row>
    <row r="85" spans="1:43" s="41" customFormat="1" x14ac:dyDescent="0.2">
      <c r="A85" s="178" t="s">
        <v>26</v>
      </c>
      <c r="B85" s="48"/>
      <c r="C85" s="403">
        <f>C42-C107</f>
        <v>919229</v>
      </c>
      <c r="D85" s="48"/>
      <c r="E85" s="403">
        <f>E42-E107</f>
        <v>-990</v>
      </c>
      <c r="F85" s="48"/>
      <c r="G85" s="403">
        <f>(+E85+C85)</f>
        <v>918239</v>
      </c>
      <c r="H85" s="403"/>
      <c r="I85" s="403">
        <f t="shared" ref="I85:K94" si="5">I42-I107</f>
        <v>1289192</v>
      </c>
      <c r="J85" s="48"/>
      <c r="K85" s="403">
        <f t="shared" si="5"/>
        <v>0</v>
      </c>
      <c r="L85" s="48"/>
      <c r="M85" s="403">
        <f>(+K85+I85)</f>
        <v>1289192</v>
      </c>
      <c r="N85" s="408"/>
      <c r="O85" s="403">
        <f t="shared" ref="O85:O94" si="6">O42-O107</f>
        <v>9072</v>
      </c>
      <c r="P85" s="408"/>
      <c r="Q85" s="403">
        <f t="shared" ref="Q85:Q94" si="7">Q42-Q107</f>
        <v>0</v>
      </c>
      <c r="R85" s="408"/>
      <c r="S85" s="403">
        <f>(+Q85+O85)</f>
        <v>9072</v>
      </c>
      <c r="T85" s="408"/>
      <c r="U85" s="403">
        <f t="shared" ref="U85:W94" si="8">U42-U107</f>
        <v>1301368</v>
      </c>
      <c r="V85" s="48"/>
      <c r="W85" s="403">
        <f t="shared" si="8"/>
        <v>47534</v>
      </c>
      <c r="X85" s="403"/>
      <c r="Y85" s="403">
        <f t="shared" ref="Y85:Y94" si="9">Y42-Y107</f>
        <v>-79595</v>
      </c>
      <c r="Z85" s="48"/>
      <c r="AA85" s="403">
        <f>(+U85+W85+Y85)</f>
        <v>1269307</v>
      </c>
      <c r="AB85" s="48"/>
      <c r="AC85" s="403">
        <f t="shared" ref="AC85:AC94" si="10">M85+G85+AA85+S85</f>
        <v>3485810</v>
      </c>
      <c r="AD85" s="48"/>
      <c r="AE85" s="407">
        <f t="shared" ref="AE85:AE94" si="11">AE42-AE107</f>
        <v>2261711.3694627518</v>
      </c>
      <c r="AF85" s="48"/>
      <c r="AG85" s="408"/>
      <c r="AH85" s="48"/>
      <c r="AI85" s="48"/>
      <c r="AK85" s="48"/>
      <c r="AL85" s="404"/>
      <c r="AM85" s="405"/>
      <c r="AN85" s="408"/>
      <c r="AO85" s="406"/>
      <c r="AP85" s="408"/>
      <c r="AQ85" s="409"/>
    </row>
    <row r="86" spans="1:43" x14ac:dyDescent="0.2">
      <c r="A86" s="181" t="s">
        <v>27</v>
      </c>
      <c r="C86" s="403">
        <f t="shared" ref="C86:C94" si="12">C43-C108</f>
        <v>1032482</v>
      </c>
      <c r="E86" s="327">
        <f t="shared" ref="E86:E94" si="13">E43-E108</f>
        <v>0</v>
      </c>
      <c r="G86" s="403">
        <f t="shared" ref="G86:G97" si="14">(+E86+C86)</f>
        <v>1032482</v>
      </c>
      <c r="H86" s="327"/>
      <c r="I86" s="327">
        <f t="shared" si="5"/>
        <v>57714</v>
      </c>
      <c r="K86" s="327">
        <f t="shared" si="5"/>
        <v>0</v>
      </c>
      <c r="M86" s="403">
        <f t="shared" ref="M86:M94" si="15">(+K86+I86)</f>
        <v>57714</v>
      </c>
      <c r="N86" s="8"/>
      <c r="O86" s="403">
        <f t="shared" si="6"/>
        <v>-870511</v>
      </c>
      <c r="P86" s="8"/>
      <c r="Q86" s="403">
        <f t="shared" si="7"/>
        <v>0</v>
      </c>
      <c r="R86" s="8"/>
      <c r="S86" s="403">
        <f t="shared" ref="S86:S94" si="16">(+Q86+O86)</f>
        <v>-870511</v>
      </c>
      <c r="T86" s="8"/>
      <c r="U86" s="403">
        <f t="shared" si="8"/>
        <v>-1783956</v>
      </c>
      <c r="W86" s="403">
        <f t="shared" si="8"/>
        <v>0</v>
      </c>
      <c r="X86" s="403"/>
      <c r="Y86" s="403">
        <f t="shared" si="9"/>
        <v>110330</v>
      </c>
      <c r="AA86" s="403">
        <f t="shared" ref="AA86:AA94" si="17">(+U86+W86+Y86)</f>
        <v>-1673626</v>
      </c>
      <c r="AC86" s="403">
        <f t="shared" si="10"/>
        <v>-1453941</v>
      </c>
      <c r="AE86" s="8">
        <f t="shared" si="11"/>
        <v>-947013.19739228766</v>
      </c>
      <c r="AG86" s="8"/>
      <c r="AL86" s="191" t="e">
        <f>#REF!+E86+AE86+AG86+I86+K86+W86+Y86</f>
        <v>#REF!</v>
      </c>
      <c r="AM86" s="258"/>
      <c r="AN86" s="9"/>
      <c r="AP86" s="9"/>
      <c r="AQ86" s="10"/>
    </row>
    <row r="87" spans="1:43" x14ac:dyDescent="0.2">
      <c r="A87" s="181" t="s">
        <v>28</v>
      </c>
      <c r="C87" s="403">
        <f t="shared" si="12"/>
        <v>-3250089</v>
      </c>
      <c r="E87" s="327">
        <f t="shared" si="13"/>
        <v>0</v>
      </c>
      <c r="G87" s="403">
        <f t="shared" si="14"/>
        <v>-3250089</v>
      </c>
      <c r="H87" s="327"/>
      <c r="I87" s="327">
        <f t="shared" si="5"/>
        <v>-191065</v>
      </c>
      <c r="K87" s="327">
        <f t="shared" si="5"/>
        <v>0</v>
      </c>
      <c r="M87" s="403">
        <f t="shared" si="15"/>
        <v>-191065</v>
      </c>
      <c r="N87" s="8"/>
      <c r="O87" s="403">
        <f t="shared" si="6"/>
        <v>-1533264</v>
      </c>
      <c r="P87" s="8"/>
      <c r="Q87" s="403">
        <f t="shared" si="7"/>
        <v>0</v>
      </c>
      <c r="R87" s="8"/>
      <c r="S87" s="403">
        <f t="shared" si="16"/>
        <v>-1533264</v>
      </c>
      <c r="T87" s="8"/>
      <c r="U87" s="403">
        <f t="shared" si="8"/>
        <v>3313658</v>
      </c>
      <c r="W87" s="403">
        <f t="shared" si="8"/>
        <v>0</v>
      </c>
      <c r="X87" s="403"/>
      <c r="Y87" s="403">
        <f t="shared" si="9"/>
        <v>925</v>
      </c>
      <c r="AA87" s="403">
        <f t="shared" si="17"/>
        <v>3314583</v>
      </c>
      <c r="AC87" s="403">
        <f t="shared" si="10"/>
        <v>-1659835</v>
      </c>
      <c r="AE87" s="8">
        <f t="shared" si="11"/>
        <v>-1072227.0278721433</v>
      </c>
      <c r="AG87" s="8"/>
      <c r="AL87" s="191" t="e">
        <f>#REF!+E87+AE87+AG87+I87+K87+W87+Y87</f>
        <v>#REF!</v>
      </c>
      <c r="AM87" s="258"/>
      <c r="AN87" s="9"/>
      <c r="AP87" s="9"/>
      <c r="AQ87" s="10"/>
    </row>
    <row r="88" spans="1:43" x14ac:dyDescent="0.2">
      <c r="A88" s="181" t="s">
        <v>29</v>
      </c>
      <c r="C88" s="403">
        <f t="shared" si="12"/>
        <v>0</v>
      </c>
      <c r="E88" s="327">
        <f t="shared" si="13"/>
        <v>0</v>
      </c>
      <c r="G88" s="403">
        <f t="shared" si="14"/>
        <v>0</v>
      </c>
      <c r="H88" s="327"/>
      <c r="I88" s="327">
        <f t="shared" si="5"/>
        <v>0</v>
      </c>
      <c r="K88" s="327">
        <f t="shared" si="5"/>
        <v>0</v>
      </c>
      <c r="M88" s="403">
        <f t="shared" si="15"/>
        <v>0</v>
      </c>
      <c r="N88" s="8"/>
      <c r="O88" s="403">
        <f t="shared" si="6"/>
        <v>0</v>
      </c>
      <c r="P88" s="8"/>
      <c r="Q88" s="403">
        <f t="shared" si="7"/>
        <v>0</v>
      </c>
      <c r="R88" s="8"/>
      <c r="S88" s="403">
        <f t="shared" si="16"/>
        <v>0</v>
      </c>
      <c r="T88" s="8"/>
      <c r="U88" s="403">
        <f t="shared" si="8"/>
        <v>0</v>
      </c>
      <c r="W88" s="403">
        <f t="shared" si="8"/>
        <v>0</v>
      </c>
      <c r="X88" s="403"/>
      <c r="Y88" s="403">
        <f t="shared" si="9"/>
        <v>0</v>
      </c>
      <c r="AA88" s="403">
        <f t="shared" si="17"/>
        <v>0</v>
      </c>
      <c r="AC88" s="403">
        <f t="shared" si="10"/>
        <v>0</v>
      </c>
      <c r="AE88" s="8">
        <f t="shared" si="11"/>
        <v>23.165317799615877</v>
      </c>
      <c r="AG88" s="8"/>
      <c r="AL88" s="191" t="e">
        <f>#REF!+E88+AE88+AG88+I88+K88+W88+Y88</f>
        <v>#REF!</v>
      </c>
      <c r="AM88" s="258"/>
      <c r="AN88" s="9"/>
      <c r="AP88" s="9"/>
      <c r="AQ88" s="10"/>
    </row>
    <row r="89" spans="1:43" x14ac:dyDescent="0.2">
      <c r="A89" s="181" t="s">
        <v>30</v>
      </c>
      <c r="C89" s="403">
        <f>C46-C111</f>
        <v>-59499</v>
      </c>
      <c r="E89" s="327">
        <f t="shared" si="13"/>
        <v>72561</v>
      </c>
      <c r="G89" s="403">
        <f t="shared" si="14"/>
        <v>13062</v>
      </c>
      <c r="H89" s="327"/>
      <c r="I89" s="327">
        <f t="shared" si="5"/>
        <v>-21246</v>
      </c>
      <c r="K89" s="327">
        <f t="shared" si="5"/>
        <v>0</v>
      </c>
      <c r="M89" s="403">
        <f t="shared" si="15"/>
        <v>-21246</v>
      </c>
      <c r="N89" s="8"/>
      <c r="O89" s="403">
        <f t="shared" si="6"/>
        <v>-14302</v>
      </c>
      <c r="P89" s="8"/>
      <c r="Q89" s="403">
        <f t="shared" si="7"/>
        <v>7143</v>
      </c>
      <c r="R89" s="8"/>
      <c r="S89" s="403">
        <f t="shared" si="16"/>
        <v>-7159</v>
      </c>
      <c r="T89" s="8"/>
      <c r="U89" s="403">
        <f t="shared" si="8"/>
        <v>-1430262</v>
      </c>
      <c r="W89" s="403">
        <f t="shared" si="8"/>
        <v>-1535</v>
      </c>
      <c r="X89" s="403"/>
      <c r="Y89" s="403">
        <f t="shared" si="9"/>
        <v>64984</v>
      </c>
      <c r="AA89" s="403">
        <f t="shared" si="17"/>
        <v>-1366813</v>
      </c>
      <c r="AC89" s="403">
        <f t="shared" si="10"/>
        <v>-1382156</v>
      </c>
      <c r="AE89" s="407">
        <f t="shared" si="11"/>
        <v>-893212.18103740923</v>
      </c>
      <c r="AG89" s="8"/>
      <c r="AL89" s="191"/>
      <c r="AM89" s="258"/>
      <c r="AN89" s="9"/>
      <c r="AP89" s="9"/>
      <c r="AQ89" s="10"/>
    </row>
    <row r="90" spans="1:43" x14ac:dyDescent="0.2">
      <c r="A90" s="181" t="s">
        <v>31</v>
      </c>
      <c r="C90" s="403">
        <f t="shared" si="12"/>
        <v>11864</v>
      </c>
      <c r="E90" s="327">
        <f t="shared" si="13"/>
        <v>0</v>
      </c>
      <c r="G90" s="403">
        <f t="shared" si="14"/>
        <v>11864</v>
      </c>
      <c r="H90" s="327"/>
      <c r="I90" s="327">
        <f t="shared" si="5"/>
        <v>0</v>
      </c>
      <c r="K90" s="327">
        <f t="shared" si="5"/>
        <v>0</v>
      </c>
      <c r="M90" s="403">
        <f t="shared" si="15"/>
        <v>0</v>
      </c>
      <c r="N90" s="8"/>
      <c r="O90" s="403">
        <f t="shared" si="6"/>
        <v>19119</v>
      </c>
      <c r="P90" s="8"/>
      <c r="Q90" s="403">
        <f t="shared" si="7"/>
        <v>0</v>
      </c>
      <c r="R90" s="8"/>
      <c r="S90" s="403">
        <f t="shared" si="16"/>
        <v>19119</v>
      </c>
      <c r="T90" s="8"/>
      <c r="U90" s="403">
        <f t="shared" si="8"/>
        <v>-178693</v>
      </c>
      <c r="W90" s="403">
        <f t="shared" si="8"/>
        <v>0</v>
      </c>
      <c r="X90" s="403"/>
      <c r="Y90" s="403">
        <f t="shared" si="9"/>
        <v>0</v>
      </c>
      <c r="AA90" s="403">
        <f t="shared" si="17"/>
        <v>-178693</v>
      </c>
      <c r="AC90" s="403">
        <f t="shared" si="10"/>
        <v>-147710</v>
      </c>
      <c r="AE90" s="8">
        <f t="shared" si="11"/>
        <v>-96746.949314578902</v>
      </c>
      <c r="AG90" s="8"/>
      <c r="AL90" s="191" t="e">
        <f>#REF!+E90+AE90+AG90+I90+K90+W90+Y90</f>
        <v>#REF!</v>
      </c>
      <c r="AM90" s="258"/>
      <c r="AN90" s="9"/>
      <c r="AP90" s="9"/>
      <c r="AQ90" s="10"/>
    </row>
    <row r="91" spans="1:43" x14ac:dyDescent="0.2">
      <c r="A91" s="181" t="s">
        <v>32</v>
      </c>
      <c r="C91" s="403">
        <f t="shared" si="12"/>
        <v>-8678</v>
      </c>
      <c r="E91" s="327">
        <f t="shared" si="13"/>
        <v>0</v>
      </c>
      <c r="G91" s="403">
        <f t="shared" si="14"/>
        <v>-8678</v>
      </c>
      <c r="H91" s="327"/>
      <c r="I91" s="327">
        <f t="shared" si="5"/>
        <v>0</v>
      </c>
      <c r="K91" s="327">
        <f t="shared" si="5"/>
        <v>0</v>
      </c>
      <c r="M91" s="403">
        <f t="shared" si="15"/>
        <v>0</v>
      </c>
      <c r="N91" s="8"/>
      <c r="O91" s="403">
        <f t="shared" si="6"/>
        <v>0</v>
      </c>
      <c r="P91" s="8"/>
      <c r="Q91" s="403">
        <f t="shared" si="7"/>
        <v>0</v>
      </c>
      <c r="R91" s="8"/>
      <c r="S91" s="403">
        <f t="shared" si="16"/>
        <v>0</v>
      </c>
      <c r="T91" s="8"/>
      <c r="U91" s="403">
        <f t="shared" si="8"/>
        <v>569573</v>
      </c>
      <c r="W91" s="403">
        <f t="shared" si="8"/>
        <v>0</v>
      </c>
      <c r="X91" s="403"/>
      <c r="Y91" s="403">
        <f t="shared" si="9"/>
        <v>0</v>
      </c>
      <c r="AA91" s="403">
        <f t="shared" si="17"/>
        <v>569573</v>
      </c>
      <c r="AC91" s="403">
        <f t="shared" si="10"/>
        <v>560895</v>
      </c>
      <c r="AE91" s="8">
        <f t="shared" si="11"/>
        <v>364839.37924684118</v>
      </c>
      <c r="AG91" s="8"/>
      <c r="AL91" s="191" t="e">
        <f>#REF!+E91+AE91+AG91+I91+K91+W91+Y91</f>
        <v>#REF!</v>
      </c>
      <c r="AM91" s="258"/>
      <c r="AN91" s="9"/>
      <c r="AP91" s="9"/>
      <c r="AQ91" s="10"/>
    </row>
    <row r="92" spans="1:43" x14ac:dyDescent="0.2">
      <c r="A92" s="181" t="s">
        <v>33</v>
      </c>
      <c r="C92" s="403">
        <f t="shared" si="12"/>
        <v>973</v>
      </c>
      <c r="E92" s="327">
        <f t="shared" si="13"/>
        <v>0</v>
      </c>
      <c r="G92" s="403">
        <f t="shared" si="14"/>
        <v>973</v>
      </c>
      <c r="H92" s="327"/>
      <c r="I92" s="327">
        <f t="shared" si="5"/>
        <v>0</v>
      </c>
      <c r="K92" s="327">
        <f t="shared" si="5"/>
        <v>0</v>
      </c>
      <c r="M92" s="403">
        <f t="shared" si="15"/>
        <v>0</v>
      </c>
      <c r="N92" s="8"/>
      <c r="O92" s="403">
        <f t="shared" si="6"/>
        <v>0</v>
      </c>
      <c r="P92" s="8"/>
      <c r="Q92" s="403">
        <f t="shared" si="7"/>
        <v>0</v>
      </c>
      <c r="R92" s="8"/>
      <c r="S92" s="403">
        <f t="shared" si="16"/>
        <v>0</v>
      </c>
      <c r="T92" s="8"/>
      <c r="U92" s="403">
        <f t="shared" si="8"/>
        <v>68553</v>
      </c>
      <c r="W92" s="403">
        <f t="shared" si="8"/>
        <v>0</v>
      </c>
      <c r="X92" s="403"/>
      <c r="Y92" s="403">
        <f t="shared" si="9"/>
        <v>0</v>
      </c>
      <c r="AA92" s="403">
        <f t="shared" si="17"/>
        <v>68553</v>
      </c>
      <c r="AC92" s="403">
        <f t="shared" si="10"/>
        <v>69526</v>
      </c>
      <c r="AE92" s="8">
        <f t="shared" si="11"/>
        <v>44642.612865883042</v>
      </c>
      <c r="AG92" s="8"/>
      <c r="AL92" s="191" t="e">
        <f>#REF!+E92+AE92+AG92+I92+K92+W92+Y92</f>
        <v>#REF!</v>
      </c>
      <c r="AM92" s="258"/>
      <c r="AN92" s="9"/>
      <c r="AP92" s="9"/>
      <c r="AQ92" s="10"/>
    </row>
    <row r="93" spans="1:43" x14ac:dyDescent="0.2">
      <c r="A93" s="181" t="s">
        <v>34</v>
      </c>
      <c r="C93" s="403">
        <f t="shared" si="12"/>
        <v>0</v>
      </c>
      <c r="E93" s="327">
        <f t="shared" si="13"/>
        <v>0</v>
      </c>
      <c r="G93" s="403">
        <f t="shared" si="14"/>
        <v>0</v>
      </c>
      <c r="H93" s="327"/>
      <c r="I93" s="327">
        <f t="shared" si="5"/>
        <v>0</v>
      </c>
      <c r="K93" s="327">
        <f t="shared" si="5"/>
        <v>0</v>
      </c>
      <c r="M93" s="403">
        <f t="shared" si="15"/>
        <v>0</v>
      </c>
      <c r="N93" s="8"/>
      <c r="O93" s="403">
        <f t="shared" si="6"/>
        <v>0</v>
      </c>
      <c r="P93" s="8"/>
      <c r="Q93" s="403">
        <f t="shared" si="7"/>
        <v>0</v>
      </c>
      <c r="R93" s="8"/>
      <c r="S93" s="403">
        <f t="shared" si="16"/>
        <v>0</v>
      </c>
      <c r="T93" s="8"/>
      <c r="U93" s="403">
        <f t="shared" si="8"/>
        <v>0</v>
      </c>
      <c r="W93" s="403">
        <f t="shared" si="8"/>
        <v>0</v>
      </c>
      <c r="X93" s="403"/>
      <c r="Y93" s="403">
        <f t="shared" si="9"/>
        <v>0</v>
      </c>
      <c r="AA93" s="403">
        <f t="shared" si="17"/>
        <v>0</v>
      </c>
      <c r="AC93" s="403">
        <f t="shared" si="10"/>
        <v>0</v>
      </c>
      <c r="AE93" s="8">
        <f t="shared" si="11"/>
        <v>0</v>
      </c>
      <c r="AG93" s="8"/>
      <c r="AL93" s="191" t="e">
        <f>#REF!+E93+AE93+AG93+I93+K93+W93+Y93</f>
        <v>#REF!</v>
      </c>
      <c r="AM93" s="258"/>
      <c r="AN93" s="9"/>
      <c r="AP93" s="9"/>
      <c r="AQ93" s="10"/>
    </row>
    <row r="94" spans="1:43" x14ac:dyDescent="0.2">
      <c r="A94" s="181" t="s">
        <v>35</v>
      </c>
      <c r="C94" s="403">
        <f t="shared" si="12"/>
        <v>-5000</v>
      </c>
      <c r="E94" s="327">
        <f t="shared" si="13"/>
        <v>0</v>
      </c>
      <c r="G94" s="403">
        <f t="shared" si="14"/>
        <v>-5000</v>
      </c>
      <c r="H94" s="327"/>
      <c r="I94" s="327">
        <f t="shared" si="5"/>
        <v>0</v>
      </c>
      <c r="K94" s="327">
        <f t="shared" si="5"/>
        <v>0</v>
      </c>
      <c r="M94" s="403">
        <f t="shared" si="15"/>
        <v>0</v>
      </c>
      <c r="N94" s="8"/>
      <c r="O94" s="403">
        <f t="shared" si="6"/>
        <v>0</v>
      </c>
      <c r="P94" s="8"/>
      <c r="Q94" s="403">
        <f t="shared" si="7"/>
        <v>0</v>
      </c>
      <c r="R94" s="8"/>
      <c r="S94" s="403">
        <f t="shared" si="16"/>
        <v>0</v>
      </c>
      <c r="T94" s="8"/>
      <c r="U94" s="403">
        <f t="shared" si="8"/>
        <v>0</v>
      </c>
      <c r="W94" s="403">
        <f t="shared" si="8"/>
        <v>0</v>
      </c>
      <c r="X94" s="403"/>
      <c r="Y94" s="403">
        <f t="shared" si="9"/>
        <v>0</v>
      </c>
      <c r="AA94" s="403">
        <f t="shared" si="17"/>
        <v>0</v>
      </c>
      <c r="AC94" s="403">
        <f t="shared" si="10"/>
        <v>-5000</v>
      </c>
      <c r="AE94" s="8">
        <f t="shared" si="11"/>
        <v>-3217.2496722180367</v>
      </c>
      <c r="AG94" s="8"/>
      <c r="AL94" s="191" t="e">
        <f>#REF!+E94+AE94+AG94+I94+K94+W94+Y94</f>
        <v>#REF!</v>
      </c>
      <c r="AM94" s="258"/>
      <c r="AN94" s="9"/>
      <c r="AP94" s="9"/>
      <c r="AQ94" s="10"/>
    </row>
    <row r="95" spans="1:43" x14ac:dyDescent="0.2">
      <c r="A95" s="269" t="s">
        <v>36</v>
      </c>
      <c r="B95" s="270"/>
      <c r="C95" s="453">
        <f>SUM(C85:C94)</f>
        <v>-1358718</v>
      </c>
      <c r="D95" s="270"/>
      <c r="E95" s="328">
        <f>SUM(E85:E94)</f>
        <v>71571</v>
      </c>
      <c r="F95" s="270"/>
      <c r="G95" s="453">
        <f>SUM(G85:G94)</f>
        <v>-1287147</v>
      </c>
      <c r="H95" s="327"/>
      <c r="I95" s="482">
        <f>SUM(I85:I94)</f>
        <v>1134595</v>
      </c>
      <c r="J95" s="270"/>
      <c r="K95" s="482">
        <f>SUM(K85:K94)</f>
        <v>0</v>
      </c>
      <c r="L95" s="270"/>
      <c r="M95" s="328">
        <f>SUM(M85:M94)</f>
        <v>1134595</v>
      </c>
      <c r="N95" s="315"/>
      <c r="O95" s="453">
        <f>SUM(O85:O94)</f>
        <v>-2389886</v>
      </c>
      <c r="P95" s="315"/>
      <c r="Q95" s="453">
        <f>SUM(Q85:Q94)</f>
        <v>7143</v>
      </c>
      <c r="R95" s="315"/>
      <c r="S95" s="453">
        <f>SUM(S85:S94)</f>
        <v>-2382743</v>
      </c>
      <c r="T95" s="315"/>
      <c r="U95" s="453">
        <f>SUM(U85:U94)</f>
        <v>1860241</v>
      </c>
      <c r="V95" s="270"/>
      <c r="W95" s="453">
        <f>SUM(W85:W94)</f>
        <v>45999</v>
      </c>
      <c r="X95" s="327"/>
      <c r="Y95" s="328">
        <f>SUM(Y85:Y94)</f>
        <v>96644</v>
      </c>
      <c r="Z95" s="270"/>
      <c r="AA95" s="328">
        <f>SUM(AA85:AA94)</f>
        <v>2002884</v>
      </c>
      <c r="AB95" s="270"/>
      <c r="AC95" s="328">
        <f>SUM(AC85:AC94)</f>
        <v>-532411</v>
      </c>
      <c r="AD95" s="270"/>
      <c r="AE95" s="188">
        <f>SUM(AE85:AE94)</f>
        <v>-341200.07839536149</v>
      </c>
      <c r="AF95" s="270"/>
      <c r="AG95" s="315"/>
      <c r="AH95" s="270"/>
      <c r="AI95" s="270"/>
      <c r="AK95" s="270"/>
      <c r="AL95" s="271" t="e">
        <f>SUM(AL86:AL94)</f>
        <v>#REF!</v>
      </c>
      <c r="AM95" s="258"/>
      <c r="AN95" s="9"/>
      <c r="AP95" s="9"/>
      <c r="AQ95" s="10"/>
    </row>
    <row r="96" spans="1:43" x14ac:dyDescent="0.2">
      <c r="A96" s="338" t="s">
        <v>37</v>
      </c>
      <c r="B96" s="265"/>
      <c r="C96" s="453">
        <f>C53-C118</f>
        <v>0</v>
      </c>
      <c r="D96" s="265"/>
      <c r="E96" s="328">
        <f>E53-E118</f>
        <v>0</v>
      </c>
      <c r="F96" s="265"/>
      <c r="G96" s="328">
        <f t="shared" si="14"/>
        <v>0</v>
      </c>
      <c r="H96" s="327"/>
      <c r="I96" s="453">
        <f>I53-I118</f>
        <v>0</v>
      </c>
      <c r="J96" s="265"/>
      <c r="K96" s="453">
        <f>K53-K118</f>
        <v>0</v>
      </c>
      <c r="L96" s="265"/>
      <c r="M96" s="328">
        <f>(+K96+I96)</f>
        <v>0</v>
      </c>
      <c r="N96" s="473"/>
      <c r="O96" s="453">
        <f>O53-O118</f>
        <v>0</v>
      </c>
      <c r="P96" s="473"/>
      <c r="Q96" s="453">
        <f>Q53-Q118</f>
        <v>0</v>
      </c>
      <c r="R96" s="473"/>
      <c r="S96" s="453">
        <f>(+Q96+O96)</f>
        <v>0</v>
      </c>
      <c r="T96" s="473"/>
      <c r="U96" s="453">
        <f>U53-U118</f>
        <v>0</v>
      </c>
      <c r="V96" s="265"/>
      <c r="W96" s="453">
        <f>W53-W118</f>
        <v>0</v>
      </c>
      <c r="X96" s="327"/>
      <c r="Y96" s="328">
        <f>Y53-Y118</f>
        <v>0</v>
      </c>
      <c r="Z96" s="265"/>
      <c r="AA96" s="328">
        <f>(+U96+W96+Y96)</f>
        <v>0</v>
      </c>
      <c r="AB96" s="265"/>
      <c r="AC96" s="328">
        <f>M96+G96+AA96+S96</f>
        <v>0</v>
      </c>
      <c r="AD96" s="265"/>
      <c r="AE96" s="188">
        <f>AE53-AE118</f>
        <v>0</v>
      </c>
      <c r="AF96" s="265"/>
      <c r="AG96" s="473"/>
      <c r="AH96" s="265"/>
      <c r="AI96" s="265"/>
      <c r="AK96" s="265"/>
      <c r="AL96" s="188" t="e">
        <f>#REF!+E96+AE96+AG96+I96+K96+W96+Y96</f>
        <v>#REF!</v>
      </c>
      <c r="AM96" s="258"/>
    </row>
    <row r="97" spans="1:42" x14ac:dyDescent="0.2">
      <c r="A97" s="338" t="s">
        <v>38</v>
      </c>
      <c r="B97" s="265"/>
      <c r="C97" s="453">
        <f>C54-C119</f>
        <v>-19473</v>
      </c>
      <c r="D97" s="265"/>
      <c r="E97" s="328">
        <f>E54-E119</f>
        <v>1</v>
      </c>
      <c r="F97" s="265"/>
      <c r="G97" s="328">
        <f t="shared" si="14"/>
        <v>-19472</v>
      </c>
      <c r="H97" s="327"/>
      <c r="I97" s="453">
        <f>I54-I119</f>
        <v>-362</v>
      </c>
      <c r="J97" s="265"/>
      <c r="K97" s="453">
        <f>K54-K119</f>
        <v>0</v>
      </c>
      <c r="L97" s="265"/>
      <c r="M97" s="328">
        <f>(+K97+I97)</f>
        <v>-362</v>
      </c>
      <c r="N97" s="473"/>
      <c r="O97" s="453">
        <f>O54-O119</f>
        <v>35468</v>
      </c>
      <c r="P97" s="473"/>
      <c r="Q97" s="453">
        <f>Q54-Q119</f>
        <v>1</v>
      </c>
      <c r="R97" s="473"/>
      <c r="S97" s="453">
        <f>(+Q97+O97)</f>
        <v>35469</v>
      </c>
      <c r="T97" s="473"/>
      <c r="U97" s="453">
        <f>U54-U119</f>
        <v>-158774</v>
      </c>
      <c r="V97" s="265"/>
      <c r="W97" s="453">
        <f>W54-W119</f>
        <v>-2</v>
      </c>
      <c r="X97" s="327"/>
      <c r="Y97" s="328">
        <f>Y54-Y119</f>
        <v>-685</v>
      </c>
      <c r="Z97" s="265"/>
      <c r="AA97" s="328">
        <f>(+U97+W97+Y97)</f>
        <v>-159461</v>
      </c>
      <c r="AB97" s="265"/>
      <c r="AC97" s="328">
        <f>M97+G97+AA97+S97</f>
        <v>-143826</v>
      </c>
      <c r="AD97" s="265"/>
      <c r="AE97" s="188">
        <f>AE54-AE119</f>
        <v>-93234.198652035993</v>
      </c>
      <c r="AF97" s="265"/>
      <c r="AG97" s="473"/>
      <c r="AH97" s="265"/>
      <c r="AI97" s="265"/>
      <c r="AK97" s="265"/>
      <c r="AL97" s="188" t="e">
        <f>#REF!+E97+AE97+AG97+I97+K97+W97+Y97</f>
        <v>#REF!</v>
      </c>
      <c r="AM97" s="258"/>
    </row>
    <row r="98" spans="1:42" x14ac:dyDescent="0.2">
      <c r="A98" s="269" t="s">
        <v>52</v>
      </c>
      <c r="B98" s="334">
        <f>SUM(C95:C97)+C83-C98</f>
        <v>0</v>
      </c>
      <c r="C98" s="453">
        <f>C68-C103</f>
        <v>-1372449</v>
      </c>
      <c r="D98" s="334"/>
      <c r="E98" s="328">
        <f>E68-E103</f>
        <v>71572</v>
      </c>
      <c r="F98" s="270"/>
      <c r="G98" s="328">
        <f>G83+G95+G96+G97</f>
        <v>-1300877</v>
      </c>
      <c r="H98" s="327"/>
      <c r="I98" s="453">
        <f>I68-I103</f>
        <v>1134233</v>
      </c>
      <c r="J98" s="270">
        <f>SUM(K95:K97)+K83-K98</f>
        <v>0</v>
      </c>
      <c r="K98" s="453">
        <f>K68-K103</f>
        <v>0</v>
      </c>
      <c r="L98" s="270"/>
      <c r="M98" s="328">
        <f>M83+M95+M96+M97</f>
        <v>1134233</v>
      </c>
      <c r="N98" s="315"/>
      <c r="O98" s="453">
        <f>O68-O103</f>
        <v>-2354418</v>
      </c>
      <c r="P98" s="315">
        <f>SUM(U95:U97)+U83-U98</f>
        <v>0</v>
      </c>
      <c r="Q98" s="453">
        <f>Q68-Q103</f>
        <v>7144</v>
      </c>
      <c r="R98" s="315">
        <f>SUM(U95:U97)+U83-U98</f>
        <v>0</v>
      </c>
      <c r="S98" s="453">
        <f>S83+S95+S96+S97</f>
        <v>-2347274</v>
      </c>
      <c r="T98" s="315"/>
      <c r="U98" s="453">
        <f>U68-U103</f>
        <v>1701467</v>
      </c>
      <c r="V98" s="270">
        <f>SUM(W95:W97)+W83-W98</f>
        <v>0</v>
      </c>
      <c r="W98" s="453">
        <f>W68-W103</f>
        <v>45997</v>
      </c>
      <c r="X98" s="334">
        <f>SUM(Y95:Y97)+Y83-Y98</f>
        <v>0</v>
      </c>
      <c r="Y98" s="328">
        <f>Y68-Y103</f>
        <v>95959</v>
      </c>
      <c r="Z98" s="270"/>
      <c r="AA98" s="328">
        <f>AA83+AA95+AA96+AA97</f>
        <v>1843423</v>
      </c>
      <c r="AB98" s="270">
        <f>SUM(AC95:AC97)+AC83-AC98</f>
        <v>0</v>
      </c>
      <c r="AC98" s="328">
        <f>M98+G98+AA98+S98</f>
        <v>-670495</v>
      </c>
      <c r="AD98" s="500">
        <f>(SUM(AE95:AE97)+AE83-AE98)</f>
        <v>2.7596252039074898E-7</v>
      </c>
      <c r="AE98" s="188">
        <f>AE68-AE103-AE57</f>
        <v>-431016.7454474736</v>
      </c>
      <c r="AF98" s="270">
        <f>SUM(AG95:AG97)+AG83-AG98</f>
        <v>0</v>
      </c>
      <c r="AG98" s="315"/>
      <c r="AH98" s="270">
        <f>SUM(I95:I97)+I83-I98</f>
        <v>0</v>
      </c>
      <c r="AI98" s="270">
        <f>SUM(Y95:Y97)+Y83-Y98</f>
        <v>0</v>
      </c>
      <c r="AK98" s="270" t="e">
        <f>SUM(AL95:AL97)+AL83-AL98</f>
        <v>#REF!</v>
      </c>
      <c r="AL98" s="271" t="e">
        <f>AL83+AL95+AL96+AL97</f>
        <v>#REF!</v>
      </c>
      <c r="AM98" s="258"/>
      <c r="AN98" s="6"/>
      <c r="AO98" s="270"/>
    </row>
    <row r="99" spans="1:42" hidden="1" x14ac:dyDescent="0.2">
      <c r="A99" s="269" t="s">
        <v>53</v>
      </c>
      <c r="B99" s="270"/>
      <c r="C99" s="454"/>
      <c r="D99" s="270"/>
      <c r="E99" s="191"/>
      <c r="F99" s="397"/>
      <c r="G99" s="188" t="e">
        <f>G98/SpotRates!B36</f>
        <v>#DIV/0!</v>
      </c>
      <c r="H99" s="191"/>
      <c r="I99" s="479"/>
      <c r="J99" s="270"/>
      <c r="K99" s="315"/>
      <c r="L99" s="397"/>
      <c r="M99" s="188" t="e">
        <f>M98/SpotRates!H36</f>
        <v>#DIV/0!</v>
      </c>
      <c r="N99" s="315"/>
      <c r="O99" s="454"/>
      <c r="P99" s="315"/>
      <c r="Q99" s="454"/>
      <c r="R99" s="315"/>
      <c r="S99" s="454" t="e">
        <f>S98/[1]SpotRates!N36</f>
        <v>#DIV/0!</v>
      </c>
      <c r="T99" s="315"/>
      <c r="U99" s="454"/>
      <c r="V99" s="270"/>
      <c r="W99" s="315"/>
      <c r="X99" s="191"/>
      <c r="Y99" s="188"/>
      <c r="Z99" s="397"/>
      <c r="AA99" s="315" t="e">
        <f>AA98/SpotRates!T36</f>
        <v>#DIV/0!</v>
      </c>
      <c r="AB99" s="270"/>
      <c r="AC99" s="188">
        <f>AC98/[1]SpotRates!F36</f>
        <v>-446823.8434214812</v>
      </c>
      <c r="AD99" s="270"/>
      <c r="AE99" s="315"/>
      <c r="AF99" s="270"/>
      <c r="AG99" s="315"/>
      <c r="AH99" s="270"/>
      <c r="AI99" s="270"/>
      <c r="AK99" s="270"/>
      <c r="AL99" s="316"/>
      <c r="AM99" s="258"/>
      <c r="AN99" s="6"/>
    </row>
    <row r="100" spans="1:42" hidden="1" x14ac:dyDescent="0.2">
      <c r="A100" s="269" t="s">
        <v>40</v>
      </c>
      <c r="B100" s="270"/>
      <c r="C100" s="454"/>
      <c r="D100" s="270"/>
      <c r="E100" s="191"/>
      <c r="F100" s="397"/>
      <c r="G100" s="188" t="e">
        <f>G101-G99</f>
        <v>#REF!</v>
      </c>
      <c r="H100" s="191"/>
      <c r="I100" s="315"/>
      <c r="J100" s="270"/>
      <c r="K100" s="315"/>
      <c r="L100" s="397"/>
      <c r="M100" s="188" t="e">
        <f>M101-M99</f>
        <v>#REF!</v>
      </c>
      <c r="N100" s="315"/>
      <c r="O100" s="454"/>
      <c r="P100" s="315"/>
      <c r="Q100" s="454"/>
      <c r="R100" s="315"/>
      <c r="S100" s="454" t="e">
        <f>S101-S99</f>
        <v>#REF!</v>
      </c>
      <c r="T100" s="315"/>
      <c r="U100" s="454"/>
      <c r="V100" s="270"/>
      <c r="W100" s="315"/>
      <c r="X100" s="191"/>
      <c r="Y100" s="188"/>
      <c r="Z100" s="397"/>
      <c r="AA100" s="315" t="e">
        <f>AA101-AA99</f>
        <v>#REF!</v>
      </c>
      <c r="AB100" s="270"/>
      <c r="AC100" s="188">
        <f>AC101-AC99</f>
        <v>15807.0979740076</v>
      </c>
      <c r="AD100" s="270"/>
      <c r="AE100" s="315"/>
      <c r="AF100" s="270"/>
      <c r="AG100" s="315"/>
      <c r="AH100" s="270"/>
      <c r="AI100" s="270"/>
      <c r="AK100" s="270"/>
      <c r="AL100" s="316"/>
      <c r="AM100" s="258"/>
      <c r="AN100" s="6"/>
    </row>
    <row r="101" spans="1:42" hidden="1" x14ac:dyDescent="0.2">
      <c r="A101" s="269" t="s">
        <v>54</v>
      </c>
      <c r="B101" s="270"/>
      <c r="C101" s="454"/>
      <c r="D101" s="270"/>
      <c r="E101" s="191"/>
      <c r="F101" s="397"/>
      <c r="G101" s="188" t="e">
        <f>#REF!</f>
        <v>#REF!</v>
      </c>
      <c r="H101" s="191"/>
      <c r="I101" s="315"/>
      <c r="J101" s="270"/>
      <c r="K101" s="315"/>
      <c r="L101" s="397"/>
      <c r="M101" s="188" t="e">
        <f>#REF!</f>
        <v>#REF!</v>
      </c>
      <c r="N101" s="315"/>
      <c r="O101" s="454"/>
      <c r="P101" s="315"/>
      <c r="Q101" s="454"/>
      <c r="R101" s="315"/>
      <c r="S101" s="454" t="e">
        <f>#REF!</f>
        <v>#REF!</v>
      </c>
      <c r="T101" s="315"/>
      <c r="U101" s="454"/>
      <c r="V101" s="270"/>
      <c r="W101" s="315"/>
      <c r="X101" s="191"/>
      <c r="Y101" s="188"/>
      <c r="Z101" s="397"/>
      <c r="AA101" s="315" t="e">
        <f>#REF!</f>
        <v>#REF!</v>
      </c>
      <c r="AB101" s="270"/>
      <c r="AC101" s="188">
        <f>AE98</f>
        <v>-431016.7454474736</v>
      </c>
      <c r="AD101" s="270"/>
      <c r="AE101" s="315"/>
      <c r="AF101" s="270"/>
      <c r="AG101" s="315"/>
      <c r="AH101" s="270"/>
      <c r="AI101" s="270"/>
      <c r="AK101" s="270"/>
      <c r="AL101" s="316"/>
      <c r="AM101" s="258"/>
      <c r="AN101" s="6"/>
    </row>
    <row r="102" spans="1:42" x14ac:dyDescent="0.2">
      <c r="A102" s="269" t="s">
        <v>480</v>
      </c>
      <c r="C102" s="455"/>
      <c r="E102" s="311"/>
      <c r="G102" s="311"/>
      <c r="H102" s="311"/>
      <c r="M102" s="573">
        <f>+M98+G98</f>
        <v>-166644</v>
      </c>
      <c r="O102" s="455"/>
      <c r="Q102" s="455"/>
      <c r="S102" s="573">
        <f>+S98+M98+G98</f>
        <v>-2513918</v>
      </c>
      <c r="U102" s="455"/>
      <c r="X102" s="311"/>
      <c r="Y102" s="311"/>
      <c r="AB102" s="42" t="s">
        <v>55</v>
      </c>
      <c r="AC102" s="311"/>
    </row>
    <row r="103" spans="1:42" x14ac:dyDescent="0.2">
      <c r="A103" s="181" t="s">
        <v>56</v>
      </c>
      <c r="B103" s="192"/>
      <c r="C103" s="312">
        <v>249300919.43491319</v>
      </c>
      <c r="D103" s="192">
        <v>0</v>
      </c>
      <c r="E103" s="312">
        <v>36229469</v>
      </c>
      <c r="F103" s="192"/>
      <c r="G103" s="312">
        <v>285530388.43491316</v>
      </c>
      <c r="H103" s="456">
        <v>0</v>
      </c>
      <c r="I103" s="312">
        <v>1363372</v>
      </c>
      <c r="J103" s="192">
        <v>0</v>
      </c>
      <c r="K103" s="196">
        <v>1961035</v>
      </c>
      <c r="L103" s="192"/>
      <c r="M103" s="312">
        <v>3324407</v>
      </c>
      <c r="N103" s="199">
        <v>0</v>
      </c>
      <c r="O103" s="312">
        <v>-7386005</v>
      </c>
      <c r="P103" s="199">
        <v>0</v>
      </c>
      <c r="Q103" s="312">
        <v>2424318</v>
      </c>
      <c r="R103" s="199">
        <v>0</v>
      </c>
      <c r="S103" s="312">
        <v>-4961687</v>
      </c>
      <c r="T103" s="199">
        <v>0</v>
      </c>
      <c r="U103" s="312">
        <v>-3105904.5399999917</v>
      </c>
      <c r="V103" s="192">
        <v>0</v>
      </c>
      <c r="W103" s="196">
        <v>-2474530</v>
      </c>
      <c r="X103" s="312">
        <v>0</v>
      </c>
      <c r="Y103" s="312">
        <v>2279737</v>
      </c>
      <c r="Z103" s="192"/>
      <c r="AA103" s="196">
        <v>-3300697.5399999917</v>
      </c>
      <c r="AB103" s="192">
        <v>-0.24000000953674316</v>
      </c>
      <c r="AC103" s="312">
        <v>280592410.8949132</v>
      </c>
      <c r="AD103" s="491">
        <v>-0.15880811214447021</v>
      </c>
      <c r="AE103" s="490">
        <f>174383164.325367-AE122</f>
        <v>177844322.10367611</v>
      </c>
      <c r="AF103" s="192">
        <v>0</v>
      </c>
      <c r="AG103" s="199"/>
      <c r="AH103" s="192"/>
      <c r="AI103" s="192">
        <v>0</v>
      </c>
      <c r="AK103" s="192">
        <v>3.2578736543655396E-2</v>
      </c>
      <c r="AL103" s="196">
        <v>158315437.80704847</v>
      </c>
      <c r="AM103" s="6"/>
      <c r="AP103" s="1" t="s">
        <v>57</v>
      </c>
    </row>
    <row r="104" spans="1:42" x14ac:dyDescent="0.2">
      <c r="A104" s="181"/>
      <c r="C104" s="457"/>
      <c r="E104" s="317"/>
      <c r="G104" s="317"/>
      <c r="H104" s="457"/>
      <c r="I104" s="317"/>
      <c r="K104" s="11"/>
      <c r="M104" s="317"/>
      <c r="N104" s="474"/>
      <c r="O104" s="317"/>
      <c r="P104" s="474"/>
      <c r="Q104" s="317"/>
      <c r="R104" s="474"/>
      <c r="S104" s="317"/>
      <c r="T104" s="474"/>
      <c r="U104" s="317"/>
      <c r="W104" s="11"/>
      <c r="X104" s="317"/>
      <c r="Y104" s="317"/>
      <c r="AA104" s="11"/>
      <c r="AC104" s="317"/>
      <c r="AD104" s="492"/>
      <c r="AE104" s="493"/>
      <c r="AG104" s="474"/>
      <c r="AL104" s="11"/>
    </row>
    <row r="105" spans="1:42" x14ac:dyDescent="0.2">
      <c r="A105" s="181" t="s">
        <v>58</v>
      </c>
      <c r="C105" s="483">
        <v>597245</v>
      </c>
      <c r="E105" s="313">
        <v>0</v>
      </c>
      <c r="G105" s="313">
        <v>597245</v>
      </c>
      <c r="H105" s="455"/>
      <c r="I105" s="313">
        <v>0</v>
      </c>
      <c r="K105" s="198">
        <v>0</v>
      </c>
      <c r="M105" s="313">
        <v>0</v>
      </c>
      <c r="N105" s="199"/>
      <c r="O105" s="313">
        <v>0</v>
      </c>
      <c r="P105" s="199"/>
      <c r="Q105" s="313">
        <v>0</v>
      </c>
      <c r="R105" s="199"/>
      <c r="S105" s="313">
        <v>0</v>
      </c>
      <c r="T105" s="199"/>
      <c r="U105" s="313">
        <v>54909</v>
      </c>
      <c r="W105" s="198">
        <v>0</v>
      </c>
      <c r="X105" s="314"/>
      <c r="Y105" s="313">
        <v>0</v>
      </c>
      <c r="AA105" s="198">
        <v>54909</v>
      </c>
      <c r="AC105" s="313">
        <v>652154</v>
      </c>
      <c r="AD105" s="492"/>
      <c r="AE105" s="490">
        <v>423657.15909782989</v>
      </c>
      <c r="AG105" s="199"/>
      <c r="AK105" s="42">
        <v>0</v>
      </c>
      <c r="AL105" s="198">
        <v>7940848.8479111232</v>
      </c>
    </row>
    <row r="106" spans="1:42" x14ac:dyDescent="0.2">
      <c r="A106" s="181" t="s">
        <v>59</v>
      </c>
      <c r="C106" s="456"/>
      <c r="E106" s="312"/>
      <c r="G106" s="312"/>
      <c r="H106" s="456"/>
      <c r="I106" s="312"/>
      <c r="K106" s="196"/>
      <c r="M106" s="312"/>
      <c r="N106" s="199"/>
      <c r="O106" s="312"/>
      <c r="P106" s="199"/>
      <c r="Q106" s="312"/>
      <c r="R106" s="199"/>
      <c r="S106" s="312"/>
      <c r="T106" s="199"/>
      <c r="U106" s="312"/>
      <c r="W106" s="196"/>
      <c r="X106" s="312"/>
      <c r="Y106" s="312"/>
      <c r="AA106" s="196"/>
      <c r="AC106" s="312"/>
      <c r="AD106" s="492"/>
      <c r="AE106" s="494"/>
      <c r="AG106" s="199"/>
      <c r="AL106" s="196"/>
    </row>
    <row r="107" spans="1:42" s="400" customFormat="1" x14ac:dyDescent="0.2">
      <c r="A107" s="181" t="s">
        <v>60</v>
      </c>
      <c r="B107" s="42"/>
      <c r="C107" s="455">
        <v>-105054</v>
      </c>
      <c r="D107" s="42"/>
      <c r="E107" s="314">
        <v>-25244</v>
      </c>
      <c r="F107" s="42"/>
      <c r="G107" s="314">
        <v>-130298</v>
      </c>
      <c r="H107" s="455"/>
      <c r="I107" s="314">
        <v>261648</v>
      </c>
      <c r="J107" s="48"/>
      <c r="K107" s="196">
        <v>8211</v>
      </c>
      <c r="L107" s="42"/>
      <c r="M107" s="314">
        <v>269859</v>
      </c>
      <c r="N107" s="199"/>
      <c r="O107" s="314">
        <v>214813</v>
      </c>
      <c r="P107" s="199"/>
      <c r="Q107" s="314">
        <v>138</v>
      </c>
      <c r="R107" s="199"/>
      <c r="S107" s="314">
        <v>214951</v>
      </c>
      <c r="T107" s="199"/>
      <c r="U107" s="314">
        <v>1746302</v>
      </c>
      <c r="V107" s="398"/>
      <c r="W107" s="196">
        <v>768</v>
      </c>
      <c r="X107" s="314"/>
      <c r="Y107" s="196">
        <v>234617</v>
      </c>
      <c r="Z107" s="42"/>
      <c r="AA107" s="196">
        <v>1981687</v>
      </c>
      <c r="AB107" s="42"/>
      <c r="AC107" s="196">
        <v>2336199</v>
      </c>
      <c r="AD107" s="492"/>
      <c r="AE107" s="495">
        <v>1517659.0673785503</v>
      </c>
      <c r="AF107" s="42"/>
      <c r="AG107" s="199"/>
      <c r="AH107" s="42"/>
      <c r="AI107" s="398"/>
      <c r="AK107" s="398"/>
      <c r="AL107" s="399"/>
      <c r="AO107" s="401"/>
    </row>
    <row r="108" spans="1:42" x14ac:dyDescent="0.2">
      <c r="A108" s="181" t="s">
        <v>61</v>
      </c>
      <c r="C108" s="455">
        <v>1974388</v>
      </c>
      <c r="E108" s="314">
        <v>0</v>
      </c>
      <c r="G108" s="314">
        <v>1974388</v>
      </c>
      <c r="H108" s="455"/>
      <c r="I108" s="314">
        <v>-1666039</v>
      </c>
      <c r="K108" s="199">
        <v>0</v>
      </c>
      <c r="M108" s="314">
        <v>-1666039</v>
      </c>
      <c r="N108" s="199"/>
      <c r="O108" s="314">
        <v>-2273525</v>
      </c>
      <c r="P108" s="199"/>
      <c r="Q108" s="314">
        <v>0</v>
      </c>
      <c r="R108" s="199"/>
      <c r="S108" s="314">
        <v>-2273525</v>
      </c>
      <c r="T108" s="199"/>
      <c r="U108" s="314">
        <v>10624989</v>
      </c>
      <c r="W108" s="199">
        <v>0</v>
      </c>
      <c r="X108" s="314"/>
      <c r="Y108" s="196">
        <v>-1959254</v>
      </c>
      <c r="AA108" s="199">
        <v>8665735</v>
      </c>
      <c r="AC108" s="196">
        <v>6700559</v>
      </c>
      <c r="AD108" s="492"/>
      <c r="AE108" s="495">
        <v>4352867.2526847888</v>
      </c>
      <c r="AG108" s="199"/>
      <c r="AL108" s="199">
        <v>2052745.8673320087</v>
      </c>
    </row>
    <row r="109" spans="1:42" x14ac:dyDescent="0.2">
      <c r="A109" s="181" t="s">
        <v>62</v>
      </c>
      <c r="C109" s="455">
        <v>-8579744</v>
      </c>
      <c r="E109" s="314">
        <v>0</v>
      </c>
      <c r="G109" s="314">
        <v>-8579744</v>
      </c>
      <c r="H109" s="455"/>
      <c r="I109" s="314">
        <v>-58173</v>
      </c>
      <c r="K109" s="199">
        <v>0</v>
      </c>
      <c r="M109" s="314">
        <v>-58173</v>
      </c>
      <c r="N109" s="199"/>
      <c r="O109" s="314">
        <v>-3169772</v>
      </c>
      <c r="P109" s="199"/>
      <c r="Q109" s="314">
        <v>0</v>
      </c>
      <c r="R109" s="199"/>
      <c r="S109" s="314">
        <v>-3169772</v>
      </c>
      <c r="T109" s="199"/>
      <c r="U109" s="314">
        <v>-1185330</v>
      </c>
      <c r="W109" s="199">
        <v>0</v>
      </c>
      <c r="X109" s="314"/>
      <c r="Y109" s="196">
        <v>1926732</v>
      </c>
      <c r="AA109" s="199">
        <v>741402</v>
      </c>
      <c r="AC109" s="196">
        <v>-11066287</v>
      </c>
      <c r="AD109" s="492"/>
      <c r="AE109" s="495">
        <v>-7188964.1283826316</v>
      </c>
      <c r="AG109" s="199"/>
      <c r="AL109" s="199">
        <v>-540658.4336950084</v>
      </c>
    </row>
    <row r="110" spans="1:42" x14ac:dyDescent="0.2">
      <c r="A110" s="181" t="s">
        <v>63</v>
      </c>
      <c r="C110" s="455">
        <v>0</v>
      </c>
      <c r="E110" s="314">
        <v>-5367</v>
      </c>
      <c r="G110" s="314">
        <v>-5367</v>
      </c>
      <c r="H110" s="455"/>
      <c r="I110" s="314">
        <v>0</v>
      </c>
      <c r="K110" s="199">
        <v>-42580</v>
      </c>
      <c r="M110" s="314">
        <v>-42580</v>
      </c>
      <c r="N110" s="199"/>
      <c r="O110" s="314">
        <v>0</v>
      </c>
      <c r="P110" s="199"/>
      <c r="Q110" s="314">
        <v>0</v>
      </c>
      <c r="R110" s="199"/>
      <c r="S110" s="314">
        <v>0</v>
      </c>
      <c r="T110" s="199"/>
      <c r="U110" s="314">
        <v>0</v>
      </c>
      <c r="W110" s="199">
        <v>-802</v>
      </c>
      <c r="X110" s="314"/>
      <c r="Y110" s="196">
        <v>0</v>
      </c>
      <c r="AA110" s="199">
        <v>-802</v>
      </c>
      <c r="AC110" s="196">
        <v>-48749</v>
      </c>
      <c r="AD110" s="492"/>
      <c r="AE110" s="495">
        <v>-31668.689985586396</v>
      </c>
      <c r="AG110" s="199"/>
      <c r="AL110" s="199">
        <v>0</v>
      </c>
    </row>
    <row r="111" spans="1:42" x14ac:dyDescent="0.2">
      <c r="A111" s="181" t="s">
        <v>64</v>
      </c>
      <c r="C111" s="455">
        <v>-763190</v>
      </c>
      <c r="E111" s="314">
        <v>608555</v>
      </c>
      <c r="G111" s="314">
        <v>-154635</v>
      </c>
      <c r="H111" s="455"/>
      <c r="I111" s="314">
        <v>-183814</v>
      </c>
      <c r="K111" s="199">
        <v>0</v>
      </c>
      <c r="M111" s="314">
        <v>-183814</v>
      </c>
      <c r="N111" s="199"/>
      <c r="O111" s="314">
        <v>-52036</v>
      </c>
      <c r="P111" s="199"/>
      <c r="Q111" s="314">
        <v>50975</v>
      </c>
      <c r="R111" s="199"/>
      <c r="S111" s="314">
        <v>-1061</v>
      </c>
      <c r="T111" s="199"/>
      <c r="U111" s="314">
        <v>-8136168</v>
      </c>
      <c r="W111" s="199">
        <v>-10958</v>
      </c>
      <c r="X111" s="314"/>
      <c r="Y111" s="196">
        <v>32136</v>
      </c>
      <c r="AA111" s="199">
        <v>-8114990</v>
      </c>
      <c r="AC111" s="196">
        <v>-8454500</v>
      </c>
      <c r="AD111" s="492"/>
      <c r="AE111" s="495">
        <v>-5492275.5232546348</v>
      </c>
      <c r="AG111" s="199"/>
      <c r="AL111" s="199"/>
    </row>
    <row r="112" spans="1:42" x14ac:dyDescent="0.2">
      <c r="A112" s="181" t="s">
        <v>65</v>
      </c>
      <c r="C112" s="455">
        <v>-17686</v>
      </c>
      <c r="E112" s="314">
        <v>0</v>
      </c>
      <c r="G112" s="314">
        <v>-17686</v>
      </c>
      <c r="H112" s="455"/>
      <c r="I112" s="314">
        <v>0</v>
      </c>
      <c r="K112" s="199">
        <v>0</v>
      </c>
      <c r="M112" s="314">
        <v>0</v>
      </c>
      <c r="N112" s="199"/>
      <c r="O112" s="314">
        <v>0</v>
      </c>
      <c r="P112" s="199"/>
      <c r="Q112" s="314">
        <v>0</v>
      </c>
      <c r="R112" s="199"/>
      <c r="S112" s="314">
        <v>0</v>
      </c>
      <c r="T112" s="199"/>
      <c r="U112" s="314">
        <v>1828867</v>
      </c>
      <c r="W112" s="199">
        <v>0</v>
      </c>
      <c r="X112" s="314"/>
      <c r="Y112" s="196">
        <v>0</v>
      </c>
      <c r="AA112" s="199">
        <v>1828867</v>
      </c>
      <c r="AC112" s="196">
        <v>1811181</v>
      </c>
      <c r="AD112" s="492"/>
      <c r="AE112" s="495">
        <v>1176592.9474816786</v>
      </c>
      <c r="AG112" s="199"/>
      <c r="AL112" s="199">
        <v>53363.922152597559</v>
      </c>
    </row>
    <row r="113" spans="1:38" x14ac:dyDescent="0.2">
      <c r="A113" s="181" t="s">
        <v>66</v>
      </c>
      <c r="C113" s="455">
        <v>-33482</v>
      </c>
      <c r="E113" s="314">
        <v>0</v>
      </c>
      <c r="G113" s="314">
        <v>-33482</v>
      </c>
      <c r="H113" s="455"/>
      <c r="I113" s="314">
        <v>0</v>
      </c>
      <c r="K113" s="199">
        <v>0</v>
      </c>
      <c r="M113" s="314">
        <v>0</v>
      </c>
      <c r="N113" s="199"/>
      <c r="O113" s="314">
        <v>0</v>
      </c>
      <c r="P113" s="199"/>
      <c r="Q113" s="314">
        <v>0</v>
      </c>
      <c r="R113" s="199"/>
      <c r="S113" s="314">
        <v>0</v>
      </c>
      <c r="T113" s="199"/>
      <c r="U113" s="314">
        <v>-1509270</v>
      </c>
      <c r="W113" s="199">
        <v>0</v>
      </c>
      <c r="X113" s="314"/>
      <c r="Y113" s="196">
        <v>0</v>
      </c>
      <c r="AA113" s="199">
        <v>-1509270</v>
      </c>
      <c r="AC113" s="196">
        <v>-1542752</v>
      </c>
      <c r="AD113" s="492"/>
      <c r="AE113" s="495">
        <v>-1002214.092856128</v>
      </c>
      <c r="AG113" s="199"/>
      <c r="AL113" s="199">
        <v>-10470.267416025337</v>
      </c>
    </row>
    <row r="114" spans="1:38" x14ac:dyDescent="0.2">
      <c r="A114" s="181" t="s">
        <v>67</v>
      </c>
      <c r="C114" s="455">
        <v>21391</v>
      </c>
      <c r="E114" s="314">
        <v>0</v>
      </c>
      <c r="G114" s="314">
        <v>21391</v>
      </c>
      <c r="H114" s="455"/>
      <c r="I114" s="314">
        <v>0</v>
      </c>
      <c r="K114" s="199">
        <v>0</v>
      </c>
      <c r="M114" s="314">
        <v>0</v>
      </c>
      <c r="N114" s="199"/>
      <c r="O114" s="314">
        <v>0</v>
      </c>
      <c r="P114" s="199"/>
      <c r="Q114" s="314">
        <v>0</v>
      </c>
      <c r="R114" s="199"/>
      <c r="S114" s="314">
        <v>0</v>
      </c>
      <c r="T114" s="199"/>
      <c r="U114" s="314">
        <v>1010497</v>
      </c>
      <c r="W114" s="199">
        <v>0</v>
      </c>
      <c r="X114" s="314"/>
      <c r="Y114" s="196">
        <v>0</v>
      </c>
      <c r="AA114" s="199">
        <v>1010497</v>
      </c>
      <c r="AC114" s="196">
        <v>1031888</v>
      </c>
      <c r="AD114" s="492"/>
      <c r="AE114" s="495">
        <v>670342.80030045286</v>
      </c>
      <c r="AG114" s="199"/>
      <c r="AL114" s="199">
        <v>-43546.32436661722</v>
      </c>
    </row>
    <row r="115" spans="1:38" x14ac:dyDescent="0.2">
      <c r="A115" s="181" t="s">
        <v>68</v>
      </c>
      <c r="C115" s="455">
        <v>0</v>
      </c>
      <c r="E115" s="314">
        <v>0</v>
      </c>
      <c r="G115" s="314">
        <v>0</v>
      </c>
      <c r="H115" s="455"/>
      <c r="I115" s="314">
        <v>0</v>
      </c>
      <c r="K115" s="199">
        <v>0</v>
      </c>
      <c r="M115" s="314">
        <v>0</v>
      </c>
      <c r="N115" s="199"/>
      <c r="O115" s="314">
        <v>0</v>
      </c>
      <c r="P115" s="199"/>
      <c r="Q115" s="314">
        <v>0</v>
      </c>
      <c r="R115" s="199"/>
      <c r="S115" s="314">
        <v>0</v>
      </c>
      <c r="T115" s="199"/>
      <c r="U115" s="314">
        <v>0</v>
      </c>
      <c r="W115" s="199">
        <v>0</v>
      </c>
      <c r="X115" s="314"/>
      <c r="Y115" s="314">
        <v>0</v>
      </c>
      <c r="AA115" s="199">
        <v>0</v>
      </c>
      <c r="AC115" s="199">
        <v>0</v>
      </c>
      <c r="AD115" s="492"/>
      <c r="AE115" s="495">
        <v>0</v>
      </c>
      <c r="AG115" s="199"/>
      <c r="AL115" s="199">
        <v>0</v>
      </c>
    </row>
    <row r="116" spans="1:38" x14ac:dyDescent="0.2">
      <c r="A116" s="181" t="s">
        <v>69</v>
      </c>
      <c r="C116" s="455">
        <v>-60000</v>
      </c>
      <c r="E116" s="314">
        <v>0</v>
      </c>
      <c r="G116" s="314">
        <v>-60000</v>
      </c>
      <c r="H116" s="455"/>
      <c r="I116" s="314">
        <v>0</v>
      </c>
      <c r="K116" s="200">
        <v>0</v>
      </c>
      <c r="M116" s="314">
        <v>0</v>
      </c>
      <c r="N116" s="475"/>
      <c r="O116" s="314">
        <v>0</v>
      </c>
      <c r="P116" s="475"/>
      <c r="Q116" s="314">
        <v>0</v>
      </c>
      <c r="R116" s="475"/>
      <c r="S116" s="314">
        <v>0</v>
      </c>
      <c r="T116" s="475"/>
      <c r="U116" s="314">
        <v>0</v>
      </c>
      <c r="W116" s="200">
        <v>0</v>
      </c>
      <c r="X116" s="314"/>
      <c r="Y116" s="314">
        <v>0</v>
      </c>
      <c r="AA116" s="200">
        <v>0</v>
      </c>
      <c r="AC116" s="314">
        <v>-60000</v>
      </c>
      <c r="AD116" s="492"/>
      <c r="AE116" s="495">
        <v>-38977.648754542322</v>
      </c>
      <c r="AG116" s="475"/>
      <c r="AL116" s="200">
        <v>0</v>
      </c>
    </row>
    <row r="117" spans="1:38" x14ac:dyDescent="0.2">
      <c r="A117" s="181" t="s">
        <v>70</v>
      </c>
      <c r="C117" s="483">
        <v>-7563377</v>
      </c>
      <c r="E117" s="313">
        <v>577944</v>
      </c>
      <c r="G117" s="313">
        <v>-6985433</v>
      </c>
      <c r="H117" s="455"/>
      <c r="I117" s="313">
        <v>-1646378</v>
      </c>
      <c r="K117" s="198">
        <v>-34369</v>
      </c>
      <c r="M117" s="313">
        <v>-1680747</v>
      </c>
      <c r="N117" s="199"/>
      <c r="O117" s="313">
        <v>-5280520</v>
      </c>
      <c r="P117" s="199"/>
      <c r="Q117" s="313">
        <v>51113</v>
      </c>
      <c r="R117" s="199"/>
      <c r="S117" s="313">
        <v>-5229407</v>
      </c>
      <c r="T117" s="199"/>
      <c r="U117" s="313">
        <v>4379887</v>
      </c>
      <c r="W117" s="198">
        <v>-10992</v>
      </c>
      <c r="X117" s="314"/>
      <c r="Y117" s="200">
        <v>234231</v>
      </c>
      <c r="AA117" s="198">
        <v>4603126</v>
      </c>
      <c r="AC117" s="313">
        <v>-9292461</v>
      </c>
      <c r="AD117" s="492"/>
      <c r="AE117" s="496">
        <v>-6036638.015388052</v>
      </c>
      <c r="AG117" s="199"/>
      <c r="AL117" s="198">
        <v>1511434.7640069551</v>
      </c>
    </row>
    <row r="118" spans="1:38" x14ac:dyDescent="0.2">
      <c r="A118" s="181" t="s">
        <v>71</v>
      </c>
      <c r="C118" s="483">
        <v>0</v>
      </c>
      <c r="E118" s="313">
        <v>0</v>
      </c>
      <c r="G118" s="313">
        <v>0</v>
      </c>
      <c r="H118" s="455"/>
      <c r="I118" s="313">
        <v>0</v>
      </c>
      <c r="K118" s="198">
        <v>0</v>
      </c>
      <c r="M118" s="313">
        <v>0</v>
      </c>
      <c r="N118" s="199"/>
      <c r="O118" s="313">
        <v>0</v>
      </c>
      <c r="P118" s="199"/>
      <c r="Q118" s="313">
        <v>0</v>
      </c>
      <c r="R118" s="199"/>
      <c r="S118" s="313">
        <v>0</v>
      </c>
      <c r="T118" s="199"/>
      <c r="U118" s="313">
        <v>0</v>
      </c>
      <c r="W118" s="198">
        <v>0</v>
      </c>
      <c r="X118" s="314"/>
      <c r="Y118" s="198">
        <v>0</v>
      </c>
      <c r="AA118" s="198">
        <v>0</v>
      </c>
      <c r="AC118" s="313">
        <v>0</v>
      </c>
      <c r="AD118" s="492"/>
      <c r="AE118" s="490">
        <v>0</v>
      </c>
      <c r="AG118" s="199"/>
      <c r="AL118" s="198">
        <v>-1568824.3302897396</v>
      </c>
    </row>
    <row r="119" spans="1:38" x14ac:dyDescent="0.2">
      <c r="A119" s="181" t="s">
        <v>72</v>
      </c>
      <c r="C119" s="483">
        <v>49906</v>
      </c>
      <c r="E119" s="313">
        <v>193</v>
      </c>
      <c r="G119" s="313">
        <v>50099</v>
      </c>
      <c r="H119" s="455"/>
      <c r="I119" s="313">
        <v>-4285</v>
      </c>
      <c r="K119" s="1">
        <v>-13</v>
      </c>
      <c r="M119" s="313">
        <v>-4298</v>
      </c>
      <c r="O119" s="313">
        <v>77220</v>
      </c>
      <c r="Q119" s="313">
        <v>6</v>
      </c>
      <c r="S119" s="313">
        <v>77226</v>
      </c>
      <c r="U119" s="313">
        <v>-396808</v>
      </c>
      <c r="W119" s="1">
        <v>-1</v>
      </c>
      <c r="X119" s="314"/>
      <c r="Y119" s="198">
        <v>-1426</v>
      </c>
      <c r="AA119" s="1">
        <v>-398235</v>
      </c>
      <c r="AC119" s="313">
        <v>-275208</v>
      </c>
      <c r="AD119" s="492"/>
      <c r="AE119" s="490">
        <v>-178782.67930733474</v>
      </c>
      <c r="AL119" s="1">
        <v>5362.5678837998203</v>
      </c>
    </row>
    <row r="120" spans="1:38" x14ac:dyDescent="0.2">
      <c r="A120" s="181"/>
      <c r="C120" s="41">
        <v>-6916226</v>
      </c>
      <c r="E120" s="1">
        <v>578137</v>
      </c>
      <c r="F120"/>
      <c r="G120" s="1">
        <v>-6338089</v>
      </c>
      <c r="H120" s="41"/>
      <c r="I120" s="481">
        <v>-1650663</v>
      </c>
      <c r="K120" s="197">
        <v>-34382</v>
      </c>
      <c r="L120"/>
      <c r="M120" s="1">
        <v>-1685045</v>
      </c>
      <c r="N120" s="197"/>
      <c r="O120" s="41">
        <v>-5203300</v>
      </c>
      <c r="P120" s="197"/>
      <c r="Q120" s="41">
        <v>51119</v>
      </c>
      <c r="R120" s="197"/>
      <c r="S120" s="41">
        <v>-5152181</v>
      </c>
      <c r="T120" s="197"/>
      <c r="U120" s="41">
        <v>4037988</v>
      </c>
      <c r="W120" s="197">
        <v>-10993</v>
      </c>
      <c r="Y120" s="1">
        <v>232805</v>
      </c>
      <c r="Z120"/>
      <c r="AA120" s="197">
        <v>4259800</v>
      </c>
      <c r="AC120" s="1">
        <v>-8915515</v>
      </c>
      <c r="AD120" s="492"/>
      <c r="AE120" s="490">
        <v>-5791763.5355975572</v>
      </c>
      <c r="AG120" s="197"/>
      <c r="AL120" s="197">
        <v>7888821.8495121384</v>
      </c>
    </row>
    <row r="121" spans="1:38" x14ac:dyDescent="0.2">
      <c r="A121" s="12"/>
      <c r="G121" s="1">
        <v>-6935334</v>
      </c>
      <c r="M121" s="1">
        <v>-1685045</v>
      </c>
      <c r="S121" s="41">
        <v>-5152181</v>
      </c>
      <c r="Y121" s="1">
        <v>232805</v>
      </c>
      <c r="AA121" s="1">
        <v>4204891</v>
      </c>
      <c r="AC121" s="1">
        <v>-9567669</v>
      </c>
      <c r="AD121" s="492"/>
      <c r="AE121" s="497">
        <v>-6215420.694695387</v>
      </c>
    </row>
    <row r="122" spans="1:38" x14ac:dyDescent="0.2">
      <c r="AD122" s="492"/>
      <c r="AE122" s="490">
        <v>-3461157.7783090938</v>
      </c>
    </row>
    <row r="123" spans="1:38" x14ac:dyDescent="0.2">
      <c r="AD123" s="492"/>
      <c r="AE123" s="490">
        <v>-9252921.313906651</v>
      </c>
    </row>
    <row r="124" spans="1:38" x14ac:dyDescent="0.2">
      <c r="AE124" s="42"/>
    </row>
    <row r="135" spans="1:38" x14ac:dyDescent="0.2">
      <c r="A135" s="281" t="s">
        <v>73</v>
      </c>
      <c r="B135" s="339" t="s">
        <v>74</v>
      </c>
      <c r="C135" s="483">
        <v>0</v>
      </c>
      <c r="D135" s="339"/>
      <c r="E135" s="313">
        <v>0</v>
      </c>
      <c r="G135" s="313">
        <v>0</v>
      </c>
      <c r="H135" s="455"/>
      <c r="I135" s="476">
        <v>0</v>
      </c>
      <c r="K135" s="198">
        <v>0</v>
      </c>
      <c r="M135" s="313">
        <v>0</v>
      </c>
      <c r="N135" s="199"/>
      <c r="O135" s="478">
        <v>0</v>
      </c>
      <c r="P135" s="199"/>
      <c r="Q135" s="478">
        <v>0</v>
      </c>
      <c r="R135" s="199"/>
      <c r="S135" s="478">
        <v>0</v>
      </c>
      <c r="T135" s="199"/>
      <c r="U135" s="843">
        <v>0</v>
      </c>
      <c r="W135" s="198">
        <v>0</v>
      </c>
      <c r="X135" s="314"/>
      <c r="Y135" s="313">
        <v>0</v>
      </c>
      <c r="AA135" s="198">
        <v>0</v>
      </c>
      <c r="AB135" s="42">
        <v>0</v>
      </c>
      <c r="AC135" s="313">
        <v>0</v>
      </c>
      <c r="AE135" s="198">
        <v>0</v>
      </c>
      <c r="AG135" s="199"/>
      <c r="AK135" s="42">
        <v>0</v>
      </c>
      <c r="AL135" s="198">
        <v>0</v>
      </c>
    </row>
    <row r="136" spans="1:38" x14ac:dyDescent="0.2">
      <c r="C136" s="456"/>
      <c r="E136" s="312"/>
      <c r="G136" s="312"/>
      <c r="H136" s="456"/>
      <c r="I136" s="196"/>
      <c r="K136" s="196"/>
      <c r="M136" s="312"/>
      <c r="N136" s="199"/>
      <c r="O136" s="312"/>
      <c r="P136" s="199"/>
      <c r="Q136" s="312"/>
      <c r="R136" s="199"/>
      <c r="S136" s="312"/>
      <c r="T136" s="199"/>
      <c r="U136" s="456"/>
      <c r="W136" s="196"/>
      <c r="X136" s="312"/>
      <c r="Y136" s="312"/>
      <c r="AA136" s="196"/>
      <c r="AC136" s="312"/>
      <c r="AE136" s="196">
        <v>0</v>
      </c>
      <c r="AG136" s="199"/>
      <c r="AL136" s="196">
        <v>0</v>
      </c>
    </row>
    <row r="137" spans="1:38" x14ac:dyDescent="0.2">
      <c r="C137" s="455">
        <v>0</v>
      </c>
      <c r="E137" s="314">
        <v>0</v>
      </c>
      <c r="G137" s="314">
        <v>0</v>
      </c>
      <c r="H137" s="455"/>
      <c r="I137" s="199">
        <v>0</v>
      </c>
      <c r="K137" s="199">
        <v>0</v>
      </c>
      <c r="M137" s="314">
        <v>0</v>
      </c>
      <c r="N137" s="199"/>
      <c r="O137" s="314">
        <v>0</v>
      </c>
      <c r="P137" s="199"/>
      <c r="Q137" s="314">
        <v>0</v>
      </c>
      <c r="R137" s="199"/>
      <c r="S137" s="314">
        <v>0</v>
      </c>
      <c r="T137" s="199"/>
      <c r="U137" s="455">
        <v>0</v>
      </c>
      <c r="W137" s="199">
        <v>0</v>
      </c>
      <c r="X137" s="314"/>
      <c r="Y137" s="314">
        <v>0</v>
      </c>
      <c r="AA137" s="199">
        <v>0</v>
      </c>
      <c r="AC137" s="314">
        <v>0</v>
      </c>
      <c r="AE137" s="196">
        <v>0</v>
      </c>
      <c r="AG137" s="199"/>
      <c r="AL137" s="199">
        <v>0</v>
      </c>
    </row>
    <row r="138" spans="1:38" x14ac:dyDescent="0.2">
      <c r="C138" s="455">
        <v>0</v>
      </c>
      <c r="E138" s="314">
        <v>0</v>
      </c>
      <c r="G138" s="314">
        <v>0</v>
      </c>
      <c r="H138" s="455"/>
      <c r="I138" s="199">
        <v>0</v>
      </c>
      <c r="K138" s="199">
        <v>0</v>
      </c>
      <c r="M138" s="314">
        <v>0</v>
      </c>
      <c r="N138" s="199"/>
      <c r="O138" s="314">
        <v>0</v>
      </c>
      <c r="P138" s="199"/>
      <c r="Q138" s="314">
        <v>0</v>
      </c>
      <c r="R138" s="199"/>
      <c r="S138" s="314">
        <v>0</v>
      </c>
      <c r="T138" s="199"/>
      <c r="U138" s="455">
        <v>0</v>
      </c>
      <c r="W138" s="199">
        <v>0</v>
      </c>
      <c r="X138" s="314"/>
      <c r="Y138" s="314">
        <v>0</v>
      </c>
      <c r="AA138" s="199">
        <v>0</v>
      </c>
      <c r="AC138" s="314">
        <v>0</v>
      </c>
      <c r="AE138" s="199">
        <v>0</v>
      </c>
      <c r="AG138" s="199"/>
      <c r="AL138" s="199">
        <v>0</v>
      </c>
    </row>
    <row r="139" spans="1:38" x14ac:dyDescent="0.2">
      <c r="C139" s="455">
        <v>0</v>
      </c>
      <c r="E139" s="314">
        <v>0</v>
      </c>
      <c r="G139" s="314">
        <v>0</v>
      </c>
      <c r="H139" s="455"/>
      <c r="I139" s="199">
        <v>0</v>
      </c>
      <c r="K139" s="199">
        <v>0</v>
      </c>
      <c r="M139" s="314">
        <v>0</v>
      </c>
      <c r="N139" s="199"/>
      <c r="O139" s="314">
        <v>0</v>
      </c>
      <c r="P139" s="199"/>
      <c r="Q139" s="314">
        <v>0</v>
      </c>
      <c r="R139" s="199"/>
      <c r="S139" s="314">
        <v>0</v>
      </c>
      <c r="T139" s="199"/>
      <c r="U139" s="455">
        <v>0</v>
      </c>
      <c r="W139" s="199">
        <v>0</v>
      </c>
      <c r="X139" s="314"/>
      <c r="Y139" s="314">
        <v>0</v>
      </c>
      <c r="AA139" s="199">
        <v>0</v>
      </c>
      <c r="AC139" s="314">
        <v>0</v>
      </c>
      <c r="AE139" s="199">
        <v>0</v>
      </c>
      <c r="AG139" s="199"/>
      <c r="AL139" s="199">
        <v>0</v>
      </c>
    </row>
    <row r="140" spans="1:38" x14ac:dyDescent="0.2">
      <c r="C140" s="455">
        <v>0</v>
      </c>
      <c r="E140" s="314">
        <v>0</v>
      </c>
      <c r="G140" s="314">
        <v>0</v>
      </c>
      <c r="H140" s="455"/>
      <c r="I140" s="199">
        <v>0</v>
      </c>
      <c r="K140" s="199">
        <v>0</v>
      </c>
      <c r="M140" s="314">
        <v>0</v>
      </c>
      <c r="N140" s="199"/>
      <c r="O140" s="314">
        <v>0</v>
      </c>
      <c r="P140" s="199"/>
      <c r="Q140" s="314">
        <v>0</v>
      </c>
      <c r="R140" s="199"/>
      <c r="S140" s="314">
        <v>0</v>
      </c>
      <c r="T140" s="199"/>
      <c r="U140" s="455">
        <v>0</v>
      </c>
      <c r="W140" s="199">
        <v>0</v>
      </c>
      <c r="X140" s="314"/>
      <c r="Y140" s="314">
        <v>0</v>
      </c>
      <c r="AA140" s="199">
        <v>0</v>
      </c>
      <c r="AC140" s="314">
        <v>0</v>
      </c>
      <c r="AE140" s="199">
        <v>0</v>
      </c>
      <c r="AG140" s="199"/>
      <c r="AL140" s="199">
        <v>0</v>
      </c>
    </row>
    <row r="141" spans="1:38" x14ac:dyDescent="0.2">
      <c r="C141" s="455">
        <v>0</v>
      </c>
      <c r="E141" s="314">
        <v>0</v>
      </c>
      <c r="G141" s="314">
        <v>0</v>
      </c>
      <c r="H141" s="455"/>
      <c r="I141" s="199">
        <v>0</v>
      </c>
      <c r="K141" s="199">
        <v>0</v>
      </c>
      <c r="M141" s="314">
        <v>0</v>
      </c>
      <c r="N141" s="199"/>
      <c r="O141" s="314">
        <v>0</v>
      </c>
      <c r="P141" s="199"/>
      <c r="Q141" s="314">
        <v>0</v>
      </c>
      <c r="R141" s="199"/>
      <c r="S141" s="314">
        <v>0</v>
      </c>
      <c r="T141" s="199"/>
      <c r="U141" s="455">
        <v>0</v>
      </c>
      <c r="W141" s="199">
        <v>0</v>
      </c>
      <c r="X141" s="314"/>
      <c r="Y141" s="314">
        <v>0</v>
      </c>
      <c r="AA141" s="199">
        <v>0</v>
      </c>
      <c r="AC141" s="314">
        <v>0</v>
      </c>
      <c r="AE141" s="199">
        <v>0</v>
      </c>
      <c r="AG141" s="199"/>
      <c r="AL141" s="199">
        <v>0</v>
      </c>
    </row>
    <row r="142" spans="1:38" x14ac:dyDescent="0.2">
      <c r="C142" s="455">
        <v>0</v>
      </c>
      <c r="E142" s="314">
        <v>0</v>
      </c>
      <c r="G142" s="314">
        <v>0</v>
      </c>
      <c r="H142" s="455"/>
      <c r="I142" s="199">
        <v>0</v>
      </c>
      <c r="K142" s="199">
        <v>0</v>
      </c>
      <c r="M142" s="314">
        <v>0</v>
      </c>
      <c r="N142" s="199"/>
      <c r="O142" s="314">
        <v>0</v>
      </c>
      <c r="P142" s="199"/>
      <c r="Q142" s="314">
        <v>0</v>
      </c>
      <c r="R142" s="199"/>
      <c r="S142" s="314">
        <v>0</v>
      </c>
      <c r="T142" s="199"/>
      <c r="U142" s="455">
        <v>0</v>
      </c>
      <c r="W142" s="199">
        <v>0</v>
      </c>
      <c r="X142" s="314"/>
      <c r="Y142" s="314">
        <v>0</v>
      </c>
      <c r="AA142" s="199">
        <v>0</v>
      </c>
      <c r="AC142" s="314">
        <v>0</v>
      </c>
      <c r="AE142" s="199">
        <v>0</v>
      </c>
      <c r="AG142" s="199"/>
      <c r="AL142" s="199">
        <v>0</v>
      </c>
    </row>
    <row r="143" spans="1:38" x14ac:dyDescent="0.2">
      <c r="C143" s="455"/>
      <c r="E143" s="314">
        <v>0</v>
      </c>
      <c r="G143" s="314">
        <v>0</v>
      </c>
      <c r="H143" s="455"/>
      <c r="I143" s="199">
        <v>0</v>
      </c>
      <c r="K143" s="199">
        <v>0</v>
      </c>
      <c r="M143" s="314">
        <v>0</v>
      </c>
      <c r="N143" s="199"/>
      <c r="O143" s="314">
        <v>0</v>
      </c>
      <c r="P143" s="199"/>
      <c r="Q143" s="314">
        <v>0</v>
      </c>
      <c r="R143" s="199"/>
      <c r="S143" s="314">
        <v>0</v>
      </c>
      <c r="T143" s="199"/>
      <c r="U143" s="455">
        <v>0</v>
      </c>
      <c r="W143" s="199">
        <v>0</v>
      </c>
      <c r="X143" s="314"/>
      <c r="Y143" s="314">
        <v>0</v>
      </c>
      <c r="AA143" s="199">
        <v>0</v>
      </c>
      <c r="AC143" s="314">
        <v>0</v>
      </c>
      <c r="AE143" s="199">
        <v>0</v>
      </c>
      <c r="AG143" s="199"/>
      <c r="AL143" s="199">
        <v>0</v>
      </c>
    </row>
    <row r="144" spans="1:38" x14ac:dyDescent="0.2">
      <c r="C144" s="455">
        <v>0</v>
      </c>
      <c r="E144" s="314">
        <v>0</v>
      </c>
      <c r="G144" s="314">
        <v>0</v>
      </c>
      <c r="H144" s="455"/>
      <c r="I144" s="199">
        <v>0</v>
      </c>
      <c r="K144" s="199">
        <v>0</v>
      </c>
      <c r="M144" s="314">
        <v>0</v>
      </c>
      <c r="N144" s="199"/>
      <c r="O144" s="314">
        <v>0</v>
      </c>
      <c r="P144" s="199"/>
      <c r="Q144" s="314">
        <v>0</v>
      </c>
      <c r="R144" s="199"/>
      <c r="S144" s="314">
        <v>0</v>
      </c>
      <c r="T144" s="199"/>
      <c r="U144" s="455">
        <v>0</v>
      </c>
      <c r="W144" s="199">
        <v>0</v>
      </c>
      <c r="X144" s="314"/>
      <c r="Y144" s="314">
        <v>0</v>
      </c>
      <c r="AA144" s="199">
        <v>0</v>
      </c>
      <c r="AC144" s="314">
        <v>0</v>
      </c>
      <c r="AE144" s="199">
        <v>0</v>
      </c>
      <c r="AG144" s="199"/>
      <c r="AL144" s="199">
        <v>0</v>
      </c>
    </row>
    <row r="145" spans="3:38" x14ac:dyDescent="0.2">
      <c r="C145" s="455">
        <v>0</v>
      </c>
      <c r="E145" s="314">
        <v>0</v>
      </c>
      <c r="G145" s="314">
        <v>0</v>
      </c>
      <c r="H145" s="455"/>
      <c r="I145" s="477">
        <v>0</v>
      </c>
      <c r="K145" s="200">
        <v>0</v>
      </c>
      <c r="M145" s="314">
        <v>0</v>
      </c>
      <c r="N145" s="475"/>
      <c r="O145" s="314">
        <v>0</v>
      </c>
      <c r="P145" s="475"/>
      <c r="Q145" s="314">
        <v>0</v>
      </c>
      <c r="R145" s="475"/>
      <c r="S145" s="314">
        <v>0</v>
      </c>
      <c r="T145" s="475"/>
      <c r="U145" s="455">
        <v>0</v>
      </c>
      <c r="W145" s="200">
        <v>0</v>
      </c>
      <c r="X145" s="314"/>
      <c r="Y145" s="314">
        <v>0</v>
      </c>
      <c r="AA145" s="200">
        <v>0</v>
      </c>
      <c r="AC145" s="314">
        <v>0</v>
      </c>
      <c r="AE145" s="199">
        <v>0</v>
      </c>
      <c r="AG145" s="475"/>
      <c r="AL145" s="200">
        <v>0</v>
      </c>
    </row>
    <row r="146" spans="3:38" x14ac:dyDescent="0.2">
      <c r="C146" s="483">
        <v>0</v>
      </c>
      <c r="E146" s="313">
        <v>0</v>
      </c>
      <c r="G146" s="313">
        <v>0</v>
      </c>
      <c r="H146" s="455"/>
      <c r="I146" s="476">
        <v>0</v>
      </c>
      <c r="K146" s="198">
        <v>0</v>
      </c>
      <c r="M146" s="313">
        <v>0</v>
      </c>
      <c r="N146" s="199"/>
      <c r="O146" s="478">
        <v>0</v>
      </c>
      <c r="P146" s="199"/>
      <c r="Q146" s="478">
        <v>0</v>
      </c>
      <c r="R146" s="199"/>
      <c r="S146" s="478">
        <v>0</v>
      </c>
      <c r="T146" s="199"/>
      <c r="U146" s="843">
        <v>0</v>
      </c>
      <c r="W146" s="198">
        <v>0</v>
      </c>
      <c r="X146" s="314"/>
      <c r="Y146" s="313">
        <v>0</v>
      </c>
      <c r="AA146" s="198">
        <v>0</v>
      </c>
      <c r="AC146" s="313">
        <v>0</v>
      </c>
      <c r="AE146" s="200">
        <v>0</v>
      </c>
      <c r="AG146" s="199"/>
      <c r="AL146" s="198">
        <v>0</v>
      </c>
    </row>
    <row r="147" spans="3:38" x14ac:dyDescent="0.2">
      <c r="C147" s="483">
        <v>0</v>
      </c>
      <c r="E147" s="313">
        <v>0</v>
      </c>
      <c r="G147" s="313">
        <v>0</v>
      </c>
      <c r="H147" s="455"/>
      <c r="I147" s="476">
        <v>0</v>
      </c>
      <c r="K147" s="198">
        <v>0</v>
      </c>
      <c r="M147" s="313">
        <v>0</v>
      </c>
      <c r="N147" s="199"/>
      <c r="O147" s="478">
        <v>0</v>
      </c>
      <c r="P147" s="199"/>
      <c r="Q147" s="478">
        <v>0</v>
      </c>
      <c r="R147" s="199"/>
      <c r="S147" s="478">
        <v>0</v>
      </c>
      <c r="T147" s="199"/>
      <c r="U147" s="843">
        <v>0</v>
      </c>
      <c r="W147" s="198">
        <v>0</v>
      </c>
      <c r="X147" s="314"/>
      <c r="Y147" s="313">
        <v>0</v>
      </c>
      <c r="AA147" s="198">
        <v>0</v>
      </c>
      <c r="AC147" s="313">
        <v>0</v>
      </c>
      <c r="AE147" s="198">
        <v>0</v>
      </c>
      <c r="AG147" s="199"/>
      <c r="AL147" s="198">
        <v>0</v>
      </c>
    </row>
    <row r="148" spans="3:38" x14ac:dyDescent="0.2">
      <c r="C148" s="483">
        <v>0</v>
      </c>
      <c r="E148" s="313">
        <v>0</v>
      </c>
      <c r="G148" s="313"/>
      <c r="H148" s="455"/>
      <c r="M148" s="313"/>
      <c r="O148" s="478">
        <v>0</v>
      </c>
      <c r="Q148" s="478">
        <v>0</v>
      </c>
      <c r="S148" s="478">
        <v>0</v>
      </c>
      <c r="U148" s="843">
        <v>0</v>
      </c>
      <c r="X148" s="314"/>
      <c r="Y148" s="313"/>
      <c r="AC148" s="313"/>
      <c r="AE148" s="198">
        <v>0</v>
      </c>
    </row>
    <row r="149" spans="3:38" x14ac:dyDescent="0.2">
      <c r="H149" s="41"/>
      <c r="AE149" s="200">
        <v>0</v>
      </c>
    </row>
    <row r="150" spans="3:38" x14ac:dyDescent="0.2">
      <c r="AE150"/>
    </row>
    <row r="151" spans="3:38" x14ac:dyDescent="0.2">
      <c r="AE151" s="198">
        <v>0</v>
      </c>
    </row>
    <row r="152" spans="3:38" x14ac:dyDescent="0.2">
      <c r="AE152" s="198">
        <v>0</v>
      </c>
    </row>
  </sheetData>
  <printOptions verticalCentered="1" gridLinesSet="0"/>
  <pageMargins left="0.28000000000000003" right="0.25" top="0.25" bottom="0.4" header="0.23" footer="0.25"/>
  <pageSetup scale="33" orientation="landscape" horizontalDpi="4294967292" verticalDpi="4294967292" r:id="rId1"/>
  <headerFooter alignWithMargins="0">
    <oddFooter>&amp;L&amp;"Times New Roman,Italic"&amp;F/&amp;A Prepared By: R. Watt (403-974-6905)&amp;R&amp;"Times New Roman,Italic"&amp;D &amp;T</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2289" r:id="rId4" name="Button 1">
              <controlPr defaultSize="0" print="0" autoFill="0" autoPict="0" macro="[0]!Print_Economics">
                <anchor moveWithCells="1" sizeWithCells="1">
                  <from>
                    <xdr:col>118</xdr:col>
                    <xdr:colOff>266700</xdr:colOff>
                    <xdr:row>1</xdr:row>
                    <xdr:rowOff>47625</xdr:rowOff>
                  </from>
                  <to>
                    <xdr:col>119</xdr:col>
                    <xdr:colOff>85725</xdr:colOff>
                    <xdr:row>2</xdr:row>
                    <xdr:rowOff>66675</xdr:rowOff>
                  </to>
                </anchor>
              </controlPr>
            </control>
          </mc:Choice>
        </mc:AlternateContent>
        <mc:AlternateContent xmlns:mc="http://schemas.openxmlformats.org/markup-compatibility/2006">
          <mc:Choice Requires="x14">
            <control shapeId="12292" r:id="rId5" name="Button 4">
              <controlPr defaultSize="0" print="0" autoFill="0" autoPict="0" macro="[0]!Print_Reports7013">
                <anchor moveWithCells="1" sizeWithCells="1">
                  <from>
                    <xdr:col>8</xdr:col>
                    <xdr:colOff>952500</xdr:colOff>
                    <xdr:row>0</xdr:row>
                    <xdr:rowOff>0</xdr:rowOff>
                  </from>
                  <to>
                    <xdr:col>9</xdr:col>
                    <xdr:colOff>542925</xdr:colOff>
                    <xdr:row>1</xdr:row>
                    <xdr:rowOff>66675</xdr:rowOff>
                  </to>
                </anchor>
              </controlPr>
            </control>
          </mc:Choice>
        </mc:AlternateContent>
        <mc:AlternateContent xmlns:mc="http://schemas.openxmlformats.org/markup-compatibility/2006">
          <mc:Choice Requires="x14">
            <control shapeId="12293" r:id="rId6" name="Button 5">
              <controlPr defaultSize="0" print="0" autoFill="0" autoPict="0" macro="[0]!Print_Reports">
                <anchor moveWithCells="1" sizeWithCells="1">
                  <from>
                    <xdr:col>3</xdr:col>
                    <xdr:colOff>152400</xdr:colOff>
                    <xdr:row>0</xdr:row>
                    <xdr:rowOff>76200</xdr:rowOff>
                  </from>
                  <to>
                    <xdr:col>5</xdr:col>
                    <xdr:colOff>28575</xdr:colOff>
                    <xdr:row>3</xdr:row>
                    <xdr:rowOff>38100</xdr:rowOff>
                  </to>
                </anchor>
              </controlPr>
            </control>
          </mc:Choice>
        </mc:AlternateContent>
        <mc:AlternateContent xmlns:mc="http://schemas.openxmlformats.org/markup-compatibility/2006">
          <mc:Choice Requires="x14">
            <control shapeId="12301" r:id="rId7" name="Button 13">
              <controlPr defaultSize="0" print="0" autoFill="0" autoPict="0" macro="[0]!UploadToOptions">
                <anchor moveWithCells="1" sizeWithCells="1">
                  <from>
                    <xdr:col>5</xdr:col>
                    <xdr:colOff>142875</xdr:colOff>
                    <xdr:row>0</xdr:row>
                    <xdr:rowOff>104775</xdr:rowOff>
                  </from>
                  <to>
                    <xdr:col>6</xdr:col>
                    <xdr:colOff>971550</xdr:colOff>
                    <xdr:row>3</xdr:row>
                    <xdr:rowOff>66675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pageSetUpPr fitToPage="1"/>
  </sheetPr>
  <dimension ref="A1:Z148"/>
  <sheetViews>
    <sheetView showGridLines="0" tabSelected="1" zoomScale="75" workbookViewId="0">
      <pane xSplit="1" ySplit="6" topLeftCell="B7" activePane="bottomRight" state="frozen"/>
      <selection activeCell="M62" sqref="M62"/>
      <selection pane="topRight" activeCell="M62" sqref="M62"/>
      <selection pane="bottomLeft" activeCell="M62" sqref="M62"/>
      <selection pane="bottomRight" activeCell="A5" sqref="A5"/>
    </sheetView>
  </sheetViews>
  <sheetFormatPr defaultRowHeight="12.75" x14ac:dyDescent="0.2"/>
  <cols>
    <col min="1" max="1" width="42.28515625" style="1" customWidth="1"/>
    <col min="2" max="2" width="11.42578125" style="42" customWidth="1"/>
    <col min="3" max="3" width="18.140625" style="41" customWidth="1"/>
    <col min="4" max="4" width="6.140625" style="42" customWidth="1"/>
    <col min="5" max="5" width="14.28515625" style="1" customWidth="1"/>
    <col min="6" max="6" width="6.140625" style="42" customWidth="1"/>
    <col min="7" max="7" width="14.7109375" style="1" customWidth="1"/>
    <col min="8" max="8" width="5.42578125" style="42" customWidth="1"/>
    <col min="9" max="9" width="17.5703125" style="1" customWidth="1"/>
    <col min="10" max="10" width="5.85546875" style="9" customWidth="1"/>
    <col min="11" max="11" width="17.28515625" style="41" customWidth="1"/>
    <col min="12" max="12" width="3.5703125" style="42" customWidth="1"/>
    <col min="13" max="13" width="8.42578125" style="9" customWidth="1"/>
    <col min="14" max="15" width="0" style="42" hidden="1" customWidth="1"/>
    <col min="16" max="16" width="0" hidden="1" customWidth="1"/>
    <col min="17" max="17" width="0" style="42" hidden="1" customWidth="1"/>
    <col min="18" max="18" width="13.42578125" style="1" hidden="1" customWidth="1"/>
    <col min="19" max="19" width="1.42578125" style="1" hidden="1" customWidth="1"/>
    <col min="20" max="20" width="1.7109375" style="1" hidden="1" customWidth="1"/>
    <col min="21" max="21" width="18.42578125" hidden="1" customWidth="1"/>
    <col min="22" max="22" width="13" style="1" hidden="1" customWidth="1"/>
    <col min="23" max="24" width="9.140625" style="1"/>
    <col min="25" max="25" width="9" style="1" customWidth="1"/>
    <col min="26" max="26" width="9.140625" style="1" hidden="1" customWidth="1"/>
    <col min="27" max="16384" width="9.140625" style="1"/>
  </cols>
  <sheetData>
    <row r="1" spans="1:23" x14ac:dyDescent="0.2">
      <c r="A1" s="170" t="s">
        <v>363</v>
      </c>
      <c r="B1"/>
      <c r="D1"/>
      <c r="W1" s="2"/>
    </row>
    <row r="2" spans="1:23" ht="13.5" thickBot="1" x14ac:dyDescent="0.25">
      <c r="A2" s="170" t="s">
        <v>0</v>
      </c>
      <c r="B2"/>
      <c r="C2" s="447"/>
      <c r="D2"/>
      <c r="E2" s="171"/>
      <c r="G2" s="171"/>
      <c r="I2" s="171"/>
      <c r="J2" s="171"/>
      <c r="K2" s="447" t="s">
        <v>1</v>
      </c>
      <c r="M2" s="171"/>
      <c r="O2" s="266"/>
      <c r="Q2" s="263" t="s">
        <v>2</v>
      </c>
      <c r="R2" s="130"/>
      <c r="W2" s="3"/>
    </row>
    <row r="3" spans="1:23" x14ac:dyDescent="0.2">
      <c r="A3" s="170" t="s">
        <v>3</v>
      </c>
      <c r="B3"/>
      <c r="C3" s="406"/>
      <c r="D3"/>
      <c r="E3"/>
      <c r="I3"/>
      <c r="K3" s="406"/>
      <c r="T3"/>
    </row>
    <row r="4" spans="1:23" ht="13.5" x14ac:dyDescent="0.25">
      <c r="A4" s="172">
        <f ca="1">Report!A4</f>
        <v>36847</v>
      </c>
      <c r="C4" s="448"/>
      <c r="E4" s="173"/>
      <c r="G4" s="173"/>
      <c r="I4" s="173"/>
      <c r="J4" s="442"/>
      <c r="K4" s="448"/>
      <c r="M4" s="442"/>
      <c r="R4" s="173"/>
      <c r="T4"/>
    </row>
    <row r="5" spans="1:23" x14ac:dyDescent="0.2">
      <c r="C5" s="117" t="s">
        <v>573</v>
      </c>
      <c r="E5" s="33" t="s">
        <v>574</v>
      </c>
      <c r="G5" s="33" t="s">
        <v>576</v>
      </c>
      <c r="I5" s="396" t="s">
        <v>577</v>
      </c>
      <c r="J5" s="33"/>
      <c r="K5" s="117" t="s">
        <v>450</v>
      </c>
      <c r="M5" s="33"/>
      <c r="R5" s="33" t="s">
        <v>4</v>
      </c>
      <c r="T5"/>
    </row>
    <row r="6" spans="1:23" x14ac:dyDescent="0.2">
      <c r="A6"/>
      <c r="C6" s="485" t="s">
        <v>575</v>
      </c>
      <c r="E6" s="267" t="s">
        <v>575</v>
      </c>
      <c r="G6" s="267" t="s">
        <v>575</v>
      </c>
      <c r="I6" s="337" t="s">
        <v>578</v>
      </c>
      <c r="J6" s="33"/>
      <c r="K6" s="485"/>
      <c r="M6" s="33"/>
      <c r="R6" s="267" t="str">
        <f>'US $'!B3</f>
        <v>Canadian Gas</v>
      </c>
      <c r="T6"/>
      <c r="V6"/>
    </row>
    <row r="7" spans="1:23" x14ac:dyDescent="0.2">
      <c r="A7"/>
      <c r="C7" s="118"/>
      <c r="E7" s="174"/>
      <c r="G7" s="174"/>
      <c r="I7" s="174"/>
      <c r="J7" s="174"/>
      <c r="K7" s="118"/>
      <c r="M7" s="174"/>
      <c r="R7" s="174"/>
      <c r="T7"/>
      <c r="V7"/>
    </row>
    <row r="8" spans="1:23" x14ac:dyDescent="0.2">
      <c r="A8"/>
      <c r="B8" s="1"/>
      <c r="C8" s="449"/>
      <c r="D8" s="1"/>
      <c r="E8" s="175"/>
      <c r="G8" s="175"/>
      <c r="I8" s="175"/>
      <c r="J8" s="175"/>
      <c r="K8" s="449"/>
      <c r="M8" s="175"/>
      <c r="R8" s="175"/>
      <c r="T8"/>
      <c r="V8"/>
    </row>
    <row r="9" spans="1:23" x14ac:dyDescent="0.2">
      <c r="A9"/>
      <c r="C9" s="118"/>
      <c r="E9" s="174"/>
      <c r="G9" s="174"/>
      <c r="I9" s="174"/>
      <c r="J9" s="174"/>
      <c r="K9" s="118"/>
      <c r="M9" s="174"/>
      <c r="R9" s="174"/>
    </row>
    <row r="10" spans="1:23" hidden="1" x14ac:dyDescent="0.2">
      <c r="A10" s="176" t="s">
        <v>7</v>
      </c>
      <c r="T10"/>
    </row>
    <row r="11" spans="1:23" ht="12" hidden="1" customHeight="1" x14ac:dyDescent="0.2">
      <c r="A11" s="176"/>
      <c r="T11"/>
      <c r="V11"/>
    </row>
    <row r="12" spans="1:23" ht="13.5" hidden="1" x14ac:dyDescent="0.25">
      <c r="A12" s="177">
        <f ca="1">A4</f>
        <v>36847</v>
      </c>
      <c r="T12"/>
    </row>
    <row r="13" spans="1:23" hidden="1" x14ac:dyDescent="0.2">
      <c r="A13" s="178" t="s">
        <v>8</v>
      </c>
      <c r="C13" s="450">
        <f>PriceAlberta!$R15</f>
        <v>0</v>
      </c>
      <c r="E13" s="179">
        <f>AlbertaIndex!$R15</f>
        <v>0</v>
      </c>
      <c r="G13" s="179">
        <f>PriceEOL!$R15</f>
        <v>0</v>
      </c>
      <c r="I13" s="179" t="e">
        <f>IF(I18=0,0,I14/I18)</f>
        <v>#REF!</v>
      </c>
      <c r="J13" s="249"/>
      <c r="K13" s="450">
        <f>'Price - East '!$R15</f>
        <v>0</v>
      </c>
      <c r="M13" s="249"/>
      <c r="R13" s="179" t="e">
        <f>IF(R18=0,0,R14/R18)</f>
        <v>#REF!</v>
      </c>
      <c r="T13" s="4"/>
    </row>
    <row r="14" spans="1:23" hidden="1" x14ac:dyDescent="0.2">
      <c r="A14" s="178" t="s">
        <v>9</v>
      </c>
      <c r="C14" s="180">
        <f>PriceAlberta!L16/100</f>
        <v>0</v>
      </c>
      <c r="E14" s="180">
        <f>AlbertaIndex!L16/100</f>
        <v>0</v>
      </c>
      <c r="G14" s="180">
        <f>+PriceEOL!$R16</f>
        <v>0</v>
      </c>
      <c r="I14" s="180" t="e">
        <f>+#REF!+G14</f>
        <v>#REF!</v>
      </c>
      <c r="J14" s="444"/>
      <c r="K14" s="180">
        <f>'Price - East '!H16/100</f>
        <v>0</v>
      </c>
      <c r="M14" s="444"/>
      <c r="R14" s="180" t="e">
        <f>#REF!+E14+#REF!+M14+G14+#REF!+#REF!+#REF!</f>
        <v>#REF!</v>
      </c>
      <c r="T14" s="4"/>
    </row>
    <row r="15" spans="1:23" hidden="1" x14ac:dyDescent="0.2">
      <c r="A15" s="178" t="s">
        <v>10</v>
      </c>
      <c r="C15" s="180">
        <f>PriceAlberta!M16/100</f>
        <v>0</v>
      </c>
      <c r="E15" s="180">
        <f>AlbertaIndex!M16/100</f>
        <v>0</v>
      </c>
      <c r="G15" s="180"/>
      <c r="I15" s="180" t="e">
        <f>+#REF!+G15</f>
        <v>#REF!</v>
      </c>
      <c r="J15" s="444"/>
      <c r="K15" s="180">
        <f>'Price - East '!I16/100</f>
        <v>0</v>
      </c>
      <c r="M15" s="444"/>
      <c r="R15" s="180"/>
      <c r="T15" s="4"/>
    </row>
    <row r="16" spans="1:23" hidden="1" x14ac:dyDescent="0.2">
      <c r="A16" s="178" t="s">
        <v>11</v>
      </c>
      <c r="C16" s="180">
        <f>PriceAlberta!N16/1000</f>
        <v>0</v>
      </c>
      <c r="E16" s="180">
        <f>AlbertaIndex!N16/1000</f>
        <v>0</v>
      </c>
      <c r="G16" s="180"/>
      <c r="I16" s="180" t="e">
        <f>+#REF!+G16</f>
        <v>#REF!</v>
      </c>
      <c r="J16" s="444"/>
      <c r="K16" s="180">
        <f>'Price - East '!J16/1000</f>
        <v>0</v>
      </c>
      <c r="M16" s="444"/>
      <c r="R16" s="180"/>
      <c r="T16" s="4"/>
    </row>
    <row r="17" spans="1:23" hidden="1" x14ac:dyDescent="0.2">
      <c r="A17" s="178" t="s">
        <v>12</v>
      </c>
      <c r="C17" s="180">
        <f>PriceAlberta!O16/100</f>
        <v>0</v>
      </c>
      <c r="E17" s="180">
        <f>AlbertaIndex!O16/100</f>
        <v>0</v>
      </c>
      <c r="G17" s="180"/>
      <c r="I17" s="180" t="e">
        <f>+#REF!+G17</f>
        <v>#REF!</v>
      </c>
      <c r="J17" s="444"/>
      <c r="K17" s="180" t="e">
        <f>'Price - East '!K16/100</f>
        <v>#VALUE!</v>
      </c>
      <c r="M17" s="444"/>
      <c r="R17" s="180"/>
      <c r="T17" s="4"/>
      <c r="W17" s="43"/>
    </row>
    <row r="18" spans="1:23" hidden="1" x14ac:dyDescent="0.2">
      <c r="A18" s="272" t="s">
        <v>13</v>
      </c>
      <c r="B18" s="273"/>
      <c r="C18" s="451">
        <f>PriceAlberta!$R17</f>
        <v>0</v>
      </c>
      <c r="D18" s="273"/>
      <c r="E18" s="274">
        <f>AlbertaIndex!$R17</f>
        <v>0</v>
      </c>
      <c r="F18" s="273"/>
      <c r="G18" s="274">
        <f>PriceEOL!$R17</f>
        <v>0</v>
      </c>
      <c r="H18" s="273"/>
      <c r="I18" s="180" t="e">
        <f>+#REF!+G18</f>
        <v>#REF!</v>
      </c>
      <c r="J18" s="445"/>
      <c r="K18" s="451">
        <f>'Price - East '!$R17</f>
        <v>0</v>
      </c>
      <c r="L18" s="273"/>
      <c r="M18" s="445"/>
      <c r="N18" s="273"/>
      <c r="O18" s="273"/>
      <c r="Q18" s="273"/>
      <c r="R18" s="275" t="e">
        <f>#REF!+E18+#REF!+M18+G18+#REF!+#REF!+#REF!</f>
        <v>#REF!</v>
      </c>
      <c r="T18" s="4"/>
      <c r="W18" s="43"/>
    </row>
    <row r="19" spans="1:23" ht="12.75" hidden="1" customHeight="1" x14ac:dyDescent="0.2">
      <c r="A19" s="181"/>
      <c r="C19" s="452"/>
      <c r="E19" s="182"/>
      <c r="G19" s="182"/>
      <c r="I19" s="182"/>
      <c r="J19" s="446"/>
      <c r="K19" s="452"/>
      <c r="M19" s="446"/>
      <c r="R19" s="182"/>
    </row>
    <row r="20" spans="1:23" hidden="1" x14ac:dyDescent="0.2">
      <c r="A20" s="181" t="s">
        <v>14</v>
      </c>
      <c r="C20" s="180">
        <f>PriceAlberta!$S14+PriceAlberta!$Y16</f>
        <v>0</v>
      </c>
      <c r="E20" s="183">
        <f>AlbertaIndex!$S14+AlbertaIndex!$Y16</f>
        <v>0</v>
      </c>
      <c r="G20" s="183">
        <f>PriceEOL!$S14+PriceEOL!$Y16</f>
        <v>0</v>
      </c>
      <c r="I20" s="183" t="e">
        <f>+#REF!+G20</f>
        <v>#REF!</v>
      </c>
      <c r="J20" s="446"/>
      <c r="K20" s="180">
        <f>'Price - East '!$S14+'Price - East '!$Y16</f>
        <v>0</v>
      </c>
      <c r="M20" s="446"/>
      <c r="R20" s="180" t="e">
        <f>#REF!+E20+#REF!+M20+G20+#REF!+#REF!+#REF!</f>
        <v>#REF!</v>
      </c>
      <c r="W20" s="43"/>
    </row>
    <row r="21" spans="1:23" hidden="1" x14ac:dyDescent="0.2">
      <c r="A21" s="181" t="s">
        <v>15</v>
      </c>
      <c r="C21" s="180">
        <f>PriceAlberta!$T14+PriceAlberta!$Y17</f>
        <v>0</v>
      </c>
      <c r="E21" s="183">
        <f>AlbertaIndex!$T14+AlbertaIndex!$Y17</f>
        <v>0</v>
      </c>
      <c r="G21" s="183">
        <f>PriceEOL!$T14+PriceEOL!$Y17</f>
        <v>0</v>
      </c>
      <c r="I21" s="183" t="e">
        <f>+#REF!+G21</f>
        <v>#REF!</v>
      </c>
      <c r="J21" s="446"/>
      <c r="K21" s="180">
        <f>'Price - East '!$T14+'Price - East '!$Y17</f>
        <v>0</v>
      </c>
      <c r="M21" s="446"/>
      <c r="R21" s="180" t="e">
        <f>#REF!+E21+#REF!+M21+G21+#REF!+#REF!+#REF!</f>
        <v>#REF!</v>
      </c>
    </row>
    <row r="22" spans="1:23" hidden="1" x14ac:dyDescent="0.2">
      <c r="A22" s="181" t="s">
        <v>16</v>
      </c>
      <c r="B22" s="192"/>
      <c r="C22" s="180">
        <f>SUM(C20:C21)</f>
        <v>0</v>
      </c>
      <c r="D22" s="192"/>
      <c r="E22" s="183">
        <f>SUM(E20:E21)</f>
        <v>0</v>
      </c>
      <c r="F22" s="192"/>
      <c r="G22" s="183">
        <f>SUM(G20:G21)</f>
        <v>0</v>
      </c>
      <c r="H22" s="192"/>
      <c r="I22" s="183" t="e">
        <f>+#REF!+G22</f>
        <v>#REF!</v>
      </c>
      <c r="J22" s="446"/>
      <c r="K22" s="180">
        <f>SUM(K20:K21)</f>
        <v>0</v>
      </c>
      <c r="L22" s="192"/>
      <c r="M22" s="446"/>
      <c r="N22" s="192"/>
      <c r="O22" s="192"/>
      <c r="Q22" s="192"/>
      <c r="R22" s="180" t="e">
        <f>#REF!+E22+#REF!+M22+G22+#REF!+#REF!+#REF!</f>
        <v>#REF!</v>
      </c>
      <c r="W22" s="43"/>
    </row>
    <row r="23" spans="1:23" ht="6.75" hidden="1" customHeight="1" x14ac:dyDescent="0.2">
      <c r="C23" s="452"/>
      <c r="E23" s="182"/>
      <c r="G23" s="182"/>
      <c r="I23" s="182"/>
      <c r="J23" s="446"/>
      <c r="K23" s="452"/>
      <c r="M23" s="446"/>
      <c r="R23" s="182"/>
    </row>
    <row r="24" spans="1:23" ht="13.5" hidden="1" x14ac:dyDescent="0.25">
      <c r="A24" s="177"/>
    </row>
    <row r="25" spans="1:23" hidden="1" x14ac:dyDescent="0.2">
      <c r="A25" s="181" t="s">
        <v>14</v>
      </c>
      <c r="C25" s="180">
        <f>PriceAlberta!$S24+PriceAlberta!$Y16</f>
        <v>0</v>
      </c>
      <c r="E25" s="183">
        <f>AlbertaIndex!$S24+AlbertaIndex!$Y16</f>
        <v>0</v>
      </c>
      <c r="G25" s="183">
        <f>PriceEOL!$S24+PriceEOL!$Y16</f>
        <v>0</v>
      </c>
      <c r="I25" s="183" t="e">
        <f>+#REF!+G25</f>
        <v>#REF!</v>
      </c>
      <c r="J25" s="446"/>
      <c r="K25" s="180">
        <f>'Price - East '!$S24+'Price - East '!$Y16</f>
        <v>0</v>
      </c>
      <c r="M25" s="446"/>
      <c r="R25" s="180" t="e">
        <f>#REF!+E25+#REF!+M25+G25+#REF!+#REF!+#REF!</f>
        <v>#REF!</v>
      </c>
    </row>
    <row r="26" spans="1:23" hidden="1" x14ac:dyDescent="0.2">
      <c r="A26" s="181" t="s">
        <v>15</v>
      </c>
      <c r="C26" s="180">
        <f>PriceAlberta!$T24+PriceAlberta!$Y17</f>
        <v>0</v>
      </c>
      <c r="E26" s="183">
        <f>AlbertaIndex!$T24+AlbertaIndex!$Y17</f>
        <v>0</v>
      </c>
      <c r="G26" s="183">
        <f>PriceEOL!$T24+PriceEOL!$Y17</f>
        <v>0</v>
      </c>
      <c r="I26" s="183" t="e">
        <f>+#REF!+G26</f>
        <v>#REF!</v>
      </c>
      <c r="J26" s="446"/>
      <c r="K26" s="180">
        <f>'Price - East '!$T24+'Price - East '!$Y17</f>
        <v>0</v>
      </c>
      <c r="M26" s="446"/>
      <c r="R26" s="180" t="e">
        <f>#REF!+E26+#REF!+M26+G26+#REF!+#REF!+#REF!</f>
        <v>#REF!</v>
      </c>
    </row>
    <row r="27" spans="1:23" hidden="1" x14ac:dyDescent="0.2">
      <c r="A27" s="181" t="s">
        <v>16</v>
      </c>
      <c r="B27" s="192"/>
      <c r="C27" s="180">
        <f>SUM(C25:C26)</f>
        <v>0</v>
      </c>
      <c r="D27" s="192"/>
      <c r="E27" s="183">
        <f>SUM(E25:E26)</f>
        <v>0</v>
      </c>
      <c r="F27" s="192"/>
      <c r="G27" s="183">
        <f>SUM(G25:G26)</f>
        <v>0</v>
      </c>
      <c r="H27" s="192"/>
      <c r="I27" s="183" t="e">
        <f>+#REF!+G27</f>
        <v>#REF!</v>
      </c>
      <c r="J27" s="446"/>
      <c r="K27" s="180">
        <f>SUM(K25:K26)</f>
        <v>0</v>
      </c>
      <c r="L27" s="192"/>
      <c r="M27" s="446"/>
      <c r="N27" s="192"/>
      <c r="O27" s="192"/>
      <c r="Q27" s="192"/>
      <c r="R27" s="180" t="e">
        <f>#REF!+E27+#REF!+M27+G27+#REF!+#REF!+#REF!</f>
        <v>#REF!</v>
      </c>
    </row>
    <row r="28" spans="1:23" ht="7.5" hidden="1" customHeight="1" x14ac:dyDescent="0.2">
      <c r="B28" s="192"/>
      <c r="D28" s="192"/>
      <c r="F28" s="192"/>
      <c r="H28" s="192"/>
      <c r="L28" s="192"/>
      <c r="N28" s="192"/>
      <c r="O28" s="192"/>
      <c r="Q28" s="192"/>
    </row>
    <row r="29" spans="1:23" hidden="1" x14ac:dyDescent="0.2">
      <c r="A29" s="185"/>
      <c r="B29" s="192"/>
      <c r="C29" s="180">
        <f>-C27+C22</f>
        <v>0</v>
      </c>
      <c r="D29" s="192"/>
      <c r="E29" s="183">
        <f>-E27+E22</f>
        <v>0</v>
      </c>
      <c r="F29" s="192"/>
      <c r="G29" s="183">
        <f>-G27+G22</f>
        <v>0</v>
      </c>
      <c r="H29" s="192"/>
      <c r="I29" s="183" t="e">
        <f>#REF!+#REF!</f>
        <v>#REF!</v>
      </c>
      <c r="J29" s="446"/>
      <c r="K29" s="180">
        <f>-K27+K22</f>
        <v>0</v>
      </c>
      <c r="L29" s="192"/>
      <c r="M29" s="446"/>
      <c r="N29" s="192"/>
      <c r="O29" s="192"/>
      <c r="Q29" s="192"/>
      <c r="R29" s="180" t="e">
        <f>#REF!+E29+#REF!+M29+G29+#REF!+#REF!+#REF!</f>
        <v>#REF!</v>
      </c>
    </row>
    <row r="30" spans="1:23" ht="7.5" hidden="1" customHeight="1" x14ac:dyDescent="0.2">
      <c r="B30" s="192"/>
      <c r="D30" s="192"/>
      <c r="F30" s="192"/>
      <c r="H30" s="192"/>
      <c r="L30" s="192"/>
      <c r="N30" s="192"/>
      <c r="O30" s="192"/>
      <c r="Q30" s="192"/>
    </row>
    <row r="31" spans="1:23" hidden="1" x14ac:dyDescent="0.2">
      <c r="A31" s="186" t="s">
        <v>18</v>
      </c>
      <c r="B31" s="192"/>
      <c r="D31" s="192"/>
      <c r="F31" s="192"/>
      <c r="H31" s="192"/>
      <c r="L31" s="192"/>
      <c r="N31" s="192"/>
      <c r="O31" s="192"/>
      <c r="Q31" s="192"/>
    </row>
    <row r="32" spans="1:23" x14ac:dyDescent="0.2">
      <c r="B32" s="192"/>
      <c r="D32" s="192"/>
      <c r="F32" s="192"/>
      <c r="H32" s="192"/>
      <c r="L32" s="192"/>
      <c r="N32" s="192"/>
      <c r="O32" s="192"/>
      <c r="Q32" s="192"/>
    </row>
    <row r="33" spans="1:22" ht="13.5" x14ac:dyDescent="0.25">
      <c r="A33" s="347" t="s">
        <v>19</v>
      </c>
      <c r="B33" s="192"/>
      <c r="C33" s="452"/>
      <c r="D33" s="192"/>
      <c r="E33" s="182"/>
      <c r="F33" s="192"/>
      <c r="G33" s="182"/>
      <c r="H33" s="192"/>
      <c r="I33" s="182"/>
      <c r="J33" s="446"/>
      <c r="K33" s="452"/>
      <c r="L33" s="192"/>
      <c r="M33" s="446"/>
      <c r="N33" s="192"/>
      <c r="O33" s="192"/>
      <c r="Q33" s="192"/>
      <c r="R33" s="182"/>
    </row>
    <row r="34" spans="1:22" x14ac:dyDescent="0.2">
      <c r="A34" s="181" t="s">
        <v>20</v>
      </c>
      <c r="B34" s="192"/>
      <c r="C34" s="854">
        <f>IF(Report!AC34=0,0,Report!AE34*((Report!M34+Report!S34)/Report!AC34))</f>
        <v>1409175.4522539235</v>
      </c>
      <c r="D34" s="192"/>
      <c r="E34" s="854">
        <f>IF(Report!AC34=0,0,Report!AE34*(Report!G34/Report!AC34))</f>
        <v>136574671.40061289</v>
      </c>
      <c r="F34" s="192"/>
      <c r="G34" s="854">
        <f>IF(Report!AC34=0,0,Report!AE34*(Report!AA34/Report!AC34))</f>
        <v>34119682.028816663</v>
      </c>
      <c r="H34" s="192"/>
      <c r="I34" s="854">
        <f>G34+E34+C34</f>
        <v>172103528.8816835</v>
      </c>
      <c r="J34" s="191"/>
      <c r="K34" s="854">
        <f>I34-Report!AE34</f>
        <v>0</v>
      </c>
      <c r="L34" s="192"/>
      <c r="M34" s="847"/>
      <c r="N34" s="192"/>
      <c r="O34" s="192"/>
      <c r="Q34" s="192"/>
      <c r="R34" s="188" t="e">
        <f>#REF!+E34+#REF!+M34+G34+#REF!+#REF!+#REF!</f>
        <v>#REF!</v>
      </c>
      <c r="S34" s="258"/>
    </row>
    <row r="35" spans="1:22" x14ac:dyDescent="0.2">
      <c r="A35" s="181" t="s">
        <v>21</v>
      </c>
      <c r="B35" s="192"/>
      <c r="C35" s="854">
        <f>IF(Report!AC35=0,0,Report!AE35*((Report!M35+Report!S35)/Report!AC35))</f>
        <v>0</v>
      </c>
      <c r="D35" s="192"/>
      <c r="E35" s="854">
        <f>IF(Report!AC35=0,0,Report!AE35*(Report!G35/Report!AC35))</f>
        <v>-593557.86586225871</v>
      </c>
      <c r="F35" s="192"/>
      <c r="G35" s="854">
        <f>IF(Report!AC35=0,0,Report!AE35*(Report!AA35/Report!AC35))</f>
        <v>0</v>
      </c>
      <c r="H35" s="192"/>
      <c r="I35" s="854">
        <f>G35+E35+C35</f>
        <v>-593557.86586225871</v>
      </c>
      <c r="J35" s="191"/>
      <c r="K35" s="854">
        <f>I35-Report!AE35</f>
        <v>0</v>
      </c>
      <c r="L35" s="192"/>
      <c r="M35" s="191"/>
      <c r="N35" s="192"/>
      <c r="O35" s="192"/>
      <c r="Q35" s="192"/>
      <c r="R35" s="188" t="e">
        <f>#REF!+E35+#REF!+M35+G35+#REF!+#REF!+#REF!</f>
        <v>#REF!</v>
      </c>
      <c r="S35" s="258"/>
    </row>
    <row r="36" spans="1:22" x14ac:dyDescent="0.2">
      <c r="A36" s="181" t="s">
        <v>22</v>
      </c>
      <c r="B36" s="192"/>
      <c r="C36" s="854">
        <f>IF(Report!AC36=0,0,Report!AE36*((Report!M36+Report!S36)/Report!AC36))</f>
        <v>1741975.4560164164</v>
      </c>
      <c r="D36" s="192"/>
      <c r="E36" s="854">
        <f>IF(Report!AC36=0,0,Report!AE36*(Report!G36/Report!AC36))</f>
        <v>45691062.301357135</v>
      </c>
      <c r="F36" s="192"/>
      <c r="G36" s="854">
        <f>IF(Report!AC36=0,0,Report!AE36*(Report!AA36/Report!AC36))</f>
        <v>-35306923.133921415</v>
      </c>
      <c r="H36" s="192"/>
      <c r="I36" s="854">
        <f>G36+E36+C36</f>
        <v>12126114.623452136</v>
      </c>
      <c r="J36" s="191"/>
      <c r="K36" s="854">
        <f>I36-Report!AE36</f>
        <v>0</v>
      </c>
      <c r="L36" s="192"/>
      <c r="M36" s="191"/>
      <c r="N36" s="192"/>
      <c r="O36" s="192"/>
      <c r="Q36" s="192"/>
      <c r="R36" s="188" t="e">
        <f>#REF!+E36+#REF!+M36+G36+#REF!+#REF!+#REF!</f>
        <v>#REF!</v>
      </c>
      <c r="S36" s="258"/>
    </row>
    <row r="37" spans="1:22" x14ac:dyDescent="0.2">
      <c r="A37" s="170" t="s">
        <v>359</v>
      </c>
      <c r="B37" s="192"/>
      <c r="C37" s="854">
        <f>IF(Report!AC37=0,0,Report!AE37*((Report!M37+Report!S37)/Report!AC37))</f>
        <v>3298347.4494657181</v>
      </c>
      <c r="D37" s="192"/>
      <c r="E37" s="854">
        <f>IF(Report!AC37=0,0,Report!AE37*(Report!G37/Report!AC37))</f>
        <v>185133393.33271694</v>
      </c>
      <c r="F37" s="192"/>
      <c r="G37" s="854">
        <f>IF(Report!AC37=0,0,Report!AE37*(Report!AA37/Report!AC37))</f>
        <v>-4795655.1429093312</v>
      </c>
      <c r="H37" s="192"/>
      <c r="I37" s="854">
        <f>G37+E37+C37</f>
        <v>183636085.63927335</v>
      </c>
      <c r="J37" s="191"/>
      <c r="K37" s="854">
        <f>I37-Report!AE37</f>
        <v>0</v>
      </c>
      <c r="L37" s="192"/>
      <c r="M37" s="191"/>
      <c r="N37" s="192"/>
      <c r="O37" s="192"/>
      <c r="Q37" s="192"/>
      <c r="R37" s="188" t="e">
        <f>SUM(R34:R36)</f>
        <v>#REF!</v>
      </c>
      <c r="S37" s="258"/>
    </row>
    <row r="38" spans="1:22" ht="9.75" customHeight="1" x14ac:dyDescent="0.2">
      <c r="B38" s="192"/>
      <c r="C38" s="404"/>
      <c r="D38" s="192"/>
      <c r="E38" s="404"/>
      <c r="F38" s="192"/>
      <c r="G38" s="404"/>
      <c r="H38" s="192"/>
      <c r="I38" s="404"/>
      <c r="J38" s="191"/>
      <c r="K38" s="404"/>
      <c r="L38" s="192"/>
      <c r="M38" s="191"/>
      <c r="N38" s="192"/>
      <c r="O38" s="192"/>
      <c r="Q38" s="192"/>
      <c r="R38" s="189"/>
      <c r="S38" s="258"/>
    </row>
    <row r="39" spans="1:22" ht="13.5" x14ac:dyDescent="0.25">
      <c r="A39" s="190">
        <f ca="1">A4</f>
        <v>36847</v>
      </c>
      <c r="B39" s="192"/>
      <c r="D39" s="192"/>
      <c r="E39" s="41"/>
      <c r="F39" s="192"/>
      <c r="G39" s="41"/>
      <c r="H39" s="192"/>
      <c r="I39" s="41"/>
      <c r="L39" s="192"/>
      <c r="N39" s="192"/>
      <c r="O39" s="192"/>
      <c r="Q39" s="192"/>
      <c r="S39" s="258"/>
    </row>
    <row r="40" spans="1:22" x14ac:dyDescent="0.2">
      <c r="A40" s="181" t="s">
        <v>23</v>
      </c>
      <c r="B40" s="470"/>
      <c r="C40" s="854">
        <f>IF(Report!AC40=0,0,Report!AE40*((Report!M40+Report!S40)/Report!AC40))</f>
        <v>0</v>
      </c>
      <c r="D40" s="332"/>
      <c r="E40" s="854">
        <f>IF(Report!AC40=0,0,Report!AE40*(Report!G40/Report!AC40))</f>
        <v>391430.38796395302</v>
      </c>
      <c r="F40" s="264"/>
      <c r="G40" s="854">
        <f>IF(Report!AC40=0,0,Report!AE40*(Report!AA40/Report!AC40))</f>
        <v>35644.302734076678</v>
      </c>
      <c r="H40" s="264"/>
      <c r="I40" s="854">
        <f>G40+E40+C40</f>
        <v>427074.69069802971</v>
      </c>
      <c r="J40" s="191"/>
      <c r="K40" s="854">
        <f>I40-Report!AE40</f>
        <v>0</v>
      </c>
      <c r="L40" s="264"/>
      <c r="M40" s="191"/>
      <c r="N40" s="264"/>
      <c r="O40" s="264"/>
      <c r="Q40" s="264" t="e">
        <f>(R40-'Orig Sched'!O185)*0</f>
        <v>#REF!</v>
      </c>
      <c r="R40" s="188" t="e">
        <f>#REF!+E40+#REF!+M40+G40+#REF!+#REF!+#REF!</f>
        <v>#REF!</v>
      </c>
      <c r="S40" s="258"/>
      <c r="U40" s="264" t="s">
        <v>24</v>
      </c>
    </row>
    <row r="41" spans="1:22" x14ac:dyDescent="0.2">
      <c r="A41" s="181" t="s">
        <v>25</v>
      </c>
      <c r="B41" s="192"/>
      <c r="D41" s="192"/>
      <c r="E41" s="41"/>
      <c r="F41" s="192"/>
      <c r="G41" s="41"/>
      <c r="H41" s="192"/>
      <c r="I41" s="41"/>
      <c r="J41" s="191"/>
      <c r="L41" s="192"/>
      <c r="M41" s="191"/>
      <c r="N41" s="192"/>
      <c r="O41" s="192"/>
      <c r="Q41" s="192"/>
      <c r="R41" s="189"/>
      <c r="S41" s="258"/>
      <c r="U41" s="192" t="s">
        <v>355</v>
      </c>
      <c r="V41" s="414">
        <f>+'Orig Sched'!Q16</f>
        <v>0</v>
      </c>
    </row>
    <row r="42" spans="1:22" s="41" customFormat="1" x14ac:dyDescent="0.2">
      <c r="A42" s="178" t="s">
        <v>26</v>
      </c>
      <c r="B42" s="402"/>
      <c r="C42" s="855">
        <f>IF(Report!AC42=0,0,Report!AE42*((Report!M42+Report!S42)/Report!AC42))</f>
        <v>1157486.5587291892</v>
      </c>
      <c r="D42" s="402"/>
      <c r="E42" s="855">
        <f>IF(Report!AC42=0,0,Report!AE42*(Report!G42/Report!AC42))</f>
        <v>511493.69940430747</v>
      </c>
      <c r="F42" s="402"/>
      <c r="G42" s="855">
        <f>IF(Report!AC42=0,0,Report!AE42*(Report!AA42/Report!AC42))</f>
        <v>2110390.1787078055</v>
      </c>
      <c r="H42" s="402"/>
      <c r="I42" s="855">
        <f t="shared" ref="I42:I55" si="0">G42+E42+C42</f>
        <v>3779370.4368413026</v>
      </c>
      <c r="J42" s="454"/>
      <c r="K42" s="855">
        <f>I42-Report!AE42</f>
        <v>0</v>
      </c>
      <c r="L42" s="402"/>
      <c r="M42" s="454"/>
      <c r="N42" s="402"/>
      <c r="O42" s="402"/>
      <c r="Q42" s="402"/>
      <c r="R42" s="404"/>
      <c r="S42" s="405"/>
      <c r="U42" s="402"/>
      <c r="V42" s="435">
        <f>+'Orig Sched'!Q12*1000</f>
        <v>10294.59</v>
      </c>
    </row>
    <row r="43" spans="1:22" x14ac:dyDescent="0.2">
      <c r="A43" s="181" t="s">
        <v>27</v>
      </c>
      <c r="B43" s="192"/>
      <c r="C43" s="855">
        <f>IF(Report!AC43=0,0,Report!AE43*((Report!M43+Report!S43)/Report!AC43))</f>
        <v>-3085005.9951122659</v>
      </c>
      <c r="D43" s="192"/>
      <c r="E43" s="855">
        <f>IF(Report!AC43=0,0,Report!AE43*(Report!G43/Report!AC43))</f>
        <v>1951916.5266534293</v>
      </c>
      <c r="F43" s="192"/>
      <c r="G43" s="855">
        <f>IF(Report!AC43=0,0,Report!AE43*(Report!AA43/Report!AC43))</f>
        <v>4538943.523751338</v>
      </c>
      <c r="H43" s="192"/>
      <c r="I43" s="855">
        <f t="shared" si="0"/>
        <v>3405854.0552925016</v>
      </c>
      <c r="J43" s="191"/>
      <c r="K43" s="855">
        <f>I43-Report!AE43</f>
        <v>0</v>
      </c>
      <c r="L43" s="192"/>
      <c r="M43" s="191"/>
      <c r="N43" s="192"/>
      <c r="O43" s="192"/>
      <c r="Q43" s="192"/>
      <c r="R43" s="191" t="e">
        <f>#REF!+E43+#REF!+M43+G43+#REF!+#REF!+#REF!</f>
        <v>#REF!</v>
      </c>
      <c r="S43" s="258"/>
      <c r="U43" s="414"/>
      <c r="V43" s="414">
        <f>SUM(V41:V42)</f>
        <v>10294.59</v>
      </c>
    </row>
    <row r="44" spans="1:22" x14ac:dyDescent="0.2">
      <c r="A44" s="181" t="s">
        <v>28</v>
      </c>
      <c r="B44" s="192"/>
      <c r="C44" s="855">
        <f>IF(Report!AC44=0,0,Report!AE44*((Report!M44+Report!S44)/Report!AC44))</f>
        <v>-3214779.9755613268</v>
      </c>
      <c r="D44" s="192"/>
      <c r="E44" s="855">
        <f>IF(Report!AC44=0,0,Report!AE44*(Report!G44/Report!AC44))</f>
        <v>-7679363.1052390421</v>
      </c>
      <c r="F44" s="192"/>
      <c r="G44" s="855">
        <f>IF(Report!AC44=0,0,Report!AE44*(Report!AA44/Report!AC44))</f>
        <v>2632951.924545594</v>
      </c>
      <c r="H44" s="192"/>
      <c r="I44" s="855">
        <f t="shared" si="0"/>
        <v>-8261191.156254774</v>
      </c>
      <c r="J44" s="191"/>
      <c r="K44" s="855">
        <f>I44-Report!AE44</f>
        <v>0</v>
      </c>
      <c r="L44" s="192"/>
      <c r="M44" s="191"/>
      <c r="N44" s="192"/>
      <c r="O44" s="192"/>
      <c r="Q44" s="192"/>
      <c r="R44" s="191" t="e">
        <f>#REF!+E44+#REF!+M44+G44+#REF!+#REF!+#REF!</f>
        <v>#REF!</v>
      </c>
      <c r="S44" s="258"/>
    </row>
    <row r="45" spans="1:22" x14ac:dyDescent="0.2">
      <c r="A45" s="181" t="s">
        <v>29</v>
      </c>
      <c r="B45" s="192"/>
      <c r="C45" s="855">
        <f>IF(Report!AC45=0,0,Report!AE45*((Report!M45+Report!S45)/Report!AC45))</f>
        <v>-27640.904230945478</v>
      </c>
      <c r="D45" s="192"/>
      <c r="E45" s="855">
        <f>IF(Report!AC45=0,0,Report!AE45*(Report!G45/Report!AC45))</f>
        <v>-3484.0003054834283</v>
      </c>
      <c r="F45" s="192"/>
      <c r="G45" s="855">
        <f>IF(Report!AC45=0,0,Report!AE45*(Report!AA45/Report!AC45))</f>
        <v>-520.6201313578739</v>
      </c>
      <c r="H45" s="192"/>
      <c r="I45" s="855">
        <f t="shared" si="0"/>
        <v>-31645.52466778678</v>
      </c>
      <c r="J45" s="191"/>
      <c r="K45" s="855">
        <f>I45-Report!AE45</f>
        <v>0</v>
      </c>
      <c r="L45" s="192"/>
      <c r="M45" s="191"/>
      <c r="N45" s="192"/>
      <c r="O45" s="192"/>
      <c r="Q45" s="192"/>
      <c r="R45" s="191" t="e">
        <f>#REF!+E45+#REF!+M45+G45+#REF!+#REF!+#REF!</f>
        <v>#REF!</v>
      </c>
      <c r="S45" s="258"/>
    </row>
    <row r="46" spans="1:22" x14ac:dyDescent="0.2">
      <c r="A46" s="181" t="s">
        <v>30</v>
      </c>
      <c r="B46" s="192"/>
      <c r="C46" s="855">
        <f>IF(Report!AC46=0,0,Report!AE46*((Report!M46+Report!S46)/Report!AC46))</f>
        <v>-138451.19902245307</v>
      </c>
      <c r="D46" s="192"/>
      <c r="E46" s="855">
        <f>IF(Report!AC46=0,0,Report!AE46*(Report!G46/Report!AC46))</f>
        <v>-91902.436230334526</v>
      </c>
      <c r="F46" s="192"/>
      <c r="G46" s="855">
        <f>IF(Report!AC46=0,0,Report!AE46*(Report!AA46/Report!AC46))</f>
        <v>-6155134.0690392563</v>
      </c>
      <c r="H46" s="192"/>
      <c r="I46" s="855">
        <f t="shared" si="0"/>
        <v>-6385487.704292044</v>
      </c>
      <c r="J46" s="191"/>
      <c r="K46" s="855">
        <f>I46-Report!AE46</f>
        <v>0</v>
      </c>
      <c r="L46" s="192"/>
      <c r="M46" s="191"/>
      <c r="N46" s="192"/>
      <c r="O46" s="192"/>
      <c r="Q46" s="192"/>
      <c r="R46" s="191"/>
      <c r="S46" s="258"/>
    </row>
    <row r="47" spans="1:22" x14ac:dyDescent="0.2">
      <c r="A47" s="181" t="s">
        <v>31</v>
      </c>
      <c r="B47" s="192"/>
      <c r="C47" s="855">
        <f>IF(Report!AC47=0,0,Report!AE47*((Report!M47+Report!S47)/Report!AC47))</f>
        <v>12411.142508018942</v>
      </c>
      <c r="D47" s="192"/>
      <c r="E47" s="855">
        <f>IF(Report!AC47=0,0,Report!AE47*(Report!G47/Report!AC47))</f>
        <v>-3779.3645944707509</v>
      </c>
      <c r="F47" s="192"/>
      <c r="G47" s="855">
        <f>IF(Report!AC47=0,0,Report!AE47*(Report!AA47/Report!AC47))</f>
        <v>1071214.2202535514</v>
      </c>
      <c r="H47" s="192"/>
      <c r="I47" s="855">
        <f t="shared" si="0"/>
        <v>1079845.9981670997</v>
      </c>
      <c r="J47" s="191"/>
      <c r="K47" s="855">
        <f>I47-Report!AE47</f>
        <v>0</v>
      </c>
      <c r="L47" s="192"/>
      <c r="M47" s="191"/>
      <c r="N47" s="192"/>
      <c r="O47" s="192"/>
      <c r="Q47" s="192"/>
      <c r="R47" s="191" t="e">
        <f>#REF!+E47+#REF!+M47+G47+#REF!+#REF!+#REF!</f>
        <v>#REF!</v>
      </c>
      <c r="S47" s="258"/>
    </row>
    <row r="48" spans="1:22" x14ac:dyDescent="0.2">
      <c r="A48" s="181" t="s">
        <v>32</v>
      </c>
      <c r="B48" s="192"/>
      <c r="C48" s="855">
        <f>IF(Report!AC48=0,0,Report!AE48*((Report!M48+Report!S48)/Report!AC48))</f>
        <v>0</v>
      </c>
      <c r="D48" s="192"/>
      <c r="E48" s="855">
        <f>IF(Report!AC48=0,0,Report!AE48*(Report!G48/Report!AC48))</f>
        <v>-27368.260271880255</v>
      </c>
      <c r="F48" s="192"/>
      <c r="G48" s="855">
        <f>IF(Report!AC48=0,0,Report!AE48*(Report!AA48/Report!AC48))</f>
        <v>-610006.45333740651</v>
      </c>
      <c r="H48" s="192"/>
      <c r="I48" s="855">
        <f t="shared" si="0"/>
        <v>-637374.71360928682</v>
      </c>
      <c r="J48" s="191"/>
      <c r="K48" s="855">
        <f>I48-Report!AE48</f>
        <v>0</v>
      </c>
      <c r="L48" s="192"/>
      <c r="M48" s="191"/>
      <c r="N48" s="192"/>
      <c r="O48" s="192"/>
      <c r="Q48" s="192"/>
      <c r="R48" s="191" t="e">
        <f>#REF!+E48+#REF!+M48+G48+#REF!+#REF!+#REF!</f>
        <v>#REF!</v>
      </c>
      <c r="S48" s="258"/>
    </row>
    <row r="49" spans="1:23" x14ac:dyDescent="0.2">
      <c r="A49" s="181" t="s">
        <v>33</v>
      </c>
      <c r="B49" s="192"/>
      <c r="C49" s="855">
        <f>IF(Report!AC49=0,0,Report!AE49*((Report!M49+Report!S49)/Report!AC49))</f>
        <v>0</v>
      </c>
      <c r="D49" s="192"/>
      <c r="E49" s="855">
        <f>IF(Report!AC49=0,0,Report!AE49*(Report!G49/Report!AC49))</f>
        <v>14517.641667939519</v>
      </c>
      <c r="F49" s="192"/>
      <c r="G49" s="855">
        <f>IF(Report!AC49=0,0,Report!AE49*(Report!AA49/Report!AC49))</f>
        <v>700467.77149839641</v>
      </c>
      <c r="H49" s="192"/>
      <c r="I49" s="855">
        <f t="shared" si="0"/>
        <v>714985.4131663359</v>
      </c>
      <c r="J49" s="191"/>
      <c r="K49" s="855">
        <f>I49-Report!AE49</f>
        <v>0</v>
      </c>
      <c r="L49" s="192"/>
      <c r="M49" s="191"/>
      <c r="N49" s="192"/>
      <c r="O49" s="192"/>
      <c r="Q49" s="192"/>
      <c r="R49" s="191" t="e">
        <f>#REF!+E49+#REF!+M49+G49+#REF!+#REF!+#REF!</f>
        <v>#REF!</v>
      </c>
      <c r="S49" s="258"/>
    </row>
    <row r="50" spans="1:23" x14ac:dyDescent="0.2">
      <c r="A50" s="181" t="s">
        <v>34</v>
      </c>
      <c r="B50" s="192"/>
      <c r="C50" s="855">
        <f>IF(Report!AC50=0,0,Report!AE50*((Report!M50+Report!S50)/Report!AC50))</f>
        <v>0</v>
      </c>
      <c r="D50" s="192"/>
      <c r="E50" s="855">
        <f>IF(Report!AC50=0,0,Report!AE50*(Report!G50/Report!AC50))</f>
        <v>0</v>
      </c>
      <c r="F50" s="192"/>
      <c r="G50" s="855">
        <f>IF(Report!AC50=0,0,Report!AE50*(Report!AA50/Report!AC50))</f>
        <v>0</v>
      </c>
      <c r="H50" s="192"/>
      <c r="I50" s="855">
        <f t="shared" si="0"/>
        <v>0</v>
      </c>
      <c r="J50" s="191"/>
      <c r="K50" s="855">
        <f>I50-Report!AE50</f>
        <v>0</v>
      </c>
      <c r="L50" s="192"/>
      <c r="M50" s="191"/>
      <c r="N50" s="192"/>
      <c r="O50" s="192"/>
      <c r="Q50" s="192"/>
      <c r="R50" s="191" t="e">
        <f>#REF!+E50+#REF!+M50+G50+#REF!+#REF!+#REF!</f>
        <v>#REF!</v>
      </c>
      <c r="S50" s="258"/>
    </row>
    <row r="51" spans="1:23" x14ac:dyDescent="0.2">
      <c r="A51" s="181" t="s">
        <v>35</v>
      </c>
      <c r="B51" s="333"/>
      <c r="C51" s="855">
        <f>IF(Report!AC51=0,0,Report!AE51*((Report!M51+Report!S51)/Report!AC51))</f>
        <v>0</v>
      </c>
      <c r="D51" s="333"/>
      <c r="E51" s="855">
        <f>IF(Report!AC51=0,0,Report!AE51*(Report!G51/Report!AC51))</f>
        <v>-42194.898426760359</v>
      </c>
      <c r="F51" s="192"/>
      <c r="G51" s="855">
        <f>IF(Report!AC51=0,0,Report!AE51*(Report!AA51/Report!AC51))</f>
        <v>0</v>
      </c>
      <c r="H51" s="192"/>
      <c r="I51" s="855">
        <f t="shared" si="0"/>
        <v>-42194.898426760359</v>
      </c>
      <c r="J51" s="191"/>
      <c r="K51" s="855">
        <f>I51-Report!AE51</f>
        <v>0</v>
      </c>
      <c r="L51" s="192"/>
      <c r="M51" s="191"/>
      <c r="N51" s="192"/>
      <c r="O51" s="192"/>
      <c r="Q51" s="192"/>
      <c r="R51" s="191" t="e">
        <f>#REF!+E51+#REF!+M51+G51+#REF!+#REF!+#REF!</f>
        <v>#REF!</v>
      </c>
      <c r="S51" s="258"/>
    </row>
    <row r="52" spans="1:23" x14ac:dyDescent="0.2">
      <c r="A52" s="269" t="s">
        <v>36</v>
      </c>
      <c r="B52" s="270"/>
      <c r="C52" s="854">
        <f>IF(Report!AC52=0,0,Report!AE52*((Report!M52+Report!S52)/Report!AC52))</f>
        <v>-5295980.3726897817</v>
      </c>
      <c r="D52" s="270"/>
      <c r="E52" s="854">
        <f>IF(Report!AC52=0,0,Report!AE52*(Report!G52/Report!AC52))</f>
        <v>-5370164.1973422952</v>
      </c>
      <c r="F52" s="270"/>
      <c r="G52" s="854">
        <f>IF(Report!AC52=0,0,Report!AE52*(Report!AA52/Report!AC52))</f>
        <v>4288306.4762486639</v>
      </c>
      <c r="H52" s="270"/>
      <c r="I52" s="854">
        <f t="shared" si="0"/>
        <v>-6377838.0937834131</v>
      </c>
      <c r="J52" s="315"/>
      <c r="K52" s="854">
        <f>I52-Report!AE52</f>
        <v>0</v>
      </c>
      <c r="L52" s="270"/>
      <c r="M52" s="315"/>
      <c r="N52" s="270"/>
      <c r="O52" s="270"/>
      <c r="Q52" s="270"/>
      <c r="R52" s="271" t="e">
        <f>SUM(R43:R51)</f>
        <v>#REF!</v>
      </c>
      <c r="S52" s="258"/>
    </row>
    <row r="53" spans="1:23" x14ac:dyDescent="0.2">
      <c r="A53" s="181" t="s">
        <v>37</v>
      </c>
      <c r="B53" s="192"/>
      <c r="C53" s="854">
        <f>IF(Report!AC53=0,0,Report!AE53*((Report!M53+Report!S53)/Report!AC53))</f>
        <v>0</v>
      </c>
      <c r="D53" s="192"/>
      <c r="E53" s="854">
        <f>IF(Report!AC53=0,0,Report!AE53*(Report!G53/Report!AC53))</f>
        <v>0</v>
      </c>
      <c r="F53" s="192"/>
      <c r="G53" s="854">
        <f>IF(Report!AC53=0,0,Report!AE53*(Report!AA53/Report!AC53))</f>
        <v>0</v>
      </c>
      <c r="H53" s="192"/>
      <c r="I53" s="854">
        <f t="shared" si="0"/>
        <v>0</v>
      </c>
      <c r="J53" s="191"/>
      <c r="K53" s="854">
        <f>I53-Report!AE53</f>
        <v>0</v>
      </c>
      <c r="L53" s="192"/>
      <c r="M53" s="191"/>
      <c r="N53" s="192"/>
      <c r="O53" s="192"/>
      <c r="Q53" s="192"/>
      <c r="R53" s="188" t="e">
        <f>#REF!+E53+#REF!+M53+G53+#REF!+#REF!+#REF!</f>
        <v>#REF!</v>
      </c>
      <c r="S53" s="258"/>
      <c r="U53" s="467" t="e">
        <f>+#REF!/#REF!</f>
        <v>#REF!</v>
      </c>
    </row>
    <row r="54" spans="1:23" x14ac:dyDescent="0.2">
      <c r="A54" s="181" t="s">
        <v>38</v>
      </c>
      <c r="B54" s="192"/>
      <c r="C54" s="854">
        <f>IF(Report!AC54=0,0,Report!AE54*((Report!M54+Report!S54)/Report!AC54))</f>
        <v>70131.166946693149</v>
      </c>
      <c r="D54" s="192"/>
      <c r="E54" s="854">
        <f>IF(Report!AC54=0,0,Report!AE54*(Report!G54/Report!AC54))</f>
        <v>19881.58698640599</v>
      </c>
      <c r="F54" s="192"/>
      <c r="G54" s="854">
        <f>IF(Report!AC54=0,0,Report!AE54*(Report!AA54/Report!AC54))</f>
        <v>-362029.63189246989</v>
      </c>
      <c r="H54" s="192"/>
      <c r="I54" s="854">
        <f t="shared" si="0"/>
        <v>-272016.87795937073</v>
      </c>
      <c r="J54" s="191"/>
      <c r="K54" s="854">
        <f>I54-Report!AE54</f>
        <v>0</v>
      </c>
      <c r="L54" s="192"/>
      <c r="M54" s="191"/>
      <c r="N54" s="192"/>
      <c r="O54" s="192"/>
      <c r="Q54" s="192"/>
      <c r="R54" s="188" t="e">
        <f>#REF!+E54+#REF!+M54+G54+#REF!+#REF!+#REF!</f>
        <v>#REF!</v>
      </c>
      <c r="S54" s="258"/>
    </row>
    <row r="55" spans="1:23" x14ac:dyDescent="0.2">
      <c r="A55" s="269" t="s">
        <v>39</v>
      </c>
      <c r="B55" s="270"/>
      <c r="C55" s="854">
        <f>IF(Report!AC55=0,0,Report!AE55*((Report!M55+Report!S55)/Report!AC55))</f>
        <v>-5225849.2057430893</v>
      </c>
      <c r="D55" s="270"/>
      <c r="E55" s="854">
        <f>IF(Report!AC55=0,0,Report!AE55*(Report!G55/Report!AC55))</f>
        <v>-4958852.222391936</v>
      </c>
      <c r="F55" s="270"/>
      <c r="G55" s="854">
        <f>IF(Report!AC55=0,0,Report!AE55*(Report!AA55/Report!AC55))</f>
        <v>3961921.1470902711</v>
      </c>
      <c r="H55" s="270"/>
      <c r="I55" s="854">
        <f t="shared" si="0"/>
        <v>-6222780.2810447542</v>
      </c>
      <c r="J55" s="315"/>
      <c r="K55" s="854">
        <f>I55-Report!AE55</f>
        <v>0</v>
      </c>
      <c r="L55" s="413"/>
      <c r="M55" s="315"/>
      <c r="N55" s="270"/>
      <c r="O55" s="270"/>
      <c r="Q55" s="270"/>
      <c r="R55" s="271" t="e">
        <f>R40+R52+R53+R54</f>
        <v>#REF!</v>
      </c>
      <c r="S55" s="258"/>
    </row>
    <row r="56" spans="1:23" x14ac:dyDescent="0.2">
      <c r="A56" s="269" t="s">
        <v>451</v>
      </c>
      <c r="B56" s="270"/>
      <c r="C56" s="454"/>
      <c r="D56" s="270"/>
      <c r="E56" s="454"/>
      <c r="F56" s="397"/>
      <c r="G56" s="454"/>
      <c r="H56" s="397"/>
      <c r="I56" s="454">
        <f>+I55-I40</f>
        <v>-6649854.9717427837</v>
      </c>
      <c r="J56" s="315"/>
      <c r="K56" s="454"/>
      <c r="L56" s="270"/>
      <c r="M56" s="315"/>
      <c r="N56" s="270"/>
      <c r="O56" s="270"/>
      <c r="Q56" s="270"/>
      <c r="R56" s="316"/>
      <c r="S56" s="258"/>
    </row>
    <row r="57" spans="1:23" x14ac:dyDescent="0.2">
      <c r="A57" s="269" t="s">
        <v>40</v>
      </c>
      <c r="B57" s="270"/>
      <c r="C57" s="454"/>
      <c r="D57" s="270"/>
      <c r="E57" s="454"/>
      <c r="F57" s="397"/>
      <c r="G57" s="454"/>
      <c r="H57" s="397"/>
      <c r="I57" s="454"/>
      <c r="J57" s="315"/>
      <c r="K57" s="454"/>
      <c r="L57" s="270"/>
      <c r="M57" s="315"/>
      <c r="N57" s="270"/>
      <c r="O57" s="270"/>
      <c r="Q57" s="270"/>
      <c r="R57" s="316"/>
      <c r="S57" s="258"/>
    </row>
    <row r="58" spans="1:23" x14ac:dyDescent="0.2">
      <c r="A58" s="269" t="s">
        <v>41</v>
      </c>
      <c r="B58" s="270"/>
      <c r="C58" s="454"/>
      <c r="D58" s="270"/>
      <c r="E58" s="454"/>
      <c r="F58" s="397"/>
      <c r="G58" s="454"/>
      <c r="H58" s="397"/>
      <c r="I58" s="454"/>
      <c r="J58" s="315"/>
      <c r="K58" s="454"/>
      <c r="L58" s="270"/>
      <c r="M58" s="315"/>
      <c r="N58" s="270"/>
      <c r="O58" s="270"/>
      <c r="Q58" s="270"/>
      <c r="R58" s="316"/>
      <c r="S58" s="258"/>
    </row>
    <row r="59" spans="1:23" ht="9" customHeight="1" x14ac:dyDescent="0.2">
      <c r="B59" s="192"/>
      <c r="C59" s="455"/>
      <c r="D59" s="192"/>
      <c r="E59" s="455"/>
      <c r="F59" s="192"/>
      <c r="G59" s="455"/>
      <c r="H59" s="192"/>
      <c r="I59" s="455"/>
      <c r="J59" s="191"/>
      <c r="K59" s="455"/>
      <c r="L59" s="192"/>
      <c r="M59" s="191"/>
      <c r="N59" s="192"/>
      <c r="O59" s="192"/>
      <c r="Q59" s="192"/>
      <c r="R59" s="189"/>
      <c r="S59" s="258"/>
      <c r="T59"/>
      <c r="V59" s="9"/>
      <c r="W59" s="9"/>
    </row>
    <row r="60" spans="1:23" ht="13.5" x14ac:dyDescent="0.25">
      <c r="A60" s="187">
        <f ca="1">A4</f>
        <v>36847</v>
      </c>
      <c r="C60" s="455"/>
      <c r="E60" s="455"/>
      <c r="G60" s="455"/>
      <c r="I60" s="455"/>
      <c r="K60" s="455"/>
      <c r="S60" s="258"/>
    </row>
    <row r="61" spans="1:23" x14ac:dyDescent="0.2">
      <c r="A61" s="181" t="s">
        <v>42</v>
      </c>
      <c r="B61" s="192"/>
      <c r="C61" s="854">
        <f>IF(Report!AC61=0,0,Report!AE61*((Report!M61+Report!S61)/Report!AC61))</f>
        <v>-3485521.9950517309</v>
      </c>
      <c r="D61" s="192"/>
      <c r="E61" s="854">
        <f>IF(Report!AC61=0,0,Report!AE61*(Report!G61/Report!AC61))</f>
        <v>129368511.11936212</v>
      </c>
      <c r="F61" s="192"/>
      <c r="G61" s="854">
        <f>IF(Report!AC61=0,0,Report!AE61*(Report!AA61/Report!AC61))</f>
        <v>37332467.407922193</v>
      </c>
      <c r="H61" s="192"/>
      <c r="I61" s="854">
        <f>G61+E61+C61</f>
        <v>163215456.53223258</v>
      </c>
      <c r="J61" s="191"/>
      <c r="K61" s="854">
        <f>I61-Report!AE61</f>
        <v>0</v>
      </c>
      <c r="L61" s="192"/>
      <c r="M61" s="191"/>
      <c r="N61" s="192"/>
      <c r="O61" s="192"/>
      <c r="Q61" s="192"/>
      <c r="R61" s="188" t="e">
        <f>#REF!+E61+#REF!+M61+G61+#REF!+#REF!+#REF!</f>
        <v>#REF!</v>
      </c>
      <c r="S61" s="258"/>
    </row>
    <row r="62" spans="1:23" x14ac:dyDescent="0.2">
      <c r="A62" s="181" t="s">
        <v>43</v>
      </c>
      <c r="B62" s="192"/>
      <c r="C62" s="854">
        <f>IF(Report!AC62=0,0,Report!AE62*((Report!M62+Report!S62)/Report!AC62))</f>
        <v>1345.0435313884225</v>
      </c>
      <c r="D62" s="192"/>
      <c r="E62" s="854">
        <f>IF(Report!AC62=0,0,Report!AE62*(Report!G62/Report!AC62))</f>
        <v>592288.49091186817</v>
      </c>
      <c r="F62" s="192"/>
      <c r="G62" s="854">
        <f>IF(Report!AC62=0,0,Report!AE62*(Report!AA62/Report!AC62))</f>
        <v>-9785.3215213074727</v>
      </c>
      <c r="H62" s="192"/>
      <c r="I62" s="854">
        <f>G62+E62+C62</f>
        <v>583848.2129219491</v>
      </c>
      <c r="J62" s="191"/>
      <c r="K62" s="854">
        <f>I62-Report!AE62</f>
        <v>0</v>
      </c>
      <c r="L62" s="192"/>
      <c r="M62" s="191"/>
      <c r="N62" s="192"/>
      <c r="O62" s="192"/>
      <c r="Q62" s="192"/>
      <c r="R62" s="188" t="e">
        <f>#REF!+E62+#REF!+M62+G62+#REF!+#REF!+#REF!</f>
        <v>#REF!</v>
      </c>
      <c r="S62" s="258"/>
    </row>
    <row r="63" spans="1:23" x14ac:dyDescent="0.2">
      <c r="A63" s="181" t="s">
        <v>44</v>
      </c>
      <c r="B63" s="192"/>
      <c r="C63" s="854">
        <f>IF(Report!AC63=0,0,Report!AE63*((Report!M63+Report!S63)/Report!AC63))</f>
        <v>-7361.3868947609608</v>
      </c>
      <c r="D63" s="192"/>
      <c r="E63" s="854">
        <f>IF(Report!AC63=0,0,Report!AE63*(Report!G63/Report!AC63))</f>
        <v>492188.55964563933</v>
      </c>
      <c r="F63" s="192"/>
      <c r="G63" s="854">
        <f>IF(Report!AC63=0,0,Report!AE63*(Report!AA63/Report!AC63))</f>
        <v>110044.29509699102</v>
      </c>
      <c r="H63" s="192"/>
      <c r="I63" s="854">
        <f>G63+E63+C63</f>
        <v>594871.46784786938</v>
      </c>
      <c r="J63" s="191"/>
      <c r="K63" s="854">
        <f>I63-Report!AE63</f>
        <v>0</v>
      </c>
      <c r="L63" s="192"/>
      <c r="M63" s="191"/>
      <c r="N63" s="192"/>
      <c r="O63" s="192"/>
      <c r="Q63" s="192"/>
      <c r="R63" s="188" t="e">
        <f>#REF!+E63+#REF!+M63+G63+#REF!+#REF!+#REF!</f>
        <v>#REF!</v>
      </c>
      <c r="S63" s="258"/>
    </row>
    <row r="64" spans="1:23" ht="9.75" customHeight="1" x14ac:dyDescent="0.2">
      <c r="A64" s="181"/>
      <c r="B64" s="192"/>
      <c r="C64" s="455"/>
      <c r="D64" s="192"/>
      <c r="E64" s="455"/>
      <c r="F64" s="192"/>
      <c r="G64" s="455"/>
      <c r="H64" s="192"/>
      <c r="I64" s="455"/>
      <c r="J64" s="191"/>
      <c r="K64" s="455"/>
      <c r="L64" s="192"/>
      <c r="M64" s="191"/>
      <c r="N64" s="192"/>
      <c r="O64" s="192"/>
      <c r="Q64" s="192"/>
      <c r="R64" s="191"/>
      <c r="S64" s="258"/>
    </row>
    <row r="65" spans="1:26" x14ac:dyDescent="0.2">
      <c r="A65" s="181" t="s">
        <v>45</v>
      </c>
      <c r="B65" s="192"/>
      <c r="C65" s="854">
        <f>IF(Report!AC65=0,0,Report!AE65*((Report!M65+Report!S65)/Report!AC65))</f>
        <v>-3478787.6174658122</v>
      </c>
      <c r="D65" s="192"/>
      <c r="E65" s="854">
        <f>IF(Report!AC65=0,0,Report!AE65*(Report!G65/Report!AC65))</f>
        <v>128289664.03138262</v>
      </c>
      <c r="F65" s="192"/>
      <c r="G65" s="854">
        <f>IF(Report!AC65=0,0,Report!AE65*(Report!AA65/Report!AC65))</f>
        <v>37225860.437545955</v>
      </c>
      <c r="H65" s="192"/>
      <c r="I65" s="854">
        <f>G65+E65+C65</f>
        <v>162036736.85146275</v>
      </c>
      <c r="J65" s="191"/>
      <c r="K65" s="854">
        <f>I65-Report!AE65</f>
        <v>0</v>
      </c>
      <c r="L65" s="192"/>
      <c r="M65" s="191"/>
      <c r="N65" s="192"/>
      <c r="O65" s="192"/>
      <c r="Q65" s="192"/>
      <c r="R65" s="188" t="e">
        <f>#REF!+E65+#REF!+M65+G65+#REF!+#REF!+#REF!</f>
        <v>#REF!</v>
      </c>
      <c r="S65" s="258"/>
    </row>
    <row r="66" spans="1:26" x14ac:dyDescent="0.2">
      <c r="A66" s="181" t="s">
        <v>46</v>
      </c>
      <c r="B66" s="333"/>
      <c r="C66" s="854">
        <f>IF(Report!AC66=0,0,Report!AE66*((Report!M66+Report!S66)/Report!AC66))</f>
        <v>0</v>
      </c>
      <c r="D66" s="333"/>
      <c r="E66" s="854">
        <f>IF(Report!AC66=0,0,Report!AE66*(Report!G66/Report!AC66))</f>
        <v>-593557.86586225871</v>
      </c>
      <c r="F66" s="333"/>
      <c r="G66" s="854">
        <f>IF(Report!AC66=0,0,Report!AE66*(Report!AA66/Report!AC66))</f>
        <v>0</v>
      </c>
      <c r="H66" s="333"/>
      <c r="I66" s="854">
        <f>G66+E66+C66</f>
        <v>-593557.86586225871</v>
      </c>
      <c r="J66" s="192"/>
      <c r="K66" s="854">
        <f>I66-Report!AE66</f>
        <v>0</v>
      </c>
      <c r="L66" s="192"/>
      <c r="M66" s="191"/>
      <c r="N66" s="192"/>
      <c r="O66" s="192" t="e">
        <f>#REF!+#REF!-#REF!</f>
        <v>#REF!</v>
      </c>
      <c r="Q66" s="192" t="e">
        <f>R35+R53-R66</f>
        <v>#REF!</v>
      </c>
      <c r="R66" s="188" t="e">
        <f>#REF!+E66+#REF!+M66+G66+#REF!+#REF!+#REF!</f>
        <v>#REF!</v>
      </c>
      <c r="S66" s="258"/>
      <c r="U66" s="853" t="e">
        <f>+#REF!/#REF!</f>
        <v>#REF!</v>
      </c>
    </row>
    <row r="67" spans="1:26" x14ac:dyDescent="0.2">
      <c r="A67" s="181" t="s">
        <v>47</v>
      </c>
      <c r="B67" s="192"/>
      <c r="C67" s="854">
        <f>IF(Report!AC67=0,0,Report!AE67*((Report!M67+Report!S67)/Report!AC67))</f>
        <v>1593421.4694170146</v>
      </c>
      <c r="D67" s="192"/>
      <c r="E67" s="854">
        <f>IF(Report!AC67=0,0,Report!AE67*(Report!G67/Report!AC67))</f>
        <v>46269949.796166264</v>
      </c>
      <c r="F67" s="192"/>
      <c r="G67" s="854">
        <f>IF(Report!AC67=0,0,Report!AE67*(Report!AA67/Report!AC67))</f>
        <v>-35790720.17504698</v>
      </c>
      <c r="H67" s="192"/>
      <c r="I67" s="854">
        <f>G67+E67+C67</f>
        <v>12072651.090536298</v>
      </c>
      <c r="J67" s="192"/>
      <c r="K67" s="854">
        <f>I67-Report!AE67</f>
        <v>0</v>
      </c>
      <c r="L67" s="192"/>
      <c r="M67" s="191"/>
      <c r="N67" s="192"/>
      <c r="O67" s="192"/>
      <c r="Q67" s="192"/>
      <c r="R67" s="188" t="e">
        <f>#REF!+E67+#REF!+M67+G67+#REF!+#REF!+#REF!</f>
        <v>#REF!</v>
      </c>
      <c r="S67" s="258"/>
      <c r="Z67" s="1">
        <f>60000-41867.65</f>
        <v>18132.349999999999</v>
      </c>
    </row>
    <row r="68" spans="1:26" x14ac:dyDescent="0.2">
      <c r="A68" s="170" t="s">
        <v>359</v>
      </c>
      <c r="B68" s="192"/>
      <c r="C68" s="854">
        <f>IF(Report!AC68=0,0,Report!AE68*((Report!M68+Report!S68)/Report!AC68))</f>
        <v>-1766834.91566049</v>
      </c>
      <c r="D68" s="192"/>
      <c r="E68" s="854">
        <f>IF(Report!AC68=0,0,Report!AE68*(Report!G68/Report!AC68))</f>
        <v>176185989.17957911</v>
      </c>
      <c r="F68"/>
      <c r="G68" s="854">
        <f>IF(Report!AC68=0,0,Report!AE68*(Report!AA68/Report!AC68))</f>
        <v>-903324.06033392891</v>
      </c>
      <c r="H68"/>
      <c r="I68" s="854">
        <f>G68+E68+C68</f>
        <v>173515830.20358467</v>
      </c>
      <c r="J68" s="192"/>
      <c r="K68" s="854">
        <f>I68-Report!AE68</f>
        <v>0</v>
      </c>
      <c r="L68" s="192"/>
      <c r="M68" s="191"/>
      <c r="N68" s="192"/>
      <c r="O68" s="192" t="e">
        <f>#REF!-SUM(#REF!)+(PriceAlberta!P67/1000)*0</f>
        <v>#REF!</v>
      </c>
      <c r="Q68" s="192" t="e">
        <f>R68-SUM(R65:R67)+(PriceAlberta!R67/1000)*0</f>
        <v>#REF!</v>
      </c>
      <c r="R68" s="188" t="e">
        <f>#REF!+E68+#REF!+M68+G68+#REF!+#REF!+#REF!</f>
        <v>#REF!</v>
      </c>
      <c r="S68" s="258"/>
    </row>
    <row r="69" spans="1:26" ht="9" customHeight="1" x14ac:dyDescent="0.2">
      <c r="B69" s="192"/>
      <c r="C69" s="455"/>
      <c r="D69" s="192"/>
      <c r="E69" s="455"/>
      <c r="F69" s="192"/>
      <c r="G69" s="455"/>
      <c r="H69" s="192"/>
      <c r="I69" s="455"/>
      <c r="J69" s="192"/>
      <c r="K69" s="455"/>
      <c r="L69" s="192"/>
      <c r="N69" s="192"/>
      <c r="O69" s="192"/>
      <c r="Q69" s="192"/>
      <c r="S69" s="258"/>
    </row>
    <row r="70" spans="1:26" ht="13.5" x14ac:dyDescent="0.25">
      <c r="A70" s="193" t="s">
        <v>445</v>
      </c>
      <c r="C70" s="455"/>
      <c r="E70" s="455"/>
      <c r="G70" s="455"/>
      <c r="I70" s="455"/>
      <c r="J70" s="42"/>
      <c r="K70" s="455"/>
      <c r="S70" s="258"/>
      <c r="X70" s="6"/>
    </row>
    <row r="71" spans="1:26" x14ac:dyDescent="0.2">
      <c r="A71" s="170" t="s">
        <v>359</v>
      </c>
      <c r="B71" s="192"/>
      <c r="C71" s="854">
        <f>IF(Report!AC71=0,0,Report!AE71*((Report!M71+Report!S71)/Report!AC71))</f>
        <v>0</v>
      </c>
      <c r="D71" s="192"/>
      <c r="E71" s="854">
        <f>IF(Report!AC71=0,0,Report!AE71*(Report!G71/Report!AC71))</f>
        <v>168857048.81831154</v>
      </c>
      <c r="F71" s="192"/>
      <c r="G71" s="854">
        <f>IF(Report!AC71=0,0,Report!AE71*(Report!AA71/Report!AC71))</f>
        <v>15888.181688446834</v>
      </c>
      <c r="H71" s="192"/>
      <c r="I71" s="854">
        <f>G71+E71+C71</f>
        <v>168872937</v>
      </c>
      <c r="J71" s="192"/>
      <c r="K71" s="854">
        <f>I71-Report!AE71</f>
        <v>0</v>
      </c>
      <c r="L71" s="192"/>
      <c r="M71" s="191"/>
      <c r="N71" s="192"/>
      <c r="O71" s="192"/>
      <c r="Q71" s="192"/>
      <c r="R71" s="188" t="e">
        <f>#REF!+E71+#REF!+M71+G71+#REF!+#REF!+#REF!</f>
        <v>#REF!</v>
      </c>
      <c r="S71" s="258"/>
    </row>
    <row r="72" spans="1:26" ht="12" customHeight="1" x14ac:dyDescent="0.2">
      <c r="B72" s="333"/>
      <c r="C72" s="455"/>
      <c r="D72" s="192"/>
      <c r="E72" s="455"/>
      <c r="F72"/>
      <c r="G72" s="455"/>
      <c r="H72"/>
      <c r="I72" s="455"/>
      <c r="J72" s="192"/>
      <c r="K72" s="455"/>
      <c r="L72" s="192"/>
      <c r="M72" s="471"/>
      <c r="N72" s="192"/>
      <c r="O72" s="192" t="e">
        <f>SUM(#REF!)-#REF!+#REF!</f>
        <v>#REF!</v>
      </c>
      <c r="Q72" s="192" t="e">
        <f>SUM(R74:R76)-R68+R71</f>
        <v>#REF!</v>
      </c>
      <c r="R72" s="184"/>
      <c r="S72" s="258"/>
    </row>
    <row r="73" spans="1:26" ht="13.5" x14ac:dyDescent="0.25">
      <c r="A73" s="194">
        <f ca="1">A4</f>
        <v>36847</v>
      </c>
      <c r="C73" s="455"/>
      <c r="E73" s="455"/>
      <c r="G73" s="455"/>
      <c r="I73" s="455"/>
      <c r="K73" s="455"/>
      <c r="S73" s="258"/>
    </row>
    <row r="74" spans="1:26" x14ac:dyDescent="0.2">
      <c r="A74" s="181" t="s">
        <v>20</v>
      </c>
      <c r="B74" s="192"/>
      <c r="C74" s="854">
        <f>IF(Report!AC74=0,0,Report!AE74*((Report!M74+Report!S74)/Report!AC74))</f>
        <v>-8618055.4135830663</v>
      </c>
      <c r="D74" s="192"/>
      <c r="E74" s="854">
        <f>IF(Report!AC74=0,0,Report!AE74*(Report!G74/Report!AC74))</f>
        <v>-71948730.909464628</v>
      </c>
      <c r="F74" s="192"/>
      <c r="G74" s="854">
        <f>IF(Report!AC74=0,0,Report!AE74*(Report!AA74/Report!AC74))</f>
        <v>67880383.174510449</v>
      </c>
      <c r="H74" s="192"/>
      <c r="I74" s="854">
        <f>G74+E74+C74</f>
        <v>-12686403.148537245</v>
      </c>
      <c r="J74" s="191"/>
      <c r="K74" s="854">
        <f>I74-Report!AE74</f>
        <v>0</v>
      </c>
      <c r="L74" s="192"/>
      <c r="M74" s="191"/>
      <c r="N74" s="192"/>
      <c r="O74" s="192"/>
      <c r="Q74" s="192"/>
      <c r="R74" s="188" t="e">
        <f>#REF!+E74+#REF!+M74+G74+#REF!+#REF!+#REF!</f>
        <v>#REF!</v>
      </c>
      <c r="S74" s="258"/>
    </row>
    <row r="75" spans="1:26" x14ac:dyDescent="0.2">
      <c r="A75" s="181" t="s">
        <v>48</v>
      </c>
      <c r="B75" s="192"/>
      <c r="C75" s="854">
        <f>IF(Report!AC75=0,0,Report!AE75*((Report!M75+Report!S75)/Report!AC75))</f>
        <v>0</v>
      </c>
      <c r="D75" s="192"/>
      <c r="E75" s="854">
        <f>IF(Report!AC75=0,0,Report!AE75*(Report!G75/Report!AC75))</f>
        <v>6472964.1341377413</v>
      </c>
      <c r="F75" s="192"/>
      <c r="G75" s="854">
        <f>IF(Report!AC75=0,0,Report!AE75*(Report!AA75/Report!AC75))</f>
        <v>0</v>
      </c>
      <c r="H75" s="192"/>
      <c r="I75" s="854">
        <f>G75+E75+C75</f>
        <v>6472964.1341377413</v>
      </c>
      <c r="J75" s="191"/>
      <c r="K75" s="854">
        <f>I75-Report!AE75</f>
        <v>0</v>
      </c>
      <c r="L75" s="192"/>
      <c r="M75" s="191"/>
      <c r="N75" s="192"/>
      <c r="O75" s="192"/>
      <c r="Q75" s="192"/>
      <c r="R75" s="188" t="e">
        <f>#REF!+E75+#REF!+M75+G75+#REF!+#REF!+#REF!</f>
        <v>#REF!</v>
      </c>
      <c r="S75" s="258"/>
    </row>
    <row r="76" spans="1:26" x14ac:dyDescent="0.2">
      <c r="A76" s="181" t="s">
        <v>47</v>
      </c>
      <c r="B76" s="192"/>
      <c r="C76" s="854">
        <f>IF(Report!AC76=0,0,Report!AE76*((Report!M76+Report!S76)/Report!AC76))</f>
        <v>1881957.1618992591</v>
      </c>
      <c r="D76" s="192"/>
      <c r="E76" s="854">
        <f>IF(Report!AC76=0,0,Report!AE76*(Report!G76/Report!AC76))</f>
        <v>40372738.631995492</v>
      </c>
      <c r="F76" s="192"/>
      <c r="G76" s="854">
        <f>IF(Report!AC76=0,0,Report!AE76*(Report!AA76/Report!AC76))</f>
        <v>-31398364.70335846</v>
      </c>
      <c r="H76" s="192"/>
      <c r="I76" s="854">
        <f>G76+E76+C76</f>
        <v>10856331.090536291</v>
      </c>
      <c r="J76" s="191"/>
      <c r="K76" s="854">
        <f>I76-Report!AE76</f>
        <v>0</v>
      </c>
      <c r="L76" s="192"/>
      <c r="M76" s="191"/>
      <c r="N76" s="192"/>
      <c r="O76" s="192"/>
      <c r="Q76" s="192"/>
      <c r="R76" s="188" t="e">
        <f>#REF!+E76+#REF!+M76+G76+#REF!+#REF!+#REF!</f>
        <v>#REF!</v>
      </c>
      <c r="S76" s="258"/>
    </row>
    <row r="77" spans="1:26" x14ac:dyDescent="0.2">
      <c r="A77" s="269" t="s">
        <v>360</v>
      </c>
      <c r="B77" s="270"/>
      <c r="C77" s="854">
        <f>IF(Report!AC77=0,0,Report!AE77*((Report!M77+Report!S77)/Report!AC77))</f>
        <v>-784017.23519463744</v>
      </c>
      <c r="D77" s="270"/>
      <c r="E77" s="854">
        <f>IF(Report!AC77=0,0,Report!AE77*(Report!G77/Report!AC77))</f>
        <v>5834558.5600675922</v>
      </c>
      <c r="F77" s="270"/>
      <c r="G77" s="854">
        <f>IF(Report!AC77=0,0,Report!AE77*(Report!AA77/Report!AC77))</f>
        <v>-407649.24873616954</v>
      </c>
      <c r="H77" s="270"/>
      <c r="I77" s="854">
        <f>G77+E77+C77</f>
        <v>4642892.0761367856</v>
      </c>
      <c r="J77" s="315"/>
      <c r="K77" s="854">
        <f>I77-Report!AE77</f>
        <v>0</v>
      </c>
      <c r="L77" s="270"/>
      <c r="M77" s="315"/>
      <c r="N77" s="270"/>
      <c r="O77" s="270"/>
      <c r="Q77" s="270"/>
      <c r="R77" s="271" t="e">
        <f>#REF!+E77+#REF!+M77+G77+#REF!+#REF!+#REF!</f>
        <v>#REF!</v>
      </c>
      <c r="S77" s="258"/>
      <c r="T77" s="9"/>
      <c r="V77" s="9"/>
      <c r="W77" s="9"/>
    </row>
    <row r="78" spans="1:26" hidden="1" x14ac:dyDescent="0.2">
      <c r="A78" s="269" t="s">
        <v>49</v>
      </c>
      <c r="B78" s="270"/>
      <c r="C78" s="454"/>
      <c r="D78" s="270"/>
      <c r="E78" s="454"/>
      <c r="F78" s="397"/>
      <c r="G78" s="454"/>
      <c r="H78" s="397"/>
      <c r="I78" s="454">
        <f>(I77/SpotRates!J1)*0</f>
        <v>0</v>
      </c>
      <c r="J78" s="315"/>
      <c r="K78" s="454"/>
      <c r="L78" s="270"/>
      <c r="M78" s="315"/>
      <c r="N78" s="270"/>
      <c r="O78" s="270"/>
      <c r="Q78" s="270"/>
      <c r="R78" s="316"/>
      <c r="S78" s="258"/>
      <c r="T78" s="9"/>
      <c r="V78" s="9"/>
      <c r="W78" s="9"/>
    </row>
    <row r="79" spans="1:26" hidden="1" x14ac:dyDescent="0.2">
      <c r="A79" s="269" t="s">
        <v>40</v>
      </c>
      <c r="B79" s="270"/>
      <c r="C79" s="454"/>
      <c r="D79" s="270"/>
      <c r="E79" s="454"/>
      <c r="F79" s="397"/>
      <c r="G79" s="454"/>
      <c r="H79" s="397"/>
      <c r="I79" s="454">
        <f>(I80-I78)*0</f>
        <v>0</v>
      </c>
      <c r="J79" s="315"/>
      <c r="K79" s="454"/>
      <c r="L79" s="270"/>
      <c r="M79" s="315"/>
      <c r="N79" s="270"/>
      <c r="O79" s="270"/>
      <c r="Q79" s="270"/>
      <c r="R79" s="316"/>
      <c r="S79" s="258"/>
      <c r="T79" s="9"/>
      <c r="V79" s="9"/>
      <c r="W79" s="9"/>
    </row>
    <row r="80" spans="1:26" x14ac:dyDescent="0.2">
      <c r="A80" s="269" t="s">
        <v>361</v>
      </c>
      <c r="B80" s="270"/>
      <c r="C80" s="454"/>
      <c r="D80" s="270"/>
      <c r="E80" s="454"/>
      <c r="F80" s="397"/>
      <c r="G80" s="454"/>
      <c r="H80" s="397"/>
      <c r="I80" s="454">
        <f>I77/SpotRates!D36</f>
        <v>2979077.3667865163</v>
      </c>
      <c r="J80" s="315"/>
      <c r="K80" s="454"/>
      <c r="L80" s="270"/>
      <c r="M80" s="315"/>
      <c r="N80" s="270"/>
      <c r="O80" s="270"/>
      <c r="Q80" s="270"/>
      <c r="R80" s="316"/>
      <c r="S80" s="258"/>
      <c r="T80" s="9"/>
      <c r="V80" s="9"/>
      <c r="W80" s="9"/>
    </row>
    <row r="81" spans="1:23" ht="12.75" customHeight="1" x14ac:dyDescent="0.2">
      <c r="A81" s="178"/>
      <c r="B81" s="192"/>
      <c r="C81" s="455"/>
      <c r="D81" s="192"/>
      <c r="E81" s="455"/>
      <c r="F81" s="192"/>
      <c r="G81" s="455"/>
      <c r="H81" s="192"/>
      <c r="I81" s="455"/>
      <c r="K81" s="455"/>
      <c r="L81" s="192"/>
      <c r="N81" s="192"/>
      <c r="O81" s="192"/>
      <c r="Q81" s="192"/>
      <c r="S81" s="258"/>
      <c r="T81" s="9"/>
      <c r="V81" s="9"/>
      <c r="W81" s="169"/>
    </row>
    <row r="82" spans="1:23" ht="13.5" x14ac:dyDescent="0.25">
      <c r="A82" s="195" t="s">
        <v>50</v>
      </c>
      <c r="C82" s="455"/>
      <c r="E82" s="455"/>
      <c r="G82" s="455"/>
      <c r="I82" s="455"/>
      <c r="K82" s="455"/>
      <c r="S82" s="258"/>
      <c r="T82" s="9"/>
      <c r="V82" s="9"/>
      <c r="W82" s="9"/>
    </row>
    <row r="83" spans="1:23" x14ac:dyDescent="0.2">
      <c r="A83" s="181" t="s">
        <v>51</v>
      </c>
      <c r="C83" s="854">
        <f>IF(Report!AC83=0,0,Report!AE83*((Report!M83+Report!S83)/Report!AC83))</f>
        <v>0</v>
      </c>
      <c r="E83" s="854">
        <f>IF(Report!AC83=0,0,Report!AE83*(Report!G83/Report!AC83))</f>
        <v>3417.5316001998144</v>
      </c>
      <c r="G83" s="854">
        <f>IF(Report!AC83=0,0,Report!AE83*(Report!AA83/Report!AC83))</f>
        <v>0</v>
      </c>
      <c r="I83" s="854">
        <f>G83+E83+C83</f>
        <v>3417.5316001998144</v>
      </c>
      <c r="J83" s="472"/>
      <c r="K83" s="854">
        <f>I83-Report!AE83</f>
        <v>0</v>
      </c>
      <c r="M83" s="472"/>
      <c r="R83" s="188" t="e">
        <f>#REF!+E83+#REF!+M83+G83+#REF!+#REF!+#REF!</f>
        <v>#REF!</v>
      </c>
      <c r="S83" s="258"/>
      <c r="T83" s="9"/>
      <c r="V83" s="9"/>
      <c r="W83" s="24"/>
    </row>
    <row r="84" spans="1:23" x14ac:dyDescent="0.2">
      <c r="A84" s="181" t="s">
        <v>25</v>
      </c>
      <c r="C84" s="455"/>
      <c r="E84" s="455"/>
      <c r="G84" s="455"/>
      <c r="I84" s="455"/>
      <c r="K84" s="455"/>
      <c r="R84" s="189"/>
      <c r="S84" s="258"/>
      <c r="T84" s="9"/>
      <c r="V84" s="9"/>
      <c r="W84" s="10"/>
    </row>
    <row r="85" spans="1:23" s="41" customFormat="1" x14ac:dyDescent="0.2">
      <c r="A85" s="178" t="s">
        <v>26</v>
      </c>
      <c r="B85" s="48"/>
      <c r="C85" s="855">
        <f>IF(Report!AC85=0,0,Report!AE85*((Report!M85+Report!S85)/Report!AC85))</f>
        <v>842357.5723760589</v>
      </c>
      <c r="D85" s="48"/>
      <c r="E85" s="855">
        <f>IF(Report!AC85=0,0,Report!AE85*(Report!G85/Report!AC85))</f>
        <v>595784.50523238722</v>
      </c>
      <c r="F85" s="48"/>
      <c r="G85" s="855">
        <f>IF(Report!AC85=0,0,Report!AE85*(Report!AA85/Report!AC85))</f>
        <v>823569.29185430554</v>
      </c>
      <c r="H85" s="48"/>
      <c r="I85" s="855">
        <f t="shared" ref="I85:I98" si="1">G85+E85+C85</f>
        <v>2261711.3694627518</v>
      </c>
      <c r="J85" s="408"/>
      <c r="K85" s="855">
        <f>I85-Report!AE85</f>
        <v>0</v>
      </c>
      <c r="L85" s="48"/>
      <c r="M85" s="408"/>
      <c r="N85" s="48"/>
      <c r="O85" s="48"/>
      <c r="Q85" s="48"/>
      <c r="R85" s="404"/>
      <c r="S85" s="405"/>
      <c r="T85" s="408"/>
      <c r="U85" s="406"/>
      <c r="V85" s="408"/>
      <c r="W85" s="409"/>
    </row>
    <row r="86" spans="1:23" x14ac:dyDescent="0.2">
      <c r="A86" s="181" t="s">
        <v>27</v>
      </c>
      <c r="C86" s="855">
        <f>IF(Report!AC86=0,0,Report!AE86*((Report!M86+Report!S86)/Report!AC86))</f>
        <v>-529409.02402563742</v>
      </c>
      <c r="E86" s="855">
        <f>IF(Report!AC86=0,0,Report!AE86*(Report!G86/Report!AC86))</f>
        <v>672499.14547425508</v>
      </c>
      <c r="G86" s="855">
        <f>IF(Report!AC86=0,0,Report!AE86*(Report!AA86/Report!AC86))</f>
        <v>-1090103.3188409053</v>
      </c>
      <c r="I86" s="855">
        <f t="shared" si="1"/>
        <v>-947013.19739228766</v>
      </c>
      <c r="J86" s="8"/>
      <c r="K86" s="855">
        <f>I86-Report!AE86</f>
        <v>0</v>
      </c>
      <c r="M86" s="8"/>
      <c r="R86" s="191" t="e">
        <f>#REF!+E86+#REF!+M86+G86+#REF!+#REF!+#REF!</f>
        <v>#REF!</v>
      </c>
      <c r="S86" s="258"/>
      <c r="T86" s="9"/>
      <c r="V86" s="9"/>
      <c r="W86" s="10"/>
    </row>
    <row r="87" spans="1:23" x14ac:dyDescent="0.2">
      <c r="A87" s="181" t="s">
        <v>28</v>
      </c>
      <c r="C87" s="855">
        <f>IF(Report!AC87=0,0,Report!AE87*((Report!M87+Report!S87)/Report!AC87))</f>
        <v>-1113889.1267769057</v>
      </c>
      <c r="E87" s="855">
        <f>IF(Report!AC87=0,0,Report!AE87*(Report!G87/Report!AC87))</f>
        <v>-2099505.8356944793</v>
      </c>
      <c r="G87" s="855">
        <f>IF(Report!AC87=0,0,Report!AE87*(Report!AA87/Report!AC87))</f>
        <v>2141167.9345992417</v>
      </c>
      <c r="I87" s="855">
        <f t="shared" si="1"/>
        <v>-1072227.0278721433</v>
      </c>
      <c r="J87" s="8"/>
      <c r="K87" s="855">
        <f>I87-Report!AE87</f>
        <v>0</v>
      </c>
      <c r="M87" s="8"/>
      <c r="R87" s="191" t="e">
        <f>#REF!+E87+#REF!+M87+G87+#REF!+#REF!+#REF!</f>
        <v>#REF!</v>
      </c>
      <c r="S87" s="258"/>
      <c r="T87" s="9"/>
      <c r="V87" s="9"/>
      <c r="W87" s="10"/>
    </row>
    <row r="88" spans="1:23" x14ac:dyDescent="0.2">
      <c r="A88" s="181" t="s">
        <v>29</v>
      </c>
      <c r="C88" s="855">
        <f>IF(Report!AC88=0,0,Report!AE88*((Report!M88+Report!S88)/Report!AC88))</f>
        <v>0</v>
      </c>
      <c r="E88" s="855">
        <f>IF(Report!AC88=0,0,Report!AE88*(Report!G88/Report!AC88))</f>
        <v>0</v>
      </c>
      <c r="G88" s="855">
        <f>IF(Report!AC88=0,0,Report!AE88*(Report!AA88/Report!AC88))</f>
        <v>0</v>
      </c>
      <c r="I88" s="855">
        <f t="shared" si="1"/>
        <v>0</v>
      </c>
      <c r="J88" s="8"/>
      <c r="K88" s="855">
        <f>I88-Report!AE88</f>
        <v>-23.165317799615877</v>
      </c>
      <c r="M88" s="8"/>
      <c r="R88" s="191" t="e">
        <f>#REF!+E88+#REF!+M88+G88+#REF!+#REF!+#REF!</f>
        <v>#REF!</v>
      </c>
      <c r="S88" s="258"/>
      <c r="T88" s="9"/>
      <c r="V88" s="9"/>
      <c r="W88" s="10"/>
    </row>
    <row r="89" spans="1:23" x14ac:dyDescent="0.2">
      <c r="A89" s="181" t="s">
        <v>30</v>
      </c>
      <c r="C89" s="855">
        <f>IF(Report!AC89=0,0,Report!AE89*((Report!M89+Report!S89)/Report!AC89))</f>
        <v>-18356.605189549959</v>
      </c>
      <c r="E89" s="855">
        <f>IF(Report!AC89=0,0,Report!AE89*(Report!G89/Report!AC89))</f>
        <v>8441.2595312762387</v>
      </c>
      <c r="G89" s="855">
        <f>IF(Report!AC89=0,0,Report!AE89*(Report!AA89/Report!AC89))</f>
        <v>-883296.83537913556</v>
      </c>
      <c r="I89" s="855">
        <f t="shared" si="1"/>
        <v>-893212.18103740935</v>
      </c>
      <c r="J89" s="8"/>
      <c r="K89" s="855">
        <f>I89-Report!AE89</f>
        <v>0</v>
      </c>
      <c r="M89" s="8"/>
      <c r="R89" s="191"/>
      <c r="S89" s="258"/>
      <c r="T89" s="9"/>
      <c r="V89" s="9"/>
      <c r="W89" s="10"/>
    </row>
    <row r="90" spans="1:23" x14ac:dyDescent="0.2">
      <c r="A90" s="181" t="s">
        <v>31</v>
      </c>
      <c r="C90" s="855">
        <f>IF(Report!AC90=0,0,Report!AE90*((Report!M90+Report!S90)/Report!AC90))</f>
        <v>12522.543659504665</v>
      </c>
      <c r="E90" s="855">
        <f>IF(Report!AC90=0,0,Report!AE90*(Report!G90/Report!AC90))</f>
        <v>7770.6709543576198</v>
      </c>
      <c r="G90" s="855">
        <f>IF(Report!AC90=0,0,Report!AE90*(Report!AA90/Report!AC90))</f>
        <v>-117040.16392844118</v>
      </c>
      <c r="I90" s="855">
        <f t="shared" si="1"/>
        <v>-96746.949314578902</v>
      </c>
      <c r="J90" s="8"/>
      <c r="K90" s="855">
        <f>I90-Report!AE90</f>
        <v>0</v>
      </c>
      <c r="M90" s="8"/>
      <c r="R90" s="191" t="e">
        <f>#REF!+E90+#REF!+M90+G90+#REF!+#REF!+#REF!</f>
        <v>#REF!</v>
      </c>
      <c r="S90" s="258"/>
      <c r="T90" s="9"/>
      <c r="V90" s="9"/>
      <c r="W90" s="10"/>
    </row>
    <row r="91" spans="1:23" x14ac:dyDescent="0.2">
      <c r="A91" s="181" t="s">
        <v>32</v>
      </c>
      <c r="C91" s="855">
        <f>IF(Report!AC91=0,0,Report!AE91*((Report!M91+Report!S91)/Report!AC91))</f>
        <v>0</v>
      </c>
      <c r="E91" s="855">
        <f>IF(Report!AC91=0,0,Report!AE91*(Report!G91/Report!AC91))</f>
        <v>-5644.6859627988979</v>
      </c>
      <c r="G91" s="855">
        <f>IF(Report!AC91=0,0,Report!AE91*(Report!AA91/Report!AC91))</f>
        <v>370484.06520964007</v>
      </c>
      <c r="I91" s="855">
        <f t="shared" si="1"/>
        <v>364839.37924684118</v>
      </c>
      <c r="J91" s="8"/>
      <c r="K91" s="855">
        <f>I91-Report!AE91</f>
        <v>0</v>
      </c>
      <c r="M91" s="8"/>
      <c r="R91" s="191" t="e">
        <f>#REF!+E91+#REF!+M91+G91+#REF!+#REF!+#REF!</f>
        <v>#REF!</v>
      </c>
      <c r="S91" s="258"/>
      <c r="T91" s="9"/>
      <c r="V91" s="9"/>
      <c r="W91" s="10"/>
    </row>
    <row r="92" spans="1:23" x14ac:dyDescent="0.2">
      <c r="A92" s="181" t="s">
        <v>33</v>
      </c>
      <c r="C92" s="855">
        <f>IF(Report!AC92=0,0,Report!AE92*((Report!M92+Report!S92)/Report!AC92))</f>
        <v>0</v>
      </c>
      <c r="E92" s="855">
        <f>IF(Report!AC92=0,0,Report!AE92*(Report!G92/Report!AC92))</f>
        <v>624.76285588850499</v>
      </c>
      <c r="G92" s="855">
        <f>IF(Report!AC92=0,0,Report!AE92*(Report!AA92/Report!AC92))</f>
        <v>44017.850009994538</v>
      </c>
      <c r="I92" s="855">
        <f t="shared" si="1"/>
        <v>44642.612865883042</v>
      </c>
      <c r="J92" s="8"/>
      <c r="K92" s="855">
        <f>I92-Report!AE92</f>
        <v>0</v>
      </c>
      <c r="M92" s="8"/>
      <c r="R92" s="191" t="e">
        <f>#REF!+E92+#REF!+M92+G92+#REF!+#REF!+#REF!</f>
        <v>#REF!</v>
      </c>
      <c r="S92" s="258"/>
      <c r="T92" s="9"/>
      <c r="V92" s="9"/>
      <c r="W92" s="10"/>
    </row>
    <row r="93" spans="1:23" x14ac:dyDescent="0.2">
      <c r="A93" s="181" t="s">
        <v>34</v>
      </c>
      <c r="C93" s="855">
        <f>IF(Report!AC93=0,0,Report!AE93*((Report!M93+Report!S93)/Report!AC93))</f>
        <v>0</v>
      </c>
      <c r="E93" s="855">
        <f>IF(Report!AC93=0,0,Report!AE93*(Report!G93/Report!AC93))</f>
        <v>0</v>
      </c>
      <c r="G93" s="855">
        <f>IF(Report!AC93=0,0,Report!AE93*(Report!AA93/Report!AC93))</f>
        <v>0</v>
      </c>
      <c r="I93" s="855">
        <f t="shared" si="1"/>
        <v>0</v>
      </c>
      <c r="J93" s="8"/>
      <c r="K93" s="855">
        <f>I93-Report!AE93</f>
        <v>0</v>
      </c>
      <c r="M93" s="8"/>
      <c r="R93" s="191" t="e">
        <f>#REF!+E93+#REF!+M93+G93+#REF!+#REF!+#REF!</f>
        <v>#REF!</v>
      </c>
      <c r="S93" s="258"/>
      <c r="T93" s="9"/>
      <c r="V93" s="9"/>
      <c r="W93" s="10"/>
    </row>
    <row r="94" spans="1:23" x14ac:dyDescent="0.2">
      <c r="A94" s="181" t="s">
        <v>35</v>
      </c>
      <c r="C94" s="855">
        <f>IF(Report!AC94=0,0,Report!AE94*((Report!M94+Report!S94)/Report!AC94))</f>
        <v>0</v>
      </c>
      <c r="E94" s="855">
        <f>IF(Report!AC94=0,0,Report!AE94*(Report!G94/Report!AC94))</f>
        <v>-3217.2496722180367</v>
      </c>
      <c r="G94" s="855">
        <f>IF(Report!AC94=0,0,Report!AE94*(Report!AA94/Report!AC94))</f>
        <v>0</v>
      </c>
      <c r="I94" s="855">
        <f t="shared" si="1"/>
        <v>-3217.2496722180367</v>
      </c>
      <c r="J94" s="8"/>
      <c r="K94" s="855">
        <f>I94-Report!AE94</f>
        <v>0</v>
      </c>
      <c r="M94" s="8"/>
      <c r="R94" s="191" t="e">
        <f>#REF!+E94+#REF!+M94+G94+#REF!+#REF!+#REF!</f>
        <v>#REF!</v>
      </c>
      <c r="S94" s="258"/>
      <c r="T94" s="9"/>
      <c r="V94" s="9"/>
      <c r="W94" s="10"/>
    </row>
    <row r="95" spans="1:23" x14ac:dyDescent="0.2">
      <c r="A95" s="269" t="s">
        <v>36</v>
      </c>
      <c r="B95" s="270"/>
      <c r="C95" s="854">
        <f>IF(Report!AC95=0,0,Report!AE95*((Report!M95+Report!S95)/Report!AC95))</f>
        <v>-799886.16961147252</v>
      </c>
      <c r="D95" s="270"/>
      <c r="E95" s="854">
        <f>IF(Report!AC95=0,0,Report!AE95*(Report!G95/Report!AC95))</f>
        <v>-824879.00758315343</v>
      </c>
      <c r="F95" s="270"/>
      <c r="G95" s="854">
        <f>IF(Report!AC95=0,0,Report!AE95*(Report!AA95/Report!AC95))</f>
        <v>1283565.0987992645</v>
      </c>
      <c r="H95" s="270"/>
      <c r="I95" s="854">
        <f t="shared" si="1"/>
        <v>-341200.07839536143</v>
      </c>
      <c r="J95" s="315"/>
      <c r="K95" s="854">
        <f>I95-Report!AE95</f>
        <v>0</v>
      </c>
      <c r="L95" s="270"/>
      <c r="M95" s="315"/>
      <c r="N95" s="270"/>
      <c r="O95" s="270"/>
      <c r="Q95" s="270"/>
      <c r="R95" s="271" t="e">
        <f>SUM(R86:R94)</f>
        <v>#REF!</v>
      </c>
      <c r="S95" s="258"/>
      <c r="T95" s="9"/>
      <c r="V95" s="9"/>
      <c r="W95" s="10"/>
    </row>
    <row r="96" spans="1:23" x14ac:dyDescent="0.2">
      <c r="A96" s="338" t="s">
        <v>37</v>
      </c>
      <c r="B96" s="265"/>
      <c r="C96" s="854">
        <f>IF(Report!AC96=0,0,Report!AE96*((Report!M96+Report!S96)/Report!AC96))</f>
        <v>0</v>
      </c>
      <c r="D96" s="265"/>
      <c r="E96" s="854">
        <f>IF(Report!AC96=0,0,Report!AE96*(Report!G96/Report!AC96))</f>
        <v>0</v>
      </c>
      <c r="F96" s="265"/>
      <c r="G96" s="854">
        <f>IF(Report!AC96=0,0,Report!AE96*(Report!AA96/Report!AC96))</f>
        <v>0</v>
      </c>
      <c r="H96" s="265"/>
      <c r="I96" s="854">
        <f t="shared" si="1"/>
        <v>0</v>
      </c>
      <c r="J96" s="473"/>
      <c r="K96" s="854">
        <f>I96-Report!AE96</f>
        <v>0</v>
      </c>
      <c r="L96" s="265"/>
      <c r="M96" s="473"/>
      <c r="N96" s="265"/>
      <c r="O96" s="265"/>
      <c r="Q96" s="265"/>
      <c r="R96" s="188" t="e">
        <f>#REF!+E96+#REF!+M96+G96+#REF!+#REF!+#REF!</f>
        <v>#REF!</v>
      </c>
      <c r="S96" s="258"/>
    </row>
    <row r="97" spans="1:22" x14ac:dyDescent="0.2">
      <c r="A97" s="338" t="s">
        <v>38</v>
      </c>
      <c r="B97" s="265"/>
      <c r="C97" s="854">
        <f>IF(Report!AC97=0,0,Report!AE97*((Report!M97+Report!S97)/Report!AC97))</f>
        <v>22757.867228992171</v>
      </c>
      <c r="D97" s="265"/>
      <c r="E97" s="854">
        <f>IF(Report!AC97=0,0,Report!AE97*(Report!G97/Report!AC97))</f>
        <v>-12622.587822455223</v>
      </c>
      <c r="F97" s="265"/>
      <c r="G97" s="854">
        <f>IF(Report!AC97=0,0,Report!AE97*(Report!AA97/Report!AC97))</f>
        <v>-103369.47805857293</v>
      </c>
      <c r="H97" s="265"/>
      <c r="I97" s="854">
        <f t="shared" si="1"/>
        <v>-93234.198652035993</v>
      </c>
      <c r="J97" s="473"/>
      <c r="K97" s="854">
        <f>I97-Report!AE97</f>
        <v>0</v>
      </c>
      <c r="L97" s="265"/>
      <c r="M97" s="473"/>
      <c r="N97" s="265"/>
      <c r="O97" s="265"/>
      <c r="Q97" s="265"/>
      <c r="R97" s="188" t="e">
        <f>#REF!+E97+#REF!+M97+G97+#REF!+#REF!+#REF!</f>
        <v>#REF!</v>
      </c>
      <c r="S97" s="258"/>
    </row>
    <row r="98" spans="1:22" x14ac:dyDescent="0.2">
      <c r="A98" s="269" t="s">
        <v>52</v>
      </c>
      <c r="B98" s="334"/>
      <c r="C98" s="854">
        <f>IF(Report!AC98=0,0,Report!AE98*((Report!M98+Report!S98)/Report!AC98))</f>
        <v>-779783.56872810202</v>
      </c>
      <c r="D98" s="334"/>
      <c r="E98" s="854">
        <f>IF(Report!AC98=0,0,Report!AE98*(Report!G98/Report!AC98))</f>
        <v>-836247.50485458225</v>
      </c>
      <c r="F98" s="270"/>
      <c r="G98" s="854">
        <f>IF(Report!AC98=0,0,Report!AE98*(Report!AA98/Report!AC98))</f>
        <v>1185014.3281352108</v>
      </c>
      <c r="H98" s="270"/>
      <c r="I98" s="854">
        <f t="shared" si="1"/>
        <v>-431016.74544747348</v>
      </c>
      <c r="J98" s="315"/>
      <c r="K98" s="854">
        <f>I98-Report!AE98</f>
        <v>0</v>
      </c>
      <c r="L98" s="270"/>
      <c r="M98" s="315"/>
      <c r="N98" s="270">
        <f>SUM(G95:G97)+G83-G98</f>
        <v>-4818.7073945191223</v>
      </c>
      <c r="O98" s="270" t="e">
        <f>SUM(#REF!)+#REF!-#REF!</f>
        <v>#REF!</v>
      </c>
      <c r="Q98" s="270" t="e">
        <f>SUM(R95:R97)+R83-R98</f>
        <v>#REF!</v>
      </c>
      <c r="R98" s="271" t="e">
        <f>R83+R95+R96+R97</f>
        <v>#REF!</v>
      </c>
      <c r="S98" s="258"/>
      <c r="T98" s="6"/>
      <c r="U98" s="270"/>
    </row>
    <row r="99" spans="1:22" hidden="1" x14ac:dyDescent="0.2">
      <c r="A99" s="269" t="s">
        <v>53</v>
      </c>
      <c r="B99" s="270"/>
      <c r="C99" s="454"/>
      <c r="D99" s="270"/>
      <c r="E99" s="454"/>
      <c r="F99" s="397"/>
      <c r="G99" s="454"/>
      <c r="H99" s="397"/>
      <c r="I99" s="454" t="e">
        <f>I98/SpotRates!H36</f>
        <v>#DIV/0!</v>
      </c>
      <c r="J99" s="315"/>
      <c r="K99" s="454"/>
      <c r="L99" s="270"/>
      <c r="M99" s="315"/>
      <c r="N99" s="270"/>
      <c r="O99" s="270"/>
      <c r="Q99" s="270"/>
      <c r="R99" s="316"/>
      <c r="S99" s="258"/>
      <c r="T99" s="6"/>
    </row>
    <row r="100" spans="1:22" hidden="1" x14ac:dyDescent="0.2">
      <c r="A100" s="269" t="s">
        <v>40</v>
      </c>
      <c r="B100" s="270"/>
      <c r="C100" s="454"/>
      <c r="D100" s="270"/>
      <c r="E100" s="454"/>
      <c r="F100" s="397"/>
      <c r="G100" s="454"/>
      <c r="H100" s="397"/>
      <c r="I100" s="454" t="e">
        <f>I101-I99</f>
        <v>#REF!</v>
      </c>
      <c r="J100" s="315"/>
      <c r="K100" s="454"/>
      <c r="L100" s="270"/>
      <c r="M100" s="315"/>
      <c r="N100" s="270"/>
      <c r="O100" s="270"/>
      <c r="Q100" s="270"/>
      <c r="R100" s="316"/>
      <c r="S100" s="258"/>
      <c r="T100" s="6"/>
    </row>
    <row r="101" spans="1:22" hidden="1" x14ac:dyDescent="0.2">
      <c r="A101" s="269" t="s">
        <v>54</v>
      </c>
      <c r="B101" s="270"/>
      <c r="C101" s="454"/>
      <c r="D101" s="270"/>
      <c r="E101" s="454"/>
      <c r="F101" s="397"/>
      <c r="G101" s="454"/>
      <c r="H101" s="397"/>
      <c r="I101" s="454" t="e">
        <f>#REF!</f>
        <v>#REF!</v>
      </c>
      <c r="J101" s="315"/>
      <c r="K101" s="454"/>
      <c r="L101" s="270"/>
      <c r="M101" s="315"/>
      <c r="N101" s="270"/>
      <c r="O101" s="270"/>
      <c r="Q101" s="270"/>
      <c r="R101" s="316"/>
      <c r="S101" s="258"/>
      <c r="T101" s="6"/>
    </row>
    <row r="102" spans="1:22" x14ac:dyDescent="0.2">
      <c r="A102" s="269" t="s">
        <v>480</v>
      </c>
      <c r="C102" s="455"/>
      <c r="E102" s="455"/>
      <c r="G102" s="455"/>
      <c r="I102" s="455"/>
      <c r="K102" s="455"/>
    </row>
    <row r="103" spans="1:22" x14ac:dyDescent="0.2">
      <c r="A103" s="181" t="s">
        <v>56</v>
      </c>
      <c r="B103" s="192"/>
      <c r="C103" s="855">
        <f>IF(Report!AC103=0,0,Report!AE103*((Report!M103+Report!S103)/Report!AC103))</f>
        <v>-1037736.3762805375</v>
      </c>
      <c r="D103" s="192"/>
      <c r="E103" s="855">
        <f>IF(Report!AC103=0,0,Report!AE103*(Report!G103/Report!AC103))</f>
        <v>180974097.65734696</v>
      </c>
      <c r="F103" s="192"/>
      <c r="G103" s="855">
        <f>IF(Report!AC103=0,0,Report!AE103*(Report!AA103/Report!AC103))</f>
        <v>-2092039.1773903521</v>
      </c>
      <c r="H103" s="192"/>
      <c r="I103" s="855">
        <f>G103+E103+C103</f>
        <v>177844322.10367605</v>
      </c>
      <c r="J103" s="199"/>
      <c r="K103" s="855">
        <f>I103-Report!AE103</f>
        <v>0</v>
      </c>
      <c r="L103" s="192"/>
      <c r="M103" s="199"/>
      <c r="N103" s="192"/>
      <c r="O103" s="192">
        <v>0</v>
      </c>
      <c r="Q103" s="192">
        <v>3.2578736543655396E-2</v>
      </c>
      <c r="R103" s="196">
        <v>158315437.80704847</v>
      </c>
      <c r="S103" s="6"/>
      <c r="V103" s="1" t="s">
        <v>57</v>
      </c>
    </row>
    <row r="104" spans="1:22" x14ac:dyDescent="0.2">
      <c r="A104" s="181"/>
      <c r="C104" s="457"/>
      <c r="E104" s="457"/>
      <c r="G104" s="457"/>
      <c r="I104" s="457"/>
      <c r="J104" s="474"/>
      <c r="K104" s="457"/>
      <c r="M104" s="474"/>
      <c r="R104" s="11"/>
    </row>
    <row r="105" spans="1:22" x14ac:dyDescent="0.2">
      <c r="A105" s="181" t="s">
        <v>58</v>
      </c>
      <c r="C105" s="854">
        <f>IF(Report!AC105=0,0,Report!AE105*((Report!M105+Report!S105)/Report!AC105))</f>
        <v>0</v>
      </c>
      <c r="E105" s="854">
        <f>IF(Report!AC105=0,0,Report!AE105*(Report!G105/Report!AC105))</f>
        <v>387986.76384011051</v>
      </c>
      <c r="G105" s="854">
        <f>IF(Report!AC105=0,0,Report!AE105*(Report!AA105/Report!AC105))</f>
        <v>35670.395257719407</v>
      </c>
      <c r="I105" s="854">
        <f>G105+E105+C105</f>
        <v>423657.15909782989</v>
      </c>
      <c r="J105" s="199"/>
      <c r="K105" s="854">
        <f>I105-Report!AE105</f>
        <v>0</v>
      </c>
      <c r="M105" s="199"/>
      <c r="Q105" s="42">
        <v>0</v>
      </c>
      <c r="R105" s="198">
        <v>7940848.8479111232</v>
      </c>
    </row>
    <row r="106" spans="1:22" x14ac:dyDescent="0.2">
      <c r="A106" s="181" t="s">
        <v>59</v>
      </c>
      <c r="C106" s="456"/>
      <c r="E106" s="456"/>
      <c r="G106" s="456"/>
      <c r="I106" s="456"/>
      <c r="J106" s="199"/>
      <c r="K106" s="456"/>
      <c r="M106" s="199"/>
      <c r="R106" s="196"/>
    </row>
    <row r="107" spans="1:22" s="400" customFormat="1" x14ac:dyDescent="0.2">
      <c r="A107" s="181" t="s">
        <v>60</v>
      </c>
      <c r="B107" s="42"/>
      <c r="C107" s="855">
        <f>IF(Report!AC107=0,0,Report!AE107*((Report!M107+Report!S107)/Report!AC107))</f>
        <v>314945.89821149438</v>
      </c>
      <c r="D107" s="42"/>
      <c r="E107" s="855">
        <f>IF(Report!AC107=0,0,Report!AE107*(Report!G107/Report!AC107))</f>
        <v>-84645.161290322591</v>
      </c>
      <c r="F107" s="42"/>
      <c r="G107" s="855">
        <f>IF(Report!AC107=0,0,Report!AE107*(Report!AA107/Report!AC107))</f>
        <v>1287358.3304573784</v>
      </c>
      <c r="H107" s="42"/>
      <c r="I107" s="855">
        <f t="shared" ref="I107:I119" si="2">G107+E107+C107</f>
        <v>1517659.0673785501</v>
      </c>
      <c r="J107" s="199"/>
      <c r="K107" s="855">
        <f>I107-Report!AE107</f>
        <v>0</v>
      </c>
      <c r="L107" s="42"/>
      <c r="M107" s="199"/>
      <c r="N107" s="42"/>
      <c r="O107" s="398"/>
      <c r="Q107" s="398"/>
      <c r="R107" s="399"/>
      <c r="U107" s="401"/>
    </row>
    <row r="108" spans="1:22" x14ac:dyDescent="0.2">
      <c r="A108" s="181" t="s">
        <v>61</v>
      </c>
      <c r="C108" s="855">
        <f>IF(Report!AC108=0,0,Report!AE108*((Report!M108+Report!S108)/Report!AC108))</f>
        <v>-2559249.0306339962</v>
      </c>
      <c r="E108" s="855">
        <f>IF(Report!AC108=0,0,Report!AE108*(Report!G108/Report!AC108))</f>
        <v>1282616.6994863884</v>
      </c>
      <c r="G108" s="855">
        <f>IF(Report!AC108=0,0,Report!AE108*(Report!AA108/Report!AC108))</f>
        <v>5629499.5838323962</v>
      </c>
      <c r="I108" s="855">
        <f t="shared" si="2"/>
        <v>4352867.2526847878</v>
      </c>
      <c r="J108" s="199"/>
      <c r="K108" s="855">
        <f>I108-Report!AE108</f>
        <v>0</v>
      </c>
      <c r="M108" s="199"/>
      <c r="R108" s="199">
        <v>2052745.8673320087</v>
      </c>
    </row>
    <row r="109" spans="1:22" x14ac:dyDescent="0.2">
      <c r="A109" s="181" t="s">
        <v>62</v>
      </c>
      <c r="C109" s="855">
        <f>IF(Report!AC109=0,0,Report!AE109*((Report!M109+Report!S109)/Report!AC109))</f>
        <v>-2096961.7734830186</v>
      </c>
      <c r="E109" s="855">
        <f>IF(Report!AC109=0,0,Report!AE109*(Report!G109/Report!AC109))</f>
        <v>-5573637.4672648665</v>
      </c>
      <c r="G109" s="855">
        <f>IF(Report!AC109=0,0,Report!AE109*(Report!AA109/Report!AC109))</f>
        <v>481635.1123652531</v>
      </c>
      <c r="I109" s="855">
        <f t="shared" si="2"/>
        <v>-7188964.1283826316</v>
      </c>
      <c r="J109" s="199"/>
      <c r="K109" s="855">
        <f>I109-Report!AE109</f>
        <v>0</v>
      </c>
      <c r="M109" s="199"/>
      <c r="R109" s="199">
        <v>-540658.4336950084</v>
      </c>
    </row>
    <row r="110" spans="1:22" x14ac:dyDescent="0.2">
      <c r="A110" s="181" t="s">
        <v>63</v>
      </c>
      <c r="C110" s="855">
        <f>IF(Report!AC110=0,0,Report!AE110*((Report!M110+Report!S110)/Report!AC110))</f>
        <v>-27661.138066140204</v>
      </c>
      <c r="E110" s="855">
        <f>IF(Report!AC110=0,0,Report!AE110*(Report!G110/Report!AC110))</f>
        <v>-3486.5506810938109</v>
      </c>
      <c r="G110" s="855">
        <f>IF(Report!AC110=0,0,Report!AE110*(Report!AA110/Report!AC110))</f>
        <v>-521.00123835238242</v>
      </c>
      <c r="I110" s="855">
        <f t="shared" si="2"/>
        <v>-31668.689985586396</v>
      </c>
      <c r="J110" s="199"/>
      <c r="K110" s="855">
        <f>I110-Report!AE110</f>
        <v>0</v>
      </c>
      <c r="M110" s="199"/>
      <c r="R110" s="199">
        <v>0</v>
      </c>
    </row>
    <row r="111" spans="1:22" x14ac:dyDescent="0.2">
      <c r="A111" s="181" t="s">
        <v>64</v>
      </c>
      <c r="C111" s="855">
        <f>IF(Report!AC111=0,0,Report!AE111*((Report!M111+Report!S111)/Report!AC111))</f>
        <v>-120099.88022493353</v>
      </c>
      <c r="E111" s="855">
        <f>IF(Report!AC111=0,0,Report!AE111*(Report!G111/Report!AC111))</f>
        <v>-100455.1452526442</v>
      </c>
      <c r="G111" s="855">
        <f>IF(Report!AC111=0,0,Report!AE111*(Report!AA111/Report!AC111))</f>
        <v>-5271720.4977770569</v>
      </c>
      <c r="I111" s="855">
        <f t="shared" si="2"/>
        <v>-5492275.5232546348</v>
      </c>
      <c r="J111" s="199"/>
      <c r="K111" s="855">
        <f>I111-Report!AE111</f>
        <v>0</v>
      </c>
      <c r="M111" s="199"/>
      <c r="R111" s="199"/>
    </row>
    <row r="112" spans="1:22" x14ac:dyDescent="0.2">
      <c r="A112" s="181" t="s">
        <v>65</v>
      </c>
      <c r="C112" s="855">
        <f>IF(Report!AC112=0,0,Report!AE112*((Report!M112+Report!S112)/Report!AC112))</f>
        <v>0</v>
      </c>
      <c r="E112" s="855">
        <f>IF(Report!AC112=0,0,Report!AE112*(Report!G112/Report!AC112))</f>
        <v>-11489.311597880591</v>
      </c>
      <c r="G112" s="855">
        <f>IF(Report!AC112=0,0,Report!AE112*(Report!AA112/Report!AC112))</f>
        <v>1188082.259079559</v>
      </c>
      <c r="I112" s="855">
        <f t="shared" si="2"/>
        <v>1176592.9474816783</v>
      </c>
      <c r="J112" s="199"/>
      <c r="K112" s="855">
        <f>I112-Report!AE112</f>
        <v>0</v>
      </c>
      <c r="M112" s="199"/>
      <c r="R112" s="199">
        <v>53363.922152597559</v>
      </c>
    </row>
    <row r="113" spans="1:18" x14ac:dyDescent="0.2">
      <c r="A113" s="181" t="s">
        <v>66</v>
      </c>
      <c r="C113" s="855">
        <f>IF(Report!AC113=0,0,Report!AE113*((Report!M113+Report!S113)/Report!AC113))</f>
        <v>0</v>
      </c>
      <c r="E113" s="855">
        <f>IF(Report!AC113=0,0,Report!AE113*(Report!G113/Report!AC113))</f>
        <v>-21750.827259993101</v>
      </c>
      <c r="G113" s="855">
        <f>IF(Report!AC113=0,0,Report!AE113*(Report!AA113/Report!AC113))</f>
        <v>-980463.26559613494</v>
      </c>
      <c r="I113" s="855">
        <f t="shared" si="2"/>
        <v>-1002214.092856128</v>
      </c>
      <c r="J113" s="199"/>
      <c r="K113" s="855">
        <f>I113-Report!AE113</f>
        <v>0</v>
      </c>
      <c r="M113" s="199"/>
      <c r="R113" s="199">
        <v>-10470.267416025337</v>
      </c>
    </row>
    <row r="114" spans="1:18" x14ac:dyDescent="0.2">
      <c r="A114" s="181" t="s">
        <v>67</v>
      </c>
      <c r="C114" s="855">
        <f>IF(Report!AC114=0,0,Report!AE114*((Report!M114+Report!S114)/Report!AC114))</f>
        <v>0</v>
      </c>
      <c r="E114" s="855">
        <f>IF(Report!AC114=0,0,Report!AE114*(Report!G114/Report!AC114))</f>
        <v>13896.18140847358</v>
      </c>
      <c r="G114" s="855">
        <f>IF(Report!AC114=0,0,Report!AE114*(Report!AA114/Report!AC114))</f>
        <v>656446.61889197933</v>
      </c>
      <c r="I114" s="855">
        <f t="shared" si="2"/>
        <v>670342.80030045286</v>
      </c>
      <c r="J114" s="199"/>
      <c r="K114" s="855">
        <f>I114-Report!AE114</f>
        <v>0</v>
      </c>
      <c r="M114" s="199"/>
      <c r="R114" s="199">
        <v>-43546.32436661722</v>
      </c>
    </row>
    <row r="115" spans="1:18" x14ac:dyDescent="0.2">
      <c r="A115" s="181" t="s">
        <v>68</v>
      </c>
      <c r="C115" s="855">
        <f>IF(Report!AC115=0,0,Report!AE115*((Report!M115+Report!S115)/Report!AC115))</f>
        <v>0</v>
      </c>
      <c r="E115" s="855">
        <f>IF(Report!AC115=0,0,Report!AE115*(Report!G115/Report!AC115))</f>
        <v>0</v>
      </c>
      <c r="G115" s="855">
        <f>IF(Report!AC115=0,0,Report!AE115*(Report!AA115/Report!AC115))</f>
        <v>0</v>
      </c>
      <c r="I115" s="855">
        <f t="shared" si="2"/>
        <v>0</v>
      </c>
      <c r="J115" s="199"/>
      <c r="K115" s="855">
        <f>I115-Report!AE115</f>
        <v>0</v>
      </c>
      <c r="M115" s="199"/>
      <c r="R115" s="199">
        <v>0</v>
      </c>
    </row>
    <row r="116" spans="1:18" x14ac:dyDescent="0.2">
      <c r="A116" s="181" t="s">
        <v>69</v>
      </c>
      <c r="C116" s="855">
        <f>IF(Report!AC116=0,0,Report!AE116*((Report!M116+Report!S116)/Report!AC116))</f>
        <v>0</v>
      </c>
      <c r="E116" s="855">
        <f>IF(Report!AC116=0,0,Report!AE116*(Report!G116/Report!AC116))</f>
        <v>-38977.648754542322</v>
      </c>
      <c r="G116" s="855">
        <f>IF(Report!AC116=0,0,Report!AE116*(Report!AA116/Report!AC116))</f>
        <v>0</v>
      </c>
      <c r="I116" s="855">
        <f t="shared" si="2"/>
        <v>-38977.648754542322</v>
      </c>
      <c r="J116" s="475"/>
      <c r="K116" s="855">
        <f>I116-Report!AE116</f>
        <v>0</v>
      </c>
      <c r="M116" s="475"/>
      <c r="R116" s="200">
        <v>0</v>
      </c>
    </row>
    <row r="117" spans="1:18" x14ac:dyDescent="0.2">
      <c r="A117" s="181" t="s">
        <v>70</v>
      </c>
      <c r="C117" s="854">
        <f>IF(Report!AC117=0,0,Report!AE117*((Report!M117+Report!S117)/Report!AC117))</f>
        <v>-4489025.9241965944</v>
      </c>
      <c r="E117" s="854">
        <f>IF(Report!AC117=0,0,Report!AE117*(Report!G117/Report!AC117))</f>
        <v>-4537929.2312064813</v>
      </c>
      <c r="G117" s="854">
        <f>IF(Report!AC117=0,0,Report!AE117*(Report!AA117/Report!AC117))</f>
        <v>2990317.1400150228</v>
      </c>
      <c r="I117" s="854">
        <f t="shared" si="2"/>
        <v>-6036638.0153880529</v>
      </c>
      <c r="J117" s="199"/>
      <c r="K117" s="854">
        <f>I117-Report!AE117</f>
        <v>0</v>
      </c>
      <c r="M117" s="199"/>
      <c r="R117" s="198">
        <v>1511434.7640069551</v>
      </c>
    </row>
    <row r="118" spans="1:18" x14ac:dyDescent="0.2">
      <c r="A118" s="181" t="s">
        <v>71</v>
      </c>
      <c r="C118" s="854">
        <f>IF(Report!AC118=0,0,Report!AE118*((Report!M118+Report!S118)/Report!AC118))</f>
        <v>0</v>
      </c>
      <c r="E118" s="854">
        <f>IF(Report!AC118=0,0,Report!AE118*(Report!G118/Report!AC118))</f>
        <v>0</v>
      </c>
      <c r="G118" s="854">
        <f>IF(Report!AC118=0,0,Report!AE118*(Report!AA118/Report!AC118))</f>
        <v>0</v>
      </c>
      <c r="I118" s="854">
        <f t="shared" si="2"/>
        <v>0</v>
      </c>
      <c r="J118" s="199"/>
      <c r="K118" s="854">
        <f>I118-Report!AE118</f>
        <v>0</v>
      </c>
      <c r="M118" s="199"/>
      <c r="R118" s="198">
        <v>-1568824.3302897396</v>
      </c>
    </row>
    <row r="119" spans="1:18" x14ac:dyDescent="0.2">
      <c r="A119" s="181" t="s">
        <v>72</v>
      </c>
      <c r="C119" s="854">
        <f>IF(Report!AC119=0,0,Report!AE119*((Report!M119+Report!S119)/Report!AC119))</f>
        <v>47376.032806187715</v>
      </c>
      <c r="E119" s="854">
        <f>IF(Report!AC119=0,0,Report!AE119*(Report!G119/Report!AC119))</f>
        <v>32545.6870825636</v>
      </c>
      <c r="G119" s="854">
        <f>IF(Report!AC119=0,0,Report!AE119*(Report!AA119/Report!AC119))</f>
        <v>-258704.39919608604</v>
      </c>
      <c r="I119" s="854">
        <f t="shared" si="2"/>
        <v>-178782.67930733474</v>
      </c>
      <c r="K119" s="854">
        <f>I119-Report!AE119</f>
        <v>0</v>
      </c>
      <c r="R119" s="1">
        <v>5362.5678837998203</v>
      </c>
    </row>
    <row r="120" spans="1:18" x14ac:dyDescent="0.2">
      <c r="A120" s="181"/>
      <c r="F120"/>
      <c r="G120" s="481"/>
      <c r="H120"/>
      <c r="J120" s="197"/>
      <c r="M120" s="197"/>
      <c r="R120" s="197">
        <v>7888821.8495121384</v>
      </c>
    </row>
    <row r="121" spans="1:18" x14ac:dyDescent="0.2">
      <c r="A121" s="12"/>
    </row>
    <row r="135" spans="1:18" x14ac:dyDescent="0.2">
      <c r="A135" s="281" t="s">
        <v>73</v>
      </c>
      <c r="B135" s="339"/>
      <c r="C135" s="483">
        <v>0</v>
      </c>
      <c r="D135" s="339"/>
      <c r="E135" s="313">
        <v>0</v>
      </c>
      <c r="G135" s="476">
        <v>0</v>
      </c>
      <c r="I135" s="313">
        <v>0</v>
      </c>
      <c r="J135" s="199"/>
      <c r="K135" s="478">
        <v>0</v>
      </c>
      <c r="M135" s="199"/>
      <c r="Q135" s="42">
        <v>0</v>
      </c>
      <c r="R135" s="198">
        <v>0</v>
      </c>
    </row>
    <row r="136" spans="1:18" x14ac:dyDescent="0.2">
      <c r="C136" s="456"/>
      <c r="E136" s="312"/>
      <c r="G136" s="196"/>
      <c r="I136" s="312"/>
      <c r="J136" s="199"/>
      <c r="K136" s="312"/>
      <c r="M136" s="199"/>
      <c r="R136" s="196">
        <v>0</v>
      </c>
    </row>
    <row r="137" spans="1:18" x14ac:dyDescent="0.2">
      <c r="C137" s="455">
        <v>0</v>
      </c>
      <c r="E137" s="314">
        <v>0</v>
      </c>
      <c r="G137" s="199">
        <v>0</v>
      </c>
      <c r="I137" s="314">
        <v>0</v>
      </c>
      <c r="J137" s="199"/>
      <c r="K137" s="314">
        <v>0</v>
      </c>
      <c r="M137" s="199"/>
      <c r="R137" s="199">
        <v>0</v>
      </c>
    </row>
    <row r="138" spans="1:18" x14ac:dyDescent="0.2">
      <c r="C138" s="455">
        <v>0</v>
      </c>
      <c r="E138" s="314">
        <v>0</v>
      </c>
      <c r="G138" s="199">
        <v>0</v>
      </c>
      <c r="I138" s="314">
        <v>0</v>
      </c>
      <c r="J138" s="199"/>
      <c r="K138" s="314">
        <v>0</v>
      </c>
      <c r="M138" s="199"/>
      <c r="R138" s="199">
        <v>0</v>
      </c>
    </row>
    <row r="139" spans="1:18" x14ac:dyDescent="0.2">
      <c r="C139" s="455">
        <v>0</v>
      </c>
      <c r="E139" s="314">
        <v>0</v>
      </c>
      <c r="G139" s="199">
        <v>0</v>
      </c>
      <c r="I139" s="314">
        <v>0</v>
      </c>
      <c r="J139" s="199"/>
      <c r="K139" s="314">
        <v>0</v>
      </c>
      <c r="M139" s="199"/>
      <c r="R139" s="199">
        <v>0</v>
      </c>
    </row>
    <row r="140" spans="1:18" x14ac:dyDescent="0.2">
      <c r="C140" s="455">
        <v>0</v>
      </c>
      <c r="E140" s="314">
        <v>0</v>
      </c>
      <c r="G140" s="199">
        <v>0</v>
      </c>
      <c r="I140" s="314">
        <v>0</v>
      </c>
      <c r="J140" s="199"/>
      <c r="K140" s="314">
        <v>0</v>
      </c>
      <c r="M140" s="199"/>
      <c r="R140" s="199">
        <v>0</v>
      </c>
    </row>
    <row r="141" spans="1:18" x14ac:dyDescent="0.2">
      <c r="C141" s="455">
        <v>0</v>
      </c>
      <c r="E141" s="314">
        <v>0</v>
      </c>
      <c r="G141" s="199">
        <v>0</v>
      </c>
      <c r="I141" s="314">
        <v>0</v>
      </c>
      <c r="J141" s="199"/>
      <c r="K141" s="314">
        <v>0</v>
      </c>
      <c r="M141" s="199"/>
      <c r="R141" s="199">
        <v>0</v>
      </c>
    </row>
    <row r="142" spans="1:18" x14ac:dyDescent="0.2">
      <c r="C142" s="455">
        <v>0</v>
      </c>
      <c r="E142" s="314">
        <v>0</v>
      </c>
      <c r="G142" s="199">
        <v>0</v>
      </c>
      <c r="I142" s="314">
        <v>0</v>
      </c>
      <c r="J142" s="199"/>
      <c r="K142" s="314">
        <v>0</v>
      </c>
      <c r="M142" s="199"/>
      <c r="R142" s="199">
        <v>0</v>
      </c>
    </row>
    <row r="143" spans="1:18" x14ac:dyDescent="0.2">
      <c r="C143" s="455"/>
      <c r="E143" s="314">
        <v>0</v>
      </c>
      <c r="G143" s="199">
        <v>0</v>
      </c>
      <c r="I143" s="314">
        <v>0</v>
      </c>
      <c r="J143" s="199"/>
      <c r="K143" s="314">
        <v>0</v>
      </c>
      <c r="M143" s="199"/>
      <c r="R143" s="199">
        <v>0</v>
      </c>
    </row>
    <row r="144" spans="1:18" x14ac:dyDescent="0.2">
      <c r="C144" s="455">
        <v>0</v>
      </c>
      <c r="E144" s="314">
        <v>0</v>
      </c>
      <c r="G144" s="199">
        <v>0</v>
      </c>
      <c r="I144" s="314">
        <v>0</v>
      </c>
      <c r="J144" s="199"/>
      <c r="K144" s="314">
        <v>0</v>
      </c>
      <c r="M144" s="199"/>
      <c r="R144" s="199">
        <v>0</v>
      </c>
    </row>
    <row r="145" spans="3:18" x14ac:dyDescent="0.2">
      <c r="C145" s="455">
        <v>0</v>
      </c>
      <c r="E145" s="314">
        <v>0</v>
      </c>
      <c r="G145" s="477">
        <v>0</v>
      </c>
      <c r="I145" s="314">
        <v>0</v>
      </c>
      <c r="J145" s="475"/>
      <c r="K145" s="314">
        <v>0</v>
      </c>
      <c r="M145" s="475"/>
      <c r="R145" s="200">
        <v>0</v>
      </c>
    </row>
    <row r="146" spans="3:18" x14ac:dyDescent="0.2">
      <c r="C146" s="483">
        <v>0</v>
      </c>
      <c r="E146" s="313">
        <v>0</v>
      </c>
      <c r="G146" s="476">
        <v>0</v>
      </c>
      <c r="I146" s="313">
        <v>0</v>
      </c>
      <c r="J146" s="199"/>
      <c r="K146" s="478">
        <v>0</v>
      </c>
      <c r="M146" s="199"/>
      <c r="R146" s="198">
        <v>0</v>
      </c>
    </row>
    <row r="147" spans="3:18" x14ac:dyDescent="0.2">
      <c r="C147" s="483">
        <v>0</v>
      </c>
      <c r="E147" s="313">
        <v>0</v>
      </c>
      <c r="G147" s="476">
        <v>0</v>
      </c>
      <c r="I147" s="313">
        <v>0</v>
      </c>
      <c r="J147" s="199"/>
      <c r="K147" s="478">
        <v>0</v>
      </c>
      <c r="M147" s="199"/>
      <c r="R147" s="198">
        <v>0</v>
      </c>
    </row>
    <row r="148" spans="3:18" x14ac:dyDescent="0.2">
      <c r="C148" s="483">
        <v>0</v>
      </c>
      <c r="E148" s="313">
        <v>0</v>
      </c>
      <c r="I148" s="313"/>
      <c r="K148" s="478">
        <v>0</v>
      </c>
    </row>
  </sheetData>
  <printOptions verticalCentered="1" gridLinesSet="0"/>
  <pageMargins left="0.28000000000000003" right="0.25" top="0.25" bottom="0.4" header="0.23" footer="0.25"/>
  <pageSetup scale="33" orientation="landscape" horizontalDpi="4294967292" verticalDpi="4294967292" r:id="rId1"/>
  <headerFooter alignWithMargins="0">
    <oddFooter>&amp;L&amp;"Times New Roman,Italic"&amp;F/&amp;A Prepared By: R. Watt (403-974-6905)&amp;R&amp;"Times New Roman,Italic"&amp;D &amp;T</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8433" r:id="rId4" name="Button 1">
              <controlPr defaultSize="0" print="0" autoFill="0" autoPict="0" macro="[0]!Print_Economics">
                <anchor moveWithCells="1" sizeWithCells="1">
                  <from>
                    <xdr:col>98</xdr:col>
                    <xdr:colOff>266700</xdr:colOff>
                    <xdr:row>1</xdr:row>
                    <xdr:rowOff>47625</xdr:rowOff>
                  </from>
                  <to>
                    <xdr:col>99</xdr:col>
                    <xdr:colOff>85725</xdr:colOff>
                    <xdr:row>2</xdr:row>
                    <xdr:rowOff>66675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X240"/>
  <sheetViews>
    <sheetView zoomScale="75" workbookViewId="0">
      <pane xSplit="2" ySplit="6" topLeftCell="C41" activePane="bottomRight" state="frozen"/>
      <selection activeCell="B6" sqref="B6"/>
      <selection pane="topRight" activeCell="B6" sqref="B6"/>
      <selection pane="bottomLeft" activeCell="B6" sqref="B6"/>
      <selection pane="bottomRight" activeCell="S68" sqref="S68"/>
    </sheetView>
  </sheetViews>
  <sheetFormatPr defaultRowHeight="12.75" x14ac:dyDescent="0.2"/>
  <cols>
    <col min="1" max="1" width="23.85546875" style="13" customWidth="1"/>
    <col min="2" max="2" width="24.140625" style="13" customWidth="1"/>
    <col min="3" max="3" width="14.42578125" style="13" customWidth="1"/>
    <col min="4" max="4" width="13.5703125" style="13" customWidth="1"/>
    <col min="5"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12" style="13" customWidth="1"/>
    <col min="39" max="39" width="13.28515625" style="13" customWidth="1"/>
    <col min="40" max="40" width="11.5703125" style="13" customWidth="1"/>
    <col min="41" max="41" width="14.5703125" style="13" customWidth="1"/>
    <col min="42" max="16384" width="9.140625" style="13"/>
  </cols>
  <sheetData>
    <row r="1" spans="1:37" ht="12.75" customHeight="1" x14ac:dyDescent="0.2">
      <c r="B1" s="816">
        <f>M38</f>
        <v>-0.23999997973442078</v>
      </c>
      <c r="D1" s="321"/>
      <c r="E1" s="321"/>
      <c r="F1" s="325"/>
      <c r="G1" s="329" t="s">
        <v>252</v>
      </c>
      <c r="H1" s="1"/>
      <c r="I1" s="1"/>
      <c r="J1" s="1"/>
      <c r="K1" s="1"/>
      <c r="L1" s="1"/>
      <c r="M1" s="1"/>
      <c r="N1" s="1"/>
      <c r="O1" s="1"/>
    </row>
    <row r="2" spans="1:37" ht="12.75" customHeight="1" thickBot="1" x14ac:dyDescent="0.3">
      <c r="A2" s="101" t="s">
        <v>75</v>
      </c>
      <c r="C2" s="46"/>
      <c r="D2" s="1"/>
      <c r="E2" s="321"/>
      <c r="F2" s="325"/>
      <c r="G2" s="330">
        <v>32097078</v>
      </c>
      <c r="H2" s="1"/>
      <c r="I2" s="1"/>
      <c r="J2" s="1"/>
      <c r="K2" s="1"/>
      <c r="L2" s="1"/>
      <c r="M2" s="1"/>
      <c r="N2" s="1"/>
      <c r="O2" s="1"/>
    </row>
    <row r="3" spans="1:37" ht="12.75" customHeight="1" x14ac:dyDescent="0.25">
      <c r="A3" s="257" t="s">
        <v>76</v>
      </c>
      <c r="B3" s="322" t="s">
        <v>469</v>
      </c>
      <c r="C3" s="568" t="s">
        <v>78</v>
      </c>
      <c r="D3" s="331"/>
      <c r="E3" s="566"/>
      <c r="F3" s="567"/>
      <c r="G3" s="41"/>
      <c r="H3" s="1"/>
      <c r="I3" s="1"/>
      <c r="J3" s="1"/>
      <c r="K3" s="1"/>
      <c r="L3" s="1"/>
      <c r="M3" s="42"/>
      <c r="N3" s="1"/>
      <c r="O3" s="1"/>
    </row>
    <row r="4" spans="1:37" ht="12.75" customHeight="1" x14ac:dyDescent="0.25">
      <c r="A4" s="257" t="s">
        <v>79</v>
      </c>
      <c r="B4" s="323">
        <f>Front!B4</f>
        <v>36831</v>
      </c>
      <c r="C4" s="46"/>
      <c r="D4" s="331"/>
      <c r="E4" s="566"/>
      <c r="F4" s="567"/>
      <c r="G4" s="41"/>
      <c r="H4" s="1"/>
      <c r="I4" s="1"/>
      <c r="J4" s="1"/>
      <c r="K4" s="1"/>
      <c r="L4" s="1"/>
      <c r="M4" s="1"/>
      <c r="N4" s="1"/>
      <c r="O4" s="1"/>
    </row>
    <row r="5" spans="1:37" ht="18" customHeight="1" thickBot="1" x14ac:dyDescent="0.3">
      <c r="A5" s="257" t="s">
        <v>80</v>
      </c>
      <c r="B5" s="570">
        <f>Front!B5</f>
        <v>36847</v>
      </c>
      <c r="C5" s="569"/>
      <c r="D5" s="331"/>
      <c r="E5" s="46"/>
      <c r="F5" s="46"/>
      <c r="G5" s="46"/>
      <c r="V5" s="24"/>
      <c r="W5" s="24"/>
      <c r="X5" s="24"/>
      <c r="Y5" s="24"/>
      <c r="Z5" s="24"/>
      <c r="AA5" s="24"/>
    </row>
    <row r="6" spans="1:37" ht="12.75" customHeight="1" x14ac:dyDescent="0.25">
      <c r="A6" s="257" t="s">
        <v>81</v>
      </c>
      <c r="B6" s="776">
        <f>Front!$B$12</f>
        <v>949832</v>
      </c>
      <c r="C6" s="569"/>
      <c r="D6" s="331"/>
      <c r="E6" s="46"/>
      <c r="F6" s="46"/>
      <c r="G6" s="46"/>
      <c r="K6" s="123" t="s">
        <v>82</v>
      </c>
      <c r="L6" s="62"/>
      <c r="M6" s="62"/>
      <c r="N6" s="62"/>
      <c r="O6" s="62"/>
      <c r="P6" s="62"/>
      <c r="Q6" s="62"/>
      <c r="R6" s="7"/>
      <c r="S6" s="102" t="s">
        <v>83</v>
      </c>
      <c r="T6" s="102"/>
      <c r="V6" s="123" t="s">
        <v>84</v>
      </c>
      <c r="W6" s="62"/>
      <c r="X6" s="62"/>
      <c r="Y6" s="62"/>
      <c r="Z6" s="62"/>
      <c r="AA6" s="7"/>
    </row>
    <row r="7" spans="1:37" ht="12.75" customHeight="1" x14ac:dyDescent="0.2">
      <c r="C7" s="46"/>
      <c r="D7" s="331"/>
      <c r="K7" s="64"/>
      <c r="L7" s="65" t="s">
        <v>85</v>
      </c>
      <c r="M7" s="65" t="s">
        <v>86</v>
      </c>
      <c r="N7" s="335" t="s">
        <v>87</v>
      </c>
      <c r="O7" s="65"/>
      <c r="P7" s="65" t="s">
        <v>88</v>
      </c>
      <c r="Q7" s="65" t="s">
        <v>88</v>
      </c>
      <c r="R7" s="66" t="s">
        <v>4</v>
      </c>
      <c r="S7" s="103" t="s">
        <v>89</v>
      </c>
      <c r="T7" s="103" t="s">
        <v>90</v>
      </c>
      <c r="V7" s="67" t="s">
        <v>91</v>
      </c>
      <c r="W7" s="24"/>
      <c r="X7" s="24"/>
      <c r="Y7" s="24"/>
      <c r="Z7" s="24"/>
      <c r="AA7" s="68"/>
    </row>
    <row r="8" spans="1:37" ht="12.75" customHeight="1" x14ac:dyDescent="0.2">
      <c r="A8" s="16" t="s">
        <v>92</v>
      </c>
      <c r="C8" s="46"/>
      <c r="D8" s="433" t="s">
        <v>93</v>
      </c>
      <c r="E8" s="433" t="s">
        <v>94</v>
      </c>
      <c r="G8" s="17" t="s">
        <v>95</v>
      </c>
      <c r="H8" s="17"/>
      <c r="K8" s="124" t="s">
        <v>96</v>
      </c>
      <c r="L8" s="24"/>
      <c r="M8" s="24"/>
      <c r="N8" s="24"/>
      <c r="O8" s="24"/>
      <c r="P8" s="24"/>
      <c r="Q8" s="9"/>
      <c r="R8" s="68"/>
      <c r="V8" s="67" t="s">
        <v>97</v>
      </c>
      <c r="W8" s="24"/>
      <c r="X8" s="24"/>
      <c r="Y8" s="24"/>
      <c r="Z8" s="24"/>
      <c r="AA8" s="68"/>
    </row>
    <row r="9" spans="1:37" ht="12.75" customHeight="1" x14ac:dyDescent="0.2">
      <c r="A9" s="13" t="s">
        <v>98</v>
      </c>
      <c r="C9" s="46"/>
      <c r="D9" s="21">
        <v>212650419</v>
      </c>
      <c r="E9" s="21">
        <v>211043009</v>
      </c>
      <c r="F9" s="1" t="s">
        <v>99</v>
      </c>
      <c r="G9" s="19" t="s">
        <v>100</v>
      </c>
      <c r="H9" s="19"/>
      <c r="I9" s="13">
        <v>95161869</v>
      </c>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
      <c r="A10" s="13" t="s">
        <v>102</v>
      </c>
      <c r="C10" s="46"/>
      <c r="D10" s="21">
        <v>3296993</v>
      </c>
      <c r="E10" s="21">
        <v>3297306</v>
      </c>
      <c r="F10" s="1" t="s">
        <v>99</v>
      </c>
      <c r="G10" s="19" t="s">
        <v>100</v>
      </c>
      <c r="H10" s="19"/>
      <c r="I10" s="13">
        <v>1117818</v>
      </c>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
      <c r="A11" s="13" t="s">
        <v>105</v>
      </c>
      <c r="D11" s="21"/>
      <c r="E11" s="21"/>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
      <c r="A12" s="13" t="s">
        <v>109</v>
      </c>
      <c r="D12" s="21">
        <v>0</v>
      </c>
      <c r="E12" s="21">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
      <c r="A13" s="13" t="s">
        <v>112</v>
      </c>
      <c r="D13" s="346">
        <v>37550235</v>
      </c>
      <c r="E13" s="346">
        <v>37707303</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25">
      <c r="A14" s="13" t="s">
        <v>115</v>
      </c>
      <c r="E14" s="22">
        <f>+E159</f>
        <v>-68447810</v>
      </c>
      <c r="F14" s="13" t="s">
        <v>116</v>
      </c>
      <c r="K14" s="67" t="s">
        <v>117</v>
      </c>
      <c r="L14" s="121">
        <f>SUM(L9:L13)/100</f>
        <v>0</v>
      </c>
      <c r="M14" s="121">
        <f>SUM(M9:M13)/100</f>
        <v>0</v>
      </c>
      <c r="N14" s="121">
        <f>SUM(N9:N13)/1000000</f>
        <v>0</v>
      </c>
      <c r="O14" s="121">
        <f>SUM(O9:O13)/1000000</f>
        <v>0</v>
      </c>
      <c r="P14" s="121">
        <f>SUM(P9:P13)/1000000</f>
        <v>0</v>
      </c>
      <c r="Q14" s="121">
        <f>SUM(Q9:Q13)/1000000</f>
        <v>0</v>
      </c>
      <c r="R14" s="125">
        <f>SUM(R9:R12)/1000000</f>
        <v>0</v>
      </c>
      <c r="S14" s="121">
        <f>SUM(S9:S13)</f>
        <v>0</v>
      </c>
      <c r="T14" s="121">
        <f>SUM(T9:T13)</f>
        <v>0</v>
      </c>
      <c r="V14" s="67"/>
      <c r="W14" s="24"/>
      <c r="X14" s="24"/>
      <c r="Y14" s="33" t="s">
        <v>118</v>
      </c>
      <c r="Z14" s="24"/>
      <c r="AA14" s="68"/>
    </row>
    <row r="15" spans="1:37" ht="12.75" customHeight="1" thickTop="1" x14ac:dyDescent="0.2">
      <c r="A15" s="13" t="s">
        <v>119</v>
      </c>
      <c r="D15" s="572" t="str">
        <f>IF(E13=D13,"FX not changed   "," ")</f>
        <v xml:space="preserve"> </v>
      </c>
      <c r="E15" s="22">
        <f>+L158</f>
        <v>12746</v>
      </c>
      <c r="F15" s="13" t="s">
        <v>116</v>
      </c>
      <c r="K15" s="67" t="s">
        <v>120</v>
      </c>
      <c r="L15" s="249">
        <v>0</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3">
      <c r="A16" s="13" t="s">
        <v>124</v>
      </c>
      <c r="D16" s="560" t="str">
        <f>IF(INDEX(SpotRates!A4:D34,MATCH(B5, SpotRates!A4:A34,0),4)=INDEX(SpotRates!A4:D34,MATCH(B5-1, SpotRates!A4:A34,0),4), "Change Spot Rate   ", " ")</f>
        <v xml:space="preserve"> </v>
      </c>
      <c r="E16" s="22">
        <f>+E185</f>
        <v>-808482.39399999846</v>
      </c>
      <c r="F16" s="13" t="s">
        <v>116</v>
      </c>
      <c r="I16" s="23"/>
      <c r="J16" s="23"/>
      <c r="K16" s="67" t="s">
        <v>125</v>
      </c>
      <c r="L16" s="424">
        <v>0</v>
      </c>
      <c r="M16" s="424">
        <v>0</v>
      </c>
      <c r="N16" s="395">
        <v>0</v>
      </c>
      <c r="O16" s="248">
        <v>0</v>
      </c>
      <c r="P16" s="248">
        <v>0</v>
      </c>
      <c r="Q16" s="248">
        <v>0</v>
      </c>
      <c r="R16" s="259">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D17" s="561"/>
      <c r="E17" s="22"/>
      <c r="I17" s="23"/>
      <c r="J17" s="23"/>
      <c r="K17" s="252"/>
      <c r="L17" s="122">
        <f t="shared" ref="L17:Q17" si="0">SUM(L15*L16)</f>
        <v>0</v>
      </c>
      <c r="M17" s="122">
        <f t="shared" si="0"/>
        <v>0</v>
      </c>
      <c r="N17" s="122">
        <f t="shared" si="0"/>
        <v>0</v>
      </c>
      <c r="O17" s="122">
        <f t="shared" si="0"/>
        <v>0</v>
      </c>
      <c r="P17" s="122">
        <f t="shared" si="0"/>
        <v>0</v>
      </c>
      <c r="Q17" s="122">
        <f t="shared" si="0"/>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
      <c r="D18"/>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D19"/>
      <c r="E19" s="228">
        <f>SUM(E9:E16)</f>
        <v>182804071.60600001</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426"/>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SUM(E19)-SUM(B58+B59+B64+B65)</f>
        <v>181249064.60600001</v>
      </c>
      <c r="AA20" s="68"/>
      <c r="AB20" s="24"/>
      <c r="AC20" s="24"/>
      <c r="AD20" s="24"/>
      <c r="AE20" s="24"/>
      <c r="AF20" s="24"/>
      <c r="AG20" s="24"/>
      <c r="AH20" s="24"/>
      <c r="AI20" s="26"/>
      <c r="AJ20" s="24"/>
      <c r="AK20" s="24"/>
    </row>
    <row r="21" spans="1:37" ht="12.75" customHeight="1" thickBot="1" x14ac:dyDescent="0.25">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75" customHeight="1" x14ac:dyDescent="0.2">
      <c r="A22" s="13" t="s">
        <v>132</v>
      </c>
      <c r="E22" s="22">
        <v>0.67391316778957844</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133</v>
      </c>
      <c r="E23" s="22">
        <f>+B63</f>
        <v>0</v>
      </c>
      <c r="F23" s="13" t="s">
        <v>116</v>
      </c>
      <c r="G23" s="24"/>
      <c r="H23" s="427"/>
      <c r="I23" s="428"/>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134</v>
      </c>
      <c r="E24" s="229">
        <f>E22+E23</f>
        <v>0.67391316778957844</v>
      </c>
      <c r="F24" s="13" t="s">
        <v>116</v>
      </c>
      <c r="I24" s="24"/>
      <c r="J24" s="24"/>
      <c r="K24" s="67" t="s">
        <v>117</v>
      </c>
      <c r="L24" s="121">
        <f t="shared" ref="L24:Q24" si="1">SUM(L19:L23)/1000000</f>
        <v>0</v>
      </c>
      <c r="M24" s="121">
        <f t="shared" si="1"/>
        <v>0</v>
      </c>
      <c r="N24" s="121">
        <f t="shared" si="1"/>
        <v>0</v>
      </c>
      <c r="O24" s="121">
        <f t="shared" si="1"/>
        <v>0</v>
      </c>
      <c r="P24" s="121">
        <f t="shared" si="1"/>
        <v>0</v>
      </c>
      <c r="Q24" s="121">
        <f t="shared" si="1"/>
        <v>0</v>
      </c>
      <c r="R24" s="125">
        <f>SUM(R19:R22)/1000000</f>
        <v>0</v>
      </c>
      <c r="S24" s="121">
        <f>SUM(S19:S23)</f>
        <v>0</v>
      </c>
      <c r="T24" s="121">
        <f>SUM(T19:T23)</f>
        <v>0</v>
      </c>
      <c r="U24" s="9"/>
      <c r="V24" s="9"/>
      <c r="W24" s="9"/>
      <c r="X24" s="9"/>
      <c r="Y24" s="24"/>
      <c r="Z24" s="9"/>
      <c r="AA24" s="9"/>
      <c r="AB24" s="9"/>
      <c r="AC24" s="9"/>
      <c r="AD24" s="9"/>
      <c r="AE24" s="9"/>
      <c r="AF24" s="9"/>
      <c r="AG24" s="9"/>
      <c r="AH24" s="9"/>
      <c r="AI24" s="27"/>
      <c r="AJ24" s="24"/>
      <c r="AK24" s="24"/>
    </row>
    <row r="25" spans="1:37" ht="12.75" customHeight="1" thickTop="1" thickBot="1" x14ac:dyDescent="0.25">
      <c r="A25" s="13" t="s">
        <v>135</v>
      </c>
      <c r="E25" s="22">
        <f>-M213</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136</v>
      </c>
      <c r="E26" s="25">
        <f>E24+E25</f>
        <v>0.67391316778957844</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141</v>
      </c>
      <c r="E29" s="18">
        <v>66473906.395000011</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143</v>
      </c>
      <c r="E30" s="29">
        <f>B61</f>
        <v>270499</v>
      </c>
      <c r="F30" s="13" t="s">
        <v>144</v>
      </c>
      <c r="H30" s="427"/>
      <c r="I30" s="428"/>
      <c r="J30" s="24"/>
      <c r="K30" s="67" t="s">
        <v>145</v>
      </c>
      <c r="L30" s="24"/>
      <c r="M30" s="26">
        <v>189743238.366</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146</v>
      </c>
      <c r="E31" s="22">
        <f>B102</f>
        <v>0</v>
      </c>
      <c r="F31" s="13" t="s">
        <v>144</v>
      </c>
      <c r="I31" s="24"/>
      <c r="J31" s="24"/>
      <c r="K31" s="67" t="s">
        <v>147</v>
      </c>
      <c r="L31" s="24"/>
      <c r="M31" s="26">
        <v>0.67391316778957844</v>
      </c>
      <c r="N31" s="27">
        <f>M31</f>
        <v>0.67391316778957844</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148</v>
      </c>
      <c r="E32" s="29">
        <f>B118</f>
        <v>0</v>
      </c>
      <c r="F32" s="13" t="s">
        <v>144</v>
      </c>
      <c r="G32" s="19"/>
      <c r="K32" s="67" t="s">
        <v>149</v>
      </c>
      <c r="L32" s="24"/>
      <c r="M32" s="26">
        <v>66473906.395000011</v>
      </c>
      <c r="N32" s="27"/>
      <c r="O32" s="24" t="s">
        <v>142</v>
      </c>
      <c r="P32" s="24"/>
      <c r="Q32" s="24"/>
      <c r="R32" s="68"/>
      <c r="AI32" s="1"/>
    </row>
    <row r="33" spans="1:47" ht="12.75" customHeight="1" x14ac:dyDescent="0.2">
      <c r="A33" s="13" t="s">
        <v>150</v>
      </c>
      <c r="E33" s="22">
        <f>+B67</f>
        <v>-65000</v>
      </c>
      <c r="F33" s="13" t="s">
        <v>144</v>
      </c>
      <c r="K33" s="67"/>
      <c r="L33" s="9"/>
      <c r="M33" s="27"/>
      <c r="N33" s="27"/>
      <c r="O33" s="24"/>
      <c r="P33" s="24"/>
      <c r="Q33" s="24"/>
      <c r="R33" s="68"/>
    </row>
    <row r="34" spans="1:47" ht="12.75" customHeight="1" x14ac:dyDescent="0.2">
      <c r="A34" s="13" t="s">
        <v>151</v>
      </c>
      <c r="E34" s="22">
        <f>B69</f>
        <v>0</v>
      </c>
      <c r="F34" s="13" t="s">
        <v>144</v>
      </c>
      <c r="K34" s="67" t="s">
        <v>152</v>
      </c>
      <c r="L34" s="24"/>
      <c r="M34" s="27">
        <f>B76</f>
        <v>-6733668</v>
      </c>
      <c r="N34" s="27">
        <f>B63</f>
        <v>0</v>
      </c>
      <c r="O34" s="24" t="s">
        <v>153</v>
      </c>
      <c r="P34" s="24"/>
      <c r="Q34" s="24"/>
      <c r="R34" s="68"/>
    </row>
    <row r="35" spans="1:47" ht="12.75" customHeight="1" x14ac:dyDescent="0.2">
      <c r="A35" s="13" t="s">
        <v>154</v>
      </c>
      <c r="E35" s="22">
        <f>F237</f>
        <v>0</v>
      </c>
      <c r="F35" s="13" t="s">
        <v>144</v>
      </c>
      <c r="K35" s="67"/>
      <c r="L35" s="24"/>
      <c r="M35" s="27"/>
      <c r="N35" s="27"/>
      <c r="O35" s="24"/>
      <c r="P35" s="24"/>
      <c r="Q35" s="24"/>
      <c r="R35" s="68"/>
    </row>
    <row r="36" spans="1:47" ht="12.75" customHeight="1" thickBot="1" x14ac:dyDescent="0.25">
      <c r="A36" s="17" t="s">
        <v>155</v>
      </c>
      <c r="E36" s="228">
        <f>SUM(E29:E35)</f>
        <v>66679405.395000011</v>
      </c>
      <c r="K36" s="67" t="s">
        <v>156</v>
      </c>
      <c r="L36" s="9"/>
      <c r="M36" s="27">
        <f>SUM(M30:M34)</f>
        <v>249483477.43491319</v>
      </c>
      <c r="N36" s="27">
        <f>SUM(N30:N34)</f>
        <v>0.67391316778957844</v>
      </c>
      <c r="O36" s="24"/>
      <c r="P36" s="24"/>
      <c r="Q36" s="24"/>
      <c r="R36" s="68"/>
    </row>
    <row r="37" spans="1:47" ht="12.75" customHeight="1" thickTop="1" x14ac:dyDescent="0.2">
      <c r="K37" s="206"/>
      <c r="L37" s="9"/>
      <c r="M37" s="9"/>
      <c r="N37" s="9"/>
      <c r="O37" s="24"/>
      <c r="P37" s="24"/>
      <c r="Q37" s="24"/>
      <c r="R37" s="68"/>
    </row>
    <row r="38" spans="1:47" ht="12.75" customHeight="1" thickBot="1" x14ac:dyDescent="0.3">
      <c r="A38" s="16" t="s">
        <v>157</v>
      </c>
      <c r="C38" s="20"/>
      <c r="E38" s="228">
        <f>+E36+E26+E19</f>
        <v>249483477.67491317</v>
      </c>
      <c r="K38" s="67"/>
      <c r="L38" s="207" t="s">
        <v>158</v>
      </c>
      <c r="M38" s="208">
        <f>M36-E38</f>
        <v>-0.23999997973442078</v>
      </c>
      <c r="N38" s="209">
        <f>+N36-E26</f>
        <v>0</v>
      </c>
      <c r="O38" s="24"/>
      <c r="P38" s="24"/>
      <c r="Q38" s="24"/>
      <c r="R38" s="68"/>
      <c r="AN38" s="1"/>
      <c r="AO38" s="1"/>
      <c r="AP38" s="1"/>
      <c r="AQ38" s="1"/>
      <c r="AR38" s="1"/>
      <c r="AS38" s="1"/>
    </row>
    <row r="39" spans="1:47" ht="12.75" customHeight="1" thickTop="1" thickBot="1" x14ac:dyDescent="0.25">
      <c r="K39" s="74"/>
      <c r="L39" s="131"/>
      <c r="M39" s="131"/>
      <c r="N39" s="133"/>
      <c r="O39" s="131"/>
      <c r="P39" s="131"/>
      <c r="Q39" s="131"/>
      <c r="R39" s="132"/>
      <c r="AJ39" s="1"/>
      <c r="AK39" s="1"/>
      <c r="AN39" s="1"/>
      <c r="AO39" s="1"/>
      <c r="AP39" s="1"/>
      <c r="AQ39" s="1"/>
      <c r="AR39" s="1"/>
      <c r="AS39" s="1"/>
    </row>
    <row r="40" spans="1:47" ht="12.75" customHeight="1" x14ac:dyDescent="0.2">
      <c r="K40" s="24"/>
      <c r="L40" s="24"/>
      <c r="M40" s="24"/>
      <c r="N40" s="24"/>
      <c r="O40" s="24"/>
      <c r="P40" s="24"/>
      <c r="AJ40" s="1"/>
      <c r="AK40" s="1"/>
      <c r="AN40" s="1"/>
      <c r="AO40" s="1"/>
      <c r="AP40" s="1"/>
      <c r="AQ40" s="1"/>
      <c r="AR40" s="1"/>
      <c r="AS40" s="1"/>
    </row>
    <row r="41" spans="1:47" ht="12.75" customHeight="1" x14ac:dyDescent="0.25">
      <c r="A41" s="56" t="s">
        <v>159</v>
      </c>
      <c r="B41" s="57"/>
      <c r="K41" s="1"/>
      <c r="L41" s="1"/>
      <c r="M41" s="43"/>
      <c r="N41" s="1"/>
      <c r="O41" s="1"/>
      <c r="P41" s="1"/>
      <c r="AJ41" s="1"/>
      <c r="AK41" s="1"/>
      <c r="AN41" s="1"/>
      <c r="AO41" s="1"/>
      <c r="AP41" s="1"/>
      <c r="AQ41" s="1"/>
      <c r="AR41" s="1"/>
      <c r="AS41" s="1"/>
    </row>
    <row r="42" spans="1:47" ht="12.75" customHeight="1" x14ac:dyDescent="0.2">
      <c r="B42" s="1"/>
      <c r="C42" s="19"/>
      <c r="AI42" s="106" t="s">
        <v>160</v>
      </c>
      <c r="AJ42" s="107"/>
      <c r="AK42" s="1"/>
      <c r="AN42" s="1"/>
      <c r="AO42" s="1"/>
      <c r="AP42" s="1"/>
      <c r="AQ42" s="1"/>
      <c r="AR42" s="1"/>
      <c r="AS42" s="1"/>
    </row>
    <row r="43" spans="1:47" ht="12.75" customHeight="1" x14ac:dyDescent="0.2">
      <c r="A43" s="30"/>
      <c r="B43" s="31" t="s">
        <v>161</v>
      </c>
      <c r="C43" s="32">
        <f t="shared" ref="C43:S43" si="2">SUM(C47:C76)-C61-C68-C69</f>
        <v>-2412664</v>
      </c>
      <c r="D43" s="32">
        <f t="shared" si="2"/>
        <v>845264</v>
      </c>
      <c r="E43" s="32">
        <f t="shared" si="2"/>
        <v>253711</v>
      </c>
      <c r="F43" s="32">
        <f t="shared" si="2"/>
        <v>0</v>
      </c>
      <c r="G43" s="32">
        <f t="shared" si="2"/>
        <v>0</v>
      </c>
      <c r="H43" s="32">
        <f>SUM(H47:H76)-H61-H68-H69</f>
        <v>222440</v>
      </c>
      <c r="I43" s="32">
        <f>SUM(I47:I76)-N61-I68-I69</f>
        <v>718752</v>
      </c>
      <c r="J43" s="32">
        <f t="shared" si="2"/>
        <v>-1100306</v>
      </c>
      <c r="K43" s="32">
        <f t="shared" si="2"/>
        <v>-300334</v>
      </c>
      <c r="L43" s="32">
        <f t="shared" si="2"/>
        <v>765710</v>
      </c>
      <c r="M43" s="32">
        <f t="shared" si="2"/>
        <v>0</v>
      </c>
      <c r="N43" s="32">
        <f t="shared" si="2"/>
        <v>0</v>
      </c>
      <c r="O43" s="32">
        <f t="shared" si="2"/>
        <v>-563146</v>
      </c>
      <c r="P43" s="32">
        <f t="shared" si="2"/>
        <v>-2110248</v>
      </c>
      <c r="Q43" s="32">
        <f t="shared" si="2"/>
        <v>1608656</v>
      </c>
      <c r="R43" s="32">
        <f t="shared" si="2"/>
        <v>-3219220</v>
      </c>
      <c r="S43" s="32">
        <f t="shared" si="2"/>
        <v>-1442283</v>
      </c>
      <c r="T43" s="32">
        <f t="shared" ref="T43:AG43" si="3">SUM(T47:T76)-T61-T68-T69</f>
        <v>0</v>
      </c>
      <c r="U43" s="32">
        <f t="shared" si="3"/>
        <v>0</v>
      </c>
      <c r="V43" s="32">
        <f t="shared" si="3"/>
        <v>0</v>
      </c>
      <c r="W43" s="32">
        <f>SUM(W47:W76)-Y61-W68-W69</f>
        <v>0</v>
      </c>
      <c r="X43" s="32">
        <f t="shared" si="3"/>
        <v>0</v>
      </c>
      <c r="Y43" s="32" t="e">
        <f>SUM(Y47:Y76)-#REF!-Y68-Y69</f>
        <v>#REF!</v>
      </c>
      <c r="Z43" s="32">
        <f t="shared" si="3"/>
        <v>0</v>
      </c>
      <c r="AA43" s="32">
        <f t="shared" si="3"/>
        <v>0</v>
      </c>
      <c r="AB43" s="32">
        <f>SUM(AB47:AB76)-AB60-AB68-AB69</f>
        <v>0</v>
      </c>
      <c r="AC43" s="32">
        <f t="shared" si="3"/>
        <v>0</v>
      </c>
      <c r="AD43" s="32">
        <f t="shared" si="3"/>
        <v>0</v>
      </c>
      <c r="AE43" s="32">
        <f>SUM(AE47:AE76)-AE60-AE68-AE69</f>
        <v>0</v>
      </c>
      <c r="AF43" s="32">
        <f t="shared" si="3"/>
        <v>0</v>
      </c>
      <c r="AG43" s="32">
        <f t="shared" si="3"/>
        <v>0</v>
      </c>
      <c r="AH43" s="1"/>
      <c r="AI43" s="108" t="s">
        <v>162</v>
      </c>
      <c r="AJ43" s="109" t="s">
        <v>163</v>
      </c>
      <c r="AK43" s="1"/>
      <c r="AL43" s="33"/>
      <c r="AN43" s="1"/>
      <c r="AO43" s="1"/>
      <c r="AP43" s="1"/>
      <c r="AQ43" s="1"/>
      <c r="AR43" s="1"/>
      <c r="AS43" s="1"/>
    </row>
    <row r="44" spans="1:47" s="99" customFormat="1" ht="15.75" customHeight="1" x14ac:dyDescent="0.25">
      <c r="A44" s="216" t="s">
        <v>164</v>
      </c>
      <c r="B44" s="116">
        <f>B4</f>
        <v>36831</v>
      </c>
      <c r="C44" s="104">
        <f>B44</f>
        <v>36831</v>
      </c>
      <c r="D44" s="104">
        <f t="shared" ref="D44:S44" si="4">C44+1</f>
        <v>36832</v>
      </c>
      <c r="E44" s="104">
        <f t="shared" si="4"/>
        <v>36833</v>
      </c>
      <c r="F44" s="104">
        <f t="shared" si="4"/>
        <v>36834</v>
      </c>
      <c r="G44" s="104">
        <f t="shared" si="4"/>
        <v>36835</v>
      </c>
      <c r="H44" s="104">
        <f t="shared" si="4"/>
        <v>36836</v>
      </c>
      <c r="I44" s="104">
        <f t="shared" si="4"/>
        <v>36837</v>
      </c>
      <c r="J44" s="104">
        <f t="shared" si="4"/>
        <v>36838</v>
      </c>
      <c r="K44" s="104">
        <f t="shared" si="4"/>
        <v>36839</v>
      </c>
      <c r="L44" s="104">
        <f t="shared" si="4"/>
        <v>36840</v>
      </c>
      <c r="M44" s="104">
        <f t="shared" si="4"/>
        <v>36841</v>
      </c>
      <c r="N44" s="104">
        <f t="shared" si="4"/>
        <v>36842</v>
      </c>
      <c r="O44" s="104">
        <f t="shared" si="4"/>
        <v>36843</v>
      </c>
      <c r="P44" s="104">
        <f t="shared" si="4"/>
        <v>36844</v>
      </c>
      <c r="Q44" s="104">
        <f t="shared" si="4"/>
        <v>36845</v>
      </c>
      <c r="R44" s="104">
        <f t="shared" si="4"/>
        <v>36846</v>
      </c>
      <c r="S44" s="104">
        <f t="shared" si="4"/>
        <v>36847</v>
      </c>
      <c r="T44" s="104">
        <f t="shared" ref="T44:AG44" si="5">S44+1</f>
        <v>36848</v>
      </c>
      <c r="U44" s="104">
        <f t="shared" si="5"/>
        <v>36849</v>
      </c>
      <c r="V44" s="104">
        <f t="shared" si="5"/>
        <v>36850</v>
      </c>
      <c r="W44" s="104">
        <f t="shared" si="5"/>
        <v>36851</v>
      </c>
      <c r="X44" s="104">
        <f t="shared" si="5"/>
        <v>36852</v>
      </c>
      <c r="Y44" s="104">
        <f t="shared" si="5"/>
        <v>36853</v>
      </c>
      <c r="Z44" s="104">
        <f t="shared" si="5"/>
        <v>36854</v>
      </c>
      <c r="AA44" s="104">
        <f t="shared" si="5"/>
        <v>36855</v>
      </c>
      <c r="AB44" s="104">
        <f t="shared" si="5"/>
        <v>36856</v>
      </c>
      <c r="AC44" s="104">
        <f t="shared" si="5"/>
        <v>36857</v>
      </c>
      <c r="AD44" s="104">
        <f t="shared" si="5"/>
        <v>36858</v>
      </c>
      <c r="AE44" s="104">
        <f t="shared" si="5"/>
        <v>36859</v>
      </c>
      <c r="AF44" s="104">
        <f t="shared" si="5"/>
        <v>36860</v>
      </c>
      <c r="AG44" s="104">
        <f t="shared" si="5"/>
        <v>36861</v>
      </c>
      <c r="AI44" s="110">
        <v>1</v>
      </c>
      <c r="AJ44" s="111" t="s">
        <v>165</v>
      </c>
      <c r="AL44" s="100"/>
    </row>
    <row r="45" spans="1:47" ht="12.75" customHeight="1" x14ac:dyDescent="0.25">
      <c r="A45" s="34"/>
      <c r="B45" s="34"/>
      <c r="C45" s="105" t="str">
        <f>LOOKUP((WEEKDAY(C44,1)),$AI$44:$AI$50,$AJ$44:$AJ$50)</f>
        <v>W</v>
      </c>
      <c r="D45" s="105" t="str">
        <f>LOOKUP((WEEKDAY(D44,1)),$AI$44:$AI$50,$AJ$44:$AJ$50)</f>
        <v>R</v>
      </c>
      <c r="E45" s="105" t="str">
        <f t="shared" ref="E45:S45" si="6">LOOKUP((WEEKDAY(E44,1)),$AI$44:$AI$50,$AJ$44:$AJ$50)</f>
        <v>F</v>
      </c>
      <c r="F45" s="105" t="str">
        <f t="shared" si="6"/>
        <v>S</v>
      </c>
      <c r="G45" s="105" t="str">
        <f t="shared" si="6"/>
        <v>S</v>
      </c>
      <c r="H45" s="105" t="str">
        <f t="shared" si="6"/>
        <v>M</v>
      </c>
      <c r="I45" s="105" t="str">
        <f t="shared" si="6"/>
        <v>T</v>
      </c>
      <c r="J45" s="105" t="str">
        <f t="shared" si="6"/>
        <v>W</v>
      </c>
      <c r="K45" s="105" t="str">
        <f t="shared" si="6"/>
        <v>R</v>
      </c>
      <c r="L45" s="105" t="str">
        <f t="shared" si="6"/>
        <v>F</v>
      </c>
      <c r="M45" s="105" t="str">
        <f t="shared" si="6"/>
        <v>S</v>
      </c>
      <c r="N45" s="105" t="str">
        <f t="shared" si="6"/>
        <v>S</v>
      </c>
      <c r="O45" s="105" t="str">
        <f t="shared" si="6"/>
        <v>M</v>
      </c>
      <c r="P45" s="105" t="str">
        <f t="shared" si="6"/>
        <v>T</v>
      </c>
      <c r="Q45" s="105" t="str">
        <f t="shared" si="6"/>
        <v>W</v>
      </c>
      <c r="R45" s="105" t="str">
        <f t="shared" si="6"/>
        <v>R</v>
      </c>
      <c r="S45" s="105" t="str">
        <f t="shared" si="6"/>
        <v>F</v>
      </c>
      <c r="T45" s="105" t="str">
        <f t="shared" ref="T45:AG45" si="7">LOOKUP((WEEKDAY(T44,1)),$AI$44:$AI$50,$AJ$44:$AJ$50)</f>
        <v>S</v>
      </c>
      <c r="U45" s="105" t="str">
        <f t="shared" si="7"/>
        <v>S</v>
      </c>
      <c r="V45" s="105" t="str">
        <f t="shared" si="7"/>
        <v>M</v>
      </c>
      <c r="W45" s="105" t="str">
        <f t="shared" si="7"/>
        <v>T</v>
      </c>
      <c r="X45" s="105" t="str">
        <f t="shared" si="7"/>
        <v>W</v>
      </c>
      <c r="Y45" s="105" t="str">
        <f t="shared" si="7"/>
        <v>R</v>
      </c>
      <c r="Z45" s="105" t="str">
        <f t="shared" si="7"/>
        <v>F</v>
      </c>
      <c r="AA45" s="105" t="str">
        <f t="shared" si="7"/>
        <v>S</v>
      </c>
      <c r="AB45" s="105" t="str">
        <f t="shared" si="7"/>
        <v>S</v>
      </c>
      <c r="AC45" s="105" t="str">
        <f t="shared" si="7"/>
        <v>M</v>
      </c>
      <c r="AD45" s="105" t="str">
        <f t="shared" si="7"/>
        <v>T</v>
      </c>
      <c r="AE45" s="105" t="str">
        <f t="shared" si="7"/>
        <v>W</v>
      </c>
      <c r="AF45" s="105" t="str">
        <f t="shared" si="7"/>
        <v>R</v>
      </c>
      <c r="AG45" s="105" t="str">
        <f t="shared" si="7"/>
        <v>F</v>
      </c>
      <c r="AH45" s="1"/>
      <c r="AI45" s="112">
        <v>2</v>
      </c>
      <c r="AJ45" s="113" t="s">
        <v>166</v>
      </c>
      <c r="AK45" s="1"/>
      <c r="AL45" s="24"/>
      <c r="AN45" s="1"/>
      <c r="AO45" s="1"/>
      <c r="AP45" s="1"/>
      <c r="AQ45" s="1"/>
      <c r="AR45" s="1"/>
      <c r="AS45" s="1"/>
    </row>
    <row r="46" spans="1:47" ht="12.75" customHeight="1" thickBot="1" x14ac:dyDescent="0.25">
      <c r="A46" s="217"/>
      <c r="B46" s="35" t="s">
        <v>167</v>
      </c>
      <c r="C46" s="824"/>
      <c r="D46" s="438"/>
      <c r="E46" s="280"/>
      <c r="F46" s="280"/>
      <c r="G46" s="280"/>
      <c r="H46" s="280"/>
      <c r="I46" s="280"/>
      <c r="J46" s="280"/>
      <c r="K46" s="280"/>
      <c r="L46" s="280"/>
      <c r="M46" s="280"/>
      <c r="N46" s="280"/>
      <c r="O46" s="280"/>
      <c r="P46" s="280"/>
      <c r="Q46" s="280"/>
      <c r="R46" s="280"/>
      <c r="S46" s="280"/>
      <c r="T46" s="824"/>
      <c r="U46" s="280"/>
      <c r="V46" s="280"/>
      <c r="W46" s="280"/>
      <c r="X46" s="280"/>
      <c r="Y46" s="280"/>
      <c r="Z46" s="365"/>
      <c r="AA46" s="280"/>
      <c r="AB46" s="280"/>
      <c r="AC46" s="365"/>
      <c r="AD46" s="280"/>
      <c r="AE46" s="365"/>
      <c r="AF46" s="280"/>
      <c r="AG46" s="365"/>
      <c r="AH46" s="1"/>
      <c r="AI46" s="112">
        <v>3</v>
      </c>
      <c r="AJ46" s="113" t="s">
        <v>168</v>
      </c>
      <c r="AK46" s="1"/>
      <c r="AL46" s="24"/>
      <c r="AN46" s="1"/>
      <c r="AO46" s="1"/>
      <c r="AP46" s="1"/>
      <c r="AQ46" s="1"/>
      <c r="AR46" s="1"/>
      <c r="AS46" s="1"/>
    </row>
    <row r="47" spans="1:47" ht="12.75" customHeight="1" thickTop="1" x14ac:dyDescent="0.2">
      <c r="A47" s="22" t="s">
        <v>169</v>
      </c>
      <c r="B47" s="39">
        <f t="shared" ref="B47:B52" si="8">SUM(C47:AG47)</f>
        <v>3006870</v>
      </c>
      <c r="C47" s="45">
        <f>280381-1630020</f>
        <v>-1349639</v>
      </c>
      <c r="D47" s="20">
        <f>132230+64633</f>
        <v>196863</v>
      </c>
      <c r="E47" s="20">
        <f>-28052-35237</f>
        <v>-63289</v>
      </c>
      <c r="G47" s="20"/>
      <c r="H47" s="20">
        <f>-19657+80140</f>
        <v>60483</v>
      </c>
      <c r="I47" s="20">
        <v>798534</v>
      </c>
      <c r="J47" s="20">
        <v>756249</v>
      </c>
      <c r="K47" s="20">
        <v>236639</v>
      </c>
      <c r="L47" s="20">
        <v>-30013</v>
      </c>
      <c r="M47" s="20"/>
      <c r="N47" s="20"/>
      <c r="O47" s="20">
        <v>983468</v>
      </c>
      <c r="P47" s="20">
        <v>2349054</v>
      </c>
      <c r="Q47" s="20">
        <v>659451</v>
      </c>
      <c r="R47" s="20">
        <v>-2623412</v>
      </c>
      <c r="S47" s="20">
        <v>1032482</v>
      </c>
      <c r="T47" s="45"/>
      <c r="U47" s="20"/>
      <c r="V47" s="20"/>
      <c r="X47" s="20"/>
      <c r="Y47" s="20"/>
      <c r="Z47" s="20"/>
      <c r="AA47" s="20"/>
      <c r="AB47" s="20"/>
      <c r="AC47" s="20"/>
      <c r="AD47" s="20"/>
      <c r="AE47" s="20"/>
      <c r="AF47" s="20"/>
      <c r="AG47" s="20"/>
      <c r="AH47" s="1"/>
      <c r="AI47" s="112">
        <v>4</v>
      </c>
      <c r="AJ47" s="113" t="s">
        <v>170</v>
      </c>
      <c r="AK47" s="1"/>
      <c r="AL47" s="41"/>
      <c r="AM47" s="42"/>
      <c r="AN47" s="43"/>
      <c r="AO47" s="1"/>
      <c r="AP47" s="1"/>
      <c r="AQ47" s="1"/>
      <c r="AR47" s="1"/>
      <c r="AS47" s="1"/>
    </row>
    <row r="48" spans="1:47" ht="12.75" customHeight="1" x14ac:dyDescent="0.2">
      <c r="A48" s="44" t="s">
        <v>171</v>
      </c>
      <c r="B48" s="39">
        <f t="shared" si="8"/>
        <v>-11829833</v>
      </c>
      <c r="C48" s="45">
        <v>-1030640</v>
      </c>
      <c r="D48" s="20">
        <v>220044</v>
      </c>
      <c r="E48" s="20">
        <v>158617</v>
      </c>
      <c r="F48" s="20"/>
      <c r="G48" s="20"/>
      <c r="H48" s="20">
        <v>378831</v>
      </c>
      <c r="I48" s="20">
        <v>-440456</v>
      </c>
      <c r="J48" s="20">
        <v>-1364183</v>
      </c>
      <c r="K48" s="20">
        <v>-867092</v>
      </c>
      <c r="L48" s="20">
        <v>290069</v>
      </c>
      <c r="M48" s="20"/>
      <c r="N48" s="20"/>
      <c r="O48" s="20">
        <v>-1632330</v>
      </c>
      <c r="P48" s="20">
        <f>-4717350-142508</f>
        <v>-4859858</v>
      </c>
      <c r="Q48" s="20">
        <v>1005747</v>
      </c>
      <c r="R48" s="20">
        <v>-438493</v>
      </c>
      <c r="S48" s="20">
        <v>-3250089</v>
      </c>
      <c r="T48" s="45"/>
      <c r="U48" s="20"/>
      <c r="V48" s="20"/>
      <c r="X48" s="20"/>
      <c r="Y48" s="20"/>
      <c r="Z48" s="20"/>
      <c r="AA48" s="20"/>
      <c r="AB48" s="20"/>
      <c r="AC48" s="20"/>
      <c r="AD48" s="20"/>
      <c r="AE48" s="20"/>
      <c r="AF48" s="20"/>
      <c r="AG48" s="20"/>
      <c r="AH48" s="1"/>
      <c r="AI48" s="112">
        <v>5</v>
      </c>
      <c r="AJ48" s="113" t="s">
        <v>172</v>
      </c>
      <c r="AK48" s="1"/>
      <c r="AL48" s="41"/>
      <c r="AM48" s="45"/>
      <c r="AN48" s="47"/>
      <c r="AO48" s="41"/>
      <c r="AP48" s="41"/>
      <c r="AQ48" s="41"/>
      <c r="AR48" s="41"/>
      <c r="AS48" s="41"/>
      <c r="AT48" s="46"/>
      <c r="AU48" s="46"/>
    </row>
    <row r="49" spans="1:50" ht="12.75" hidden="1" customHeight="1" x14ac:dyDescent="0.2">
      <c r="A49" s="44" t="s">
        <v>173</v>
      </c>
      <c r="B49" s="39">
        <f t="shared" si="8"/>
        <v>0</v>
      </c>
      <c r="C49" s="45"/>
      <c r="D49" s="20"/>
      <c r="E49" s="20"/>
      <c r="F49" s="20"/>
      <c r="G49" s="20"/>
      <c r="H49" s="20"/>
      <c r="I49" s="20"/>
      <c r="J49" s="20"/>
      <c r="K49" s="20"/>
      <c r="L49" s="20"/>
      <c r="M49" s="20"/>
      <c r="N49" s="20"/>
      <c r="O49" s="20"/>
      <c r="P49" s="20"/>
      <c r="Q49" s="20"/>
      <c r="R49" s="20"/>
      <c r="S49" s="20"/>
      <c r="T49" s="45"/>
      <c r="U49" s="20"/>
      <c r="V49" s="20"/>
      <c r="X49" s="20"/>
      <c r="Y49" s="20"/>
      <c r="Z49" s="20"/>
      <c r="AA49" s="20"/>
      <c r="AB49" s="20"/>
      <c r="AC49" s="20"/>
      <c r="AD49" s="20"/>
      <c r="AE49" s="20"/>
      <c r="AF49" s="20"/>
      <c r="AG49" s="20"/>
      <c r="AH49" s="1"/>
      <c r="AI49" s="112">
        <v>6</v>
      </c>
      <c r="AJ49" s="113" t="s">
        <v>174</v>
      </c>
      <c r="AK49" s="1"/>
      <c r="AL49" s="41"/>
      <c r="AM49" s="45"/>
      <c r="AN49" s="47"/>
      <c r="AO49" s="41"/>
      <c r="AP49" s="41"/>
      <c r="AQ49" s="41"/>
      <c r="AR49" s="41"/>
      <c r="AS49" s="41"/>
      <c r="AT49" s="46"/>
      <c r="AU49" s="46"/>
    </row>
    <row r="50" spans="1:50" ht="12.75" hidden="1" customHeight="1" x14ac:dyDescent="0.2">
      <c r="A50" s="44" t="s">
        <v>175</v>
      </c>
      <c r="B50" s="39">
        <f t="shared" si="8"/>
        <v>0</v>
      </c>
      <c r="C50" s="45"/>
      <c r="D50" s="20"/>
      <c r="E50" s="20"/>
      <c r="F50" s="20"/>
      <c r="G50" s="20"/>
      <c r="H50" s="20"/>
      <c r="I50" s="20"/>
      <c r="J50" s="20"/>
      <c r="K50" s="20"/>
      <c r="L50" s="20"/>
      <c r="M50" s="20"/>
      <c r="N50" s="20"/>
      <c r="O50" s="20"/>
      <c r="P50" s="20"/>
      <c r="Q50" s="20"/>
      <c r="R50" s="20"/>
      <c r="S50" s="20"/>
      <c r="T50" s="45"/>
      <c r="U50" s="20"/>
      <c r="V50" s="20"/>
      <c r="X50" s="20"/>
      <c r="Y50" s="20"/>
      <c r="Z50" s="20"/>
      <c r="AA50" s="20"/>
      <c r="AB50" s="20"/>
      <c r="AC50" s="20"/>
      <c r="AD50" s="20"/>
      <c r="AE50" s="20"/>
      <c r="AF50" s="20"/>
      <c r="AG50" s="20"/>
      <c r="AH50" s="1"/>
      <c r="AI50" s="114">
        <v>7</v>
      </c>
      <c r="AJ50" s="115" t="s">
        <v>165</v>
      </c>
      <c r="AK50" s="1"/>
      <c r="AL50" s="48"/>
      <c r="AM50" s="48"/>
      <c r="AN50" s="47"/>
      <c r="AO50" s="41"/>
      <c r="AP50" s="41"/>
      <c r="AQ50" s="41"/>
      <c r="AR50" s="41"/>
      <c r="AS50" s="41"/>
      <c r="AT50" s="46"/>
      <c r="AU50" s="46"/>
    </row>
    <row r="51" spans="1:50" ht="12.75" customHeight="1" x14ac:dyDescent="0.2">
      <c r="A51" s="44" t="s">
        <v>176</v>
      </c>
      <c r="B51" s="39">
        <f>SUM(C51:AG51)+'Price - East '!B51</f>
        <v>-1643671</v>
      </c>
      <c r="C51" s="45">
        <v>192737</v>
      </c>
      <c r="D51" s="45">
        <v>-243371</v>
      </c>
      <c r="E51" s="45">
        <v>-866583</v>
      </c>
      <c r="F51" s="20"/>
      <c r="G51" s="20"/>
      <c r="H51" s="20">
        <v>-229422</v>
      </c>
      <c r="I51" s="20">
        <v>-370132</v>
      </c>
      <c r="J51" s="20">
        <v>770</v>
      </c>
      <c r="K51" s="20">
        <v>-190882</v>
      </c>
      <c r="L51" s="20">
        <v>-556003</v>
      </c>
      <c r="M51" s="20"/>
      <c r="N51" s="20"/>
      <c r="O51" s="20">
        <v>478426</v>
      </c>
      <c r="P51" s="20">
        <v>-51714</v>
      </c>
      <c r="Q51" s="20">
        <v>539765</v>
      </c>
      <c r="R51" s="20">
        <v>-121909</v>
      </c>
      <c r="S51" s="20">
        <v>-225353</v>
      </c>
      <c r="T51" s="45"/>
      <c r="U51" s="20"/>
      <c r="V51" s="20"/>
      <c r="X51" s="20"/>
      <c r="Y51" s="20"/>
      <c r="Z51" s="20"/>
      <c r="AA51" s="20"/>
      <c r="AB51" s="20"/>
      <c r="AC51" s="20"/>
      <c r="AD51" s="20"/>
      <c r="AE51" s="20"/>
      <c r="AF51" s="20"/>
      <c r="AG51" s="20"/>
      <c r="AH51" s="1"/>
      <c r="AI51" s="46"/>
      <c r="AJ51" s="1"/>
      <c r="AK51" s="1"/>
      <c r="AL51" s="48"/>
      <c r="AM51" s="42"/>
      <c r="AN51" s="43"/>
      <c r="AO51" s="1"/>
      <c r="AP51" s="1"/>
      <c r="AQ51" s="1"/>
      <c r="AR51" s="1"/>
      <c r="AS51" s="1"/>
    </row>
    <row r="52" spans="1:50" ht="12.75" hidden="1" customHeight="1" x14ac:dyDescent="0.2">
      <c r="A52" s="44" t="s">
        <v>177</v>
      </c>
      <c r="B52" s="39">
        <f t="shared" si="8"/>
        <v>0</v>
      </c>
      <c r="C52" s="45"/>
      <c r="D52" s="20"/>
      <c r="E52" s="20"/>
      <c r="F52" s="20"/>
      <c r="G52" s="20"/>
      <c r="H52" s="20"/>
      <c r="I52" s="20"/>
      <c r="J52" s="20"/>
      <c r="K52" s="20"/>
      <c r="L52" s="20"/>
      <c r="M52" s="20"/>
      <c r="N52" s="20"/>
      <c r="O52" s="20"/>
      <c r="P52" s="20"/>
      <c r="Q52" s="20"/>
      <c r="R52" s="20"/>
      <c r="S52" s="20"/>
      <c r="T52" s="45"/>
      <c r="U52" s="20"/>
      <c r="V52" s="20"/>
      <c r="X52" s="20"/>
      <c r="Y52" s="20"/>
      <c r="Z52" s="20"/>
      <c r="AA52" s="20"/>
      <c r="AB52" s="20"/>
      <c r="AC52" s="20"/>
      <c r="AD52" s="20"/>
      <c r="AE52" s="20"/>
      <c r="AF52" s="20"/>
      <c r="AG52" s="20"/>
      <c r="AH52" s="1"/>
      <c r="AI52" s="46"/>
      <c r="AJ52" s="1"/>
      <c r="AK52" s="1"/>
      <c r="AL52" s="48"/>
      <c r="AM52" s="42"/>
      <c r="AN52" s="43"/>
      <c r="AO52" s="1"/>
      <c r="AP52" s="1"/>
      <c r="AQ52" s="1"/>
      <c r="AR52" s="1"/>
      <c r="AS52" s="1"/>
    </row>
    <row r="53" spans="1:50" ht="12.75" customHeight="1" x14ac:dyDescent="0.2">
      <c r="A53" s="22" t="s">
        <v>178</v>
      </c>
      <c r="B53" s="39">
        <f t="shared" ref="B53:B63" si="9">SUM(C53:AG53)</f>
        <v>814175</v>
      </c>
      <c r="C53" s="45">
        <f>-171499+142626</f>
        <v>-28873</v>
      </c>
      <c r="D53" s="20">
        <f>435122+30876</f>
        <v>465998</v>
      </c>
      <c r="E53" s="20">
        <f>54006-2512</f>
        <v>51494</v>
      </c>
      <c r="F53" s="20"/>
      <c r="G53" s="20"/>
      <c r="H53" s="20">
        <v>-229264</v>
      </c>
      <c r="I53" s="20">
        <f>277870-38538-3335</f>
        <v>235997</v>
      </c>
      <c r="J53" s="20">
        <f>-7711-6558-42440-14008</f>
        <v>-70717</v>
      </c>
      <c r="K53" s="20">
        <f>-147599+275989-50206+73</f>
        <v>78257</v>
      </c>
      <c r="L53" s="20">
        <f>129911+300+126863</f>
        <v>257074</v>
      </c>
      <c r="M53" s="20"/>
      <c r="N53" s="20"/>
      <c r="O53" s="20">
        <v>87531</v>
      </c>
      <c r="P53" s="20">
        <f>-65345+16598</f>
        <v>-48747</v>
      </c>
      <c r="Q53" s="20">
        <f>2881-69876</f>
        <v>-66995</v>
      </c>
      <c r="R53" s="20">
        <f>-683208-153601</f>
        <v>-836809</v>
      </c>
      <c r="S53" s="20">
        <f>920404-1175</f>
        <v>919229</v>
      </c>
      <c r="T53" s="45"/>
      <c r="U53" s="20"/>
      <c r="V53" s="20"/>
      <c r="X53" s="20"/>
      <c r="Y53" s="20"/>
      <c r="Z53" s="20"/>
      <c r="AA53" s="20"/>
      <c r="AB53" s="20"/>
      <c r="AC53" s="20"/>
      <c r="AD53" s="20"/>
      <c r="AE53" s="20"/>
      <c r="AF53" s="20"/>
      <c r="AG53" s="20"/>
      <c r="AH53" s="1"/>
      <c r="AJ53" s="1"/>
      <c r="AK53" s="1"/>
      <c r="AL53" s="41"/>
      <c r="AM53" s="42"/>
      <c r="AN53" s="43"/>
      <c r="AO53" s="1"/>
      <c r="AP53" s="1"/>
      <c r="AQ53" s="1"/>
      <c r="AR53" s="1"/>
      <c r="AS53" s="1"/>
    </row>
    <row r="54" spans="1:50" ht="12.75" customHeight="1" x14ac:dyDescent="0.2">
      <c r="A54" s="22" t="s">
        <v>179</v>
      </c>
      <c r="B54" s="39">
        <f t="shared" si="9"/>
        <v>820982</v>
      </c>
      <c r="C54" s="45">
        <v>-431352</v>
      </c>
      <c r="D54" s="20">
        <v>171985</v>
      </c>
      <c r="E54" s="45">
        <v>1013735</v>
      </c>
      <c r="F54" s="20"/>
      <c r="G54" s="20"/>
      <c r="H54" s="20">
        <v>324552</v>
      </c>
      <c r="I54" s="20">
        <v>294002</v>
      </c>
      <c r="J54" s="20">
        <v>-307232</v>
      </c>
      <c r="K54" s="20">
        <v>79332</v>
      </c>
      <c r="L54" s="20">
        <v>629367</v>
      </c>
      <c r="M54" s="20"/>
      <c r="N54" s="20"/>
      <c r="O54" s="20">
        <v>-600775</v>
      </c>
      <c r="P54" s="20">
        <v>150029</v>
      </c>
      <c r="Q54" s="20">
        <v>-806187</v>
      </c>
      <c r="R54" s="20">
        <v>137672</v>
      </c>
      <c r="S54" s="20">
        <v>165854</v>
      </c>
      <c r="T54" s="20"/>
      <c r="U54" s="20"/>
      <c r="V54" s="20"/>
      <c r="X54" s="20"/>
      <c r="Y54" s="20"/>
      <c r="Z54" s="20"/>
      <c r="AA54" s="20"/>
      <c r="AB54" s="20"/>
      <c r="AC54" s="20"/>
      <c r="AD54" s="20"/>
      <c r="AE54" s="20"/>
      <c r="AF54" s="20"/>
      <c r="AH54" s="1"/>
      <c r="AJ54" s="1"/>
      <c r="AK54" s="1"/>
      <c r="AL54" s="41"/>
      <c r="AM54" s="42"/>
      <c r="AN54" s="43"/>
      <c r="AO54" s="1"/>
      <c r="AP54" s="1"/>
      <c r="AQ54" s="1"/>
      <c r="AR54" s="1"/>
      <c r="AS54" s="1"/>
    </row>
    <row r="55" spans="1:50" ht="12.75" customHeight="1" x14ac:dyDescent="0.2">
      <c r="A55" s="22" t="s">
        <v>180</v>
      </c>
      <c r="B55" s="39">
        <f t="shared" si="9"/>
        <v>-5822</v>
      </c>
      <c r="C55" s="45">
        <v>-4675</v>
      </c>
      <c r="D55" s="20">
        <v>-877</v>
      </c>
      <c r="E55" s="20">
        <v>-1762</v>
      </c>
      <c r="F55" s="20"/>
      <c r="G55" s="20"/>
      <c r="H55" s="20">
        <v>-204</v>
      </c>
      <c r="I55" s="20">
        <v>-3418</v>
      </c>
      <c r="J55" s="20">
        <v>-2093</v>
      </c>
      <c r="K55" s="20">
        <v>-52</v>
      </c>
      <c r="L55" s="20">
        <v>-242</v>
      </c>
      <c r="M55" s="20"/>
      <c r="N55" s="20"/>
      <c r="O55" s="20">
        <v>-474</v>
      </c>
      <c r="P55" s="20">
        <v>-1154</v>
      </c>
      <c r="Q55" s="20">
        <v>-533</v>
      </c>
      <c r="R55" s="20">
        <v>-2202</v>
      </c>
      <c r="S55" s="20">
        <f>-882+12746</f>
        <v>11864</v>
      </c>
      <c r="T55" s="45"/>
      <c r="U55" s="20"/>
      <c r="V55" s="20"/>
      <c r="X55" s="20"/>
      <c r="Y55" s="20"/>
      <c r="Z55" s="20"/>
      <c r="AA55" s="20"/>
      <c r="AB55" s="20"/>
      <c r="AC55" s="20"/>
      <c r="AD55" s="20"/>
      <c r="AE55" s="20"/>
      <c r="AF55" s="20"/>
      <c r="AG55" s="20"/>
      <c r="AH55" s="1"/>
      <c r="AJ55" s="1"/>
      <c r="AK55" s="1"/>
      <c r="AL55" s="41"/>
      <c r="AM55" s="42"/>
      <c r="AN55" s="43"/>
      <c r="AO55" s="1"/>
      <c r="AP55" s="1"/>
      <c r="AQ55" s="1"/>
      <c r="AR55" s="1"/>
      <c r="AS55" s="1"/>
    </row>
    <row r="56" spans="1:50" ht="12.75" customHeight="1" x14ac:dyDescent="0.2">
      <c r="A56" s="22" t="s">
        <v>181</v>
      </c>
      <c r="B56" s="39">
        <f>SUM(C56:AG56)</f>
        <v>-42160</v>
      </c>
      <c r="C56" s="45">
        <v>-12185</v>
      </c>
      <c r="D56" s="20">
        <v>-4375</v>
      </c>
      <c r="E56" s="20">
        <v>-3834</v>
      </c>
      <c r="F56" s="20"/>
      <c r="G56" s="20"/>
      <c r="H56" s="20"/>
      <c r="I56" s="20">
        <v>-7186</v>
      </c>
      <c r="J56" s="20">
        <v>2698</v>
      </c>
      <c r="K56" s="20">
        <v>948</v>
      </c>
      <c r="L56" s="20"/>
      <c r="M56" s="20"/>
      <c r="N56" s="20"/>
      <c r="O56" s="20">
        <v>-4340</v>
      </c>
      <c r="P56" s="20">
        <v>-4464</v>
      </c>
      <c r="Q56" s="20">
        <v>-744</v>
      </c>
      <c r="R56" s="20"/>
      <c r="S56" s="20">
        <v>-8678</v>
      </c>
      <c r="T56" s="45"/>
      <c r="U56" s="20"/>
      <c r="V56" s="20"/>
      <c r="X56" s="20"/>
      <c r="Y56" s="20"/>
      <c r="Z56" s="20"/>
      <c r="AA56" s="20"/>
      <c r="AB56" s="20"/>
      <c r="AC56" s="20"/>
      <c r="AD56" s="20"/>
      <c r="AE56" s="20"/>
      <c r="AF56" s="20"/>
      <c r="AG56" s="20"/>
      <c r="AH56" s="1"/>
      <c r="AI56" s="46"/>
      <c r="AJ56" s="1"/>
      <c r="AK56" s="1"/>
      <c r="AL56" s="41"/>
      <c r="AM56" s="42"/>
      <c r="AN56" s="43"/>
      <c r="AO56" s="1"/>
      <c r="AP56" s="1"/>
      <c r="AQ56" s="1"/>
      <c r="AR56" s="1"/>
      <c r="AS56" s="1"/>
    </row>
    <row r="57" spans="1:50" ht="12.75" customHeight="1" x14ac:dyDescent="0.2">
      <c r="A57" s="44" t="s">
        <v>182</v>
      </c>
      <c r="B57" s="39">
        <f t="shared" si="9"/>
        <v>22364</v>
      </c>
      <c r="C57" s="45">
        <v>2513</v>
      </c>
      <c r="D57" s="20">
        <v>1983</v>
      </c>
      <c r="E57" s="20">
        <v>1837</v>
      </c>
      <c r="F57" s="20"/>
      <c r="G57" s="20"/>
      <c r="H57" s="20">
        <v>4748</v>
      </c>
      <c r="I57" s="20">
        <v>1634</v>
      </c>
      <c r="J57" s="20">
        <v>1371</v>
      </c>
      <c r="K57" s="20">
        <v>1015</v>
      </c>
      <c r="L57" s="20">
        <v>939</v>
      </c>
      <c r="M57" s="20"/>
      <c r="N57" s="20"/>
      <c r="O57" s="20">
        <v>2925</v>
      </c>
      <c r="P57" s="20">
        <v>915</v>
      </c>
      <c r="Q57" s="20">
        <v>814</v>
      </c>
      <c r="R57" s="20">
        <v>697</v>
      </c>
      <c r="S57" s="20">
        <v>973</v>
      </c>
      <c r="T57" s="45"/>
      <c r="U57" s="20"/>
      <c r="V57" s="20"/>
      <c r="X57" s="20"/>
      <c r="Y57" s="20"/>
      <c r="Z57" s="20"/>
      <c r="AA57" s="20"/>
      <c r="AB57" s="20"/>
      <c r="AC57" s="20"/>
      <c r="AD57" s="20"/>
      <c r="AE57" s="20"/>
      <c r="AF57" s="20"/>
      <c r="AG57" s="20"/>
      <c r="AH57" s="1"/>
      <c r="AI57" s="46"/>
      <c r="AJ57" s="1"/>
      <c r="AK57" s="1"/>
      <c r="AL57" s="41"/>
      <c r="AM57" s="42"/>
      <c r="AN57" s="43"/>
      <c r="AO57" s="1"/>
      <c r="AP57" s="1"/>
      <c r="AQ57" s="1"/>
      <c r="AR57" s="1"/>
      <c r="AS57" s="1"/>
    </row>
    <row r="58" spans="1:50" ht="12.75" customHeight="1" x14ac:dyDescent="0.2">
      <c r="A58" s="44" t="s">
        <v>183</v>
      </c>
      <c r="B58" s="39">
        <f>SUM(C58:AG58)+'Price - East '!B58</f>
        <v>820410</v>
      </c>
      <c r="C58" s="45">
        <v>183038</v>
      </c>
      <c r="D58" s="20">
        <v>-9565</v>
      </c>
      <c r="E58" s="20">
        <v>-131412</v>
      </c>
      <c r="F58" s="20"/>
      <c r="G58" s="20"/>
      <c r="H58" s="20">
        <v>-185081</v>
      </c>
      <c r="I58" s="20">
        <v>50100</v>
      </c>
      <c r="J58" s="20">
        <v>-248948</v>
      </c>
      <c r="K58" s="20">
        <v>281715</v>
      </c>
      <c r="L58" s="20">
        <v>100997</v>
      </c>
      <c r="M58" s="20"/>
      <c r="N58" s="20"/>
      <c r="O58" s="20">
        <v>2912</v>
      </c>
      <c r="P58" s="20">
        <v>257515</v>
      </c>
      <c r="Q58" s="20">
        <v>178641</v>
      </c>
      <c r="R58" s="20">
        <v>429470</v>
      </c>
      <c r="S58" s="20">
        <v>-88972</v>
      </c>
      <c r="T58" s="45"/>
      <c r="U58" s="20"/>
      <c r="V58" s="20"/>
      <c r="X58" s="20"/>
      <c r="Y58" s="20"/>
      <c r="Z58" s="20"/>
      <c r="AA58" s="20"/>
      <c r="AB58" s="20"/>
      <c r="AC58" s="20"/>
      <c r="AD58" s="20"/>
      <c r="AE58" s="20"/>
      <c r="AF58" s="20"/>
      <c r="AG58" s="20"/>
      <c r="AH58" s="1"/>
      <c r="AI58" s="46"/>
      <c r="AJ58" s="1"/>
      <c r="AK58" s="1"/>
      <c r="AL58" s="41"/>
      <c r="AM58" s="48"/>
      <c r="AN58" s="47"/>
      <c r="AO58" s="41"/>
      <c r="AP58" s="41"/>
      <c r="AQ58" s="41"/>
      <c r="AR58" s="41"/>
      <c r="AS58" s="41"/>
      <c r="AT58" s="46"/>
      <c r="AU58" s="46"/>
      <c r="AV58" s="46"/>
      <c r="AW58" s="46"/>
      <c r="AX58" s="46"/>
    </row>
    <row r="59" spans="1:50" ht="12.75" customHeight="1" x14ac:dyDescent="0.2">
      <c r="A59" s="44" t="s">
        <v>184</v>
      </c>
      <c r="B59" s="39">
        <f>SUM(C59:AG59)+'Price - East '!B59</f>
        <v>586985</v>
      </c>
      <c r="C59" s="45">
        <v>35880</v>
      </c>
      <c r="D59" s="20">
        <v>34392</v>
      </c>
      <c r="E59" s="20">
        <v>34529</v>
      </c>
      <c r="F59" s="20"/>
      <c r="G59" s="20"/>
      <c r="H59" s="20">
        <v>103489</v>
      </c>
      <c r="I59" s="20">
        <v>34541</v>
      </c>
      <c r="J59" s="20">
        <v>34587</v>
      </c>
      <c r="K59" s="20">
        <v>34731</v>
      </c>
      <c r="L59" s="20">
        <v>34600</v>
      </c>
      <c r="M59" s="20"/>
      <c r="N59" s="20"/>
      <c r="O59" s="20">
        <v>103670</v>
      </c>
      <c r="P59" s="20">
        <v>34543</v>
      </c>
      <c r="Q59" s="20">
        <v>34058</v>
      </c>
      <c r="R59" s="20">
        <v>34356</v>
      </c>
      <c r="S59" s="20">
        <v>33609</v>
      </c>
      <c r="T59" s="45"/>
      <c r="U59" s="20"/>
      <c r="V59" s="20"/>
      <c r="X59" s="20"/>
      <c r="Y59" s="20"/>
      <c r="Z59" s="20"/>
      <c r="AA59" s="20"/>
      <c r="AB59" s="20"/>
      <c r="AC59" s="20"/>
      <c r="AD59" s="20"/>
      <c r="AE59" s="20"/>
      <c r="AF59" s="20"/>
      <c r="AG59" s="20"/>
      <c r="AH59" s="1"/>
      <c r="AI59" s="46"/>
      <c r="AJ59" s="1"/>
      <c r="AK59" s="1"/>
      <c r="AL59" s="41"/>
      <c r="AM59" s="48"/>
      <c r="AN59" s="47"/>
      <c r="AO59" s="41"/>
      <c r="AP59" s="41"/>
      <c r="AQ59" s="41"/>
      <c r="AR59" s="41"/>
      <c r="AS59" s="41"/>
      <c r="AT59" s="46"/>
      <c r="AU59" s="46"/>
      <c r="AV59" s="46"/>
      <c r="AW59" s="46"/>
      <c r="AX59" s="46"/>
    </row>
    <row r="60" spans="1:50" ht="12.75" customHeight="1" x14ac:dyDescent="0.2">
      <c r="A60" s="44" t="s">
        <v>185</v>
      </c>
      <c r="B60" s="39">
        <f t="shared" si="9"/>
        <v>602987</v>
      </c>
      <c r="C60" s="45"/>
      <c r="D60">
        <v>15151</v>
      </c>
      <c r="E60">
        <v>74566</v>
      </c>
      <c r="F60" s="20"/>
      <c r="G60" s="20"/>
      <c r="H60" s="20"/>
      <c r="I60" s="20">
        <f>105535+3335</f>
        <v>108870</v>
      </c>
      <c r="J60" s="20">
        <f>124378+42440</f>
        <v>166818</v>
      </c>
      <c r="K60" s="20">
        <f>17140-73</f>
        <v>17067</v>
      </c>
      <c r="L60" s="20">
        <f>24431-300</f>
        <v>24131</v>
      </c>
      <c r="M60" s="20"/>
      <c r="N60" s="20"/>
      <c r="O60" s="20"/>
      <c r="P60" s="20"/>
      <c r="Q60" s="20">
        <v>35658</v>
      </c>
      <c r="R60" s="20">
        <f>154984</f>
        <v>154984</v>
      </c>
      <c r="S60" s="20">
        <v>5742</v>
      </c>
      <c r="T60" s="45"/>
      <c r="U60" s="20"/>
      <c r="V60" s="20"/>
      <c r="X60" s="20"/>
      <c r="Y60" s="20"/>
      <c r="Z60" s="20"/>
      <c r="AA60" s="20"/>
      <c r="AB60" s="20"/>
      <c r="AC60" s="20"/>
      <c r="AD60" s="20"/>
      <c r="AE60" s="20"/>
      <c r="AF60" s="20"/>
      <c r="AG60" s="20"/>
      <c r="AH60" s="1"/>
      <c r="AI60" s="46"/>
      <c r="AJ60" s="1"/>
      <c r="AK60" s="1"/>
      <c r="AL60" s="41"/>
      <c r="AM60" s="48"/>
      <c r="AN60" s="47"/>
      <c r="AO60" s="41"/>
      <c r="AP60" s="41"/>
      <c r="AQ60" s="41"/>
      <c r="AR60" s="41"/>
      <c r="AS60" s="41"/>
      <c r="AT60" s="46"/>
      <c r="AU60" s="46"/>
      <c r="AV60" s="46"/>
      <c r="AW60" s="46"/>
      <c r="AX60" s="46"/>
    </row>
    <row r="61" spans="1:50" ht="12.75" customHeight="1" x14ac:dyDescent="0.2">
      <c r="A61" s="44" t="s">
        <v>186</v>
      </c>
      <c r="B61" s="39">
        <f t="shared" si="9"/>
        <v>270499</v>
      </c>
      <c r="C61" s="45">
        <v>210423</v>
      </c>
      <c r="D61" s="20"/>
      <c r="E61" s="20">
        <v>61920</v>
      </c>
      <c r="F61" s="20"/>
      <c r="G61" s="20"/>
      <c r="H61" s="20">
        <v>-1844</v>
      </c>
      <c r="J61" s="20"/>
      <c r="K61" s="20"/>
      <c r="L61" s="20"/>
      <c r="M61" s="20"/>
      <c r="N61" s="20"/>
      <c r="O61" s="20"/>
      <c r="P61" s="20"/>
      <c r="Q61" s="20"/>
      <c r="R61" s="20"/>
      <c r="S61" s="20"/>
      <c r="T61" s="45"/>
      <c r="U61" s="20"/>
      <c r="V61" s="20"/>
      <c r="X61" s="20"/>
      <c r="Y61" s="20"/>
      <c r="Z61" s="20"/>
      <c r="AA61" s="20"/>
      <c r="AB61" s="20"/>
      <c r="AC61" s="20"/>
      <c r="AD61" s="20"/>
      <c r="AE61" s="20"/>
      <c r="AF61" s="20"/>
      <c r="AG61" s="20"/>
      <c r="AH61" s="1"/>
      <c r="AJ61" s="1"/>
      <c r="AK61" s="1"/>
      <c r="AL61" s="41"/>
      <c r="AM61" s="42"/>
      <c r="AN61" s="43"/>
      <c r="AO61" s="1"/>
      <c r="AP61" s="1"/>
      <c r="AQ61" s="1"/>
      <c r="AR61" s="1"/>
      <c r="AS61" s="1"/>
    </row>
    <row r="62" spans="1:50" ht="12.75" customHeight="1" x14ac:dyDescent="0.2">
      <c r="A62" s="44" t="s">
        <v>187</v>
      </c>
      <c r="B62" s="39">
        <f>SUM(C62:AG62)+'Price - East '!B62</f>
        <v>30433</v>
      </c>
      <c r="C62" s="45">
        <f>3795-6095+1-3618</f>
        <v>-5917</v>
      </c>
      <c r="D62" s="20">
        <f>-332-66+5973+1</f>
        <v>5576</v>
      </c>
      <c r="E62" s="20">
        <f>2030+166+1-386-1</f>
        <v>1810</v>
      </c>
      <c r="F62" s="20"/>
      <c r="G62" s="20"/>
      <c r="H62" s="20">
        <f>2349+97+2-4723</f>
        <v>-2275</v>
      </c>
      <c r="I62" s="20">
        <f>1593+787-1+1477</f>
        <v>3856</v>
      </c>
      <c r="J62" s="20">
        <f>-799-3707-1+11012-1</f>
        <v>6504</v>
      </c>
      <c r="K62" s="20">
        <f>3278-3011+1-1525+1</f>
        <v>-1256</v>
      </c>
      <c r="L62" s="20">
        <f>-1787-1196+1+2058</f>
        <v>-924</v>
      </c>
      <c r="M62" s="20"/>
      <c r="N62" s="20"/>
      <c r="O62" s="20">
        <f>7674-921-1-341-1</f>
        <v>6410</v>
      </c>
      <c r="P62" s="20">
        <f>29835-2718+1-420</f>
        <v>26698</v>
      </c>
      <c r="Q62" s="20">
        <f>977+5352+8814-1</f>
        <v>15142</v>
      </c>
      <c r="R62" s="20">
        <f>-6257-1494+2033</f>
        <v>-5718</v>
      </c>
      <c r="S62" s="20">
        <f>-18396-6761-1+5686-1</f>
        <v>-19473</v>
      </c>
      <c r="T62" s="45"/>
      <c r="U62" s="20"/>
      <c r="V62" s="20"/>
      <c r="X62" s="20"/>
      <c r="Y62" s="20"/>
      <c r="Z62" s="20"/>
      <c r="AA62" s="20"/>
      <c r="AB62" s="20"/>
      <c r="AC62" s="20"/>
      <c r="AD62" s="20"/>
      <c r="AE62" s="20"/>
      <c r="AF62" s="20"/>
      <c r="AG62" s="20"/>
      <c r="AH62" s="1"/>
      <c r="AJ62" s="1"/>
      <c r="AK62" s="1"/>
      <c r="AL62" s="41"/>
      <c r="AM62" s="42"/>
      <c r="AN62" s="43"/>
      <c r="AO62" s="43"/>
      <c r="AP62" s="1"/>
      <c r="AQ62" s="1"/>
      <c r="AR62" s="1"/>
      <c r="AS62" s="1"/>
    </row>
    <row r="63" spans="1:50" ht="12.75" customHeight="1" x14ac:dyDescent="0.2">
      <c r="A63" s="44" t="s">
        <v>140</v>
      </c>
      <c r="B63" s="39">
        <f t="shared" si="9"/>
        <v>0</v>
      </c>
      <c r="C63" s="45"/>
      <c r="D63" s="20"/>
      <c r="E63" s="20"/>
      <c r="F63" s="20"/>
      <c r="G63" s="20"/>
      <c r="H63" s="20"/>
      <c r="I63" s="20"/>
      <c r="J63" s="20"/>
      <c r="K63" s="20"/>
      <c r="L63" s="20"/>
      <c r="M63" s="20"/>
      <c r="N63" s="20"/>
      <c r="O63" s="20"/>
      <c r="P63" s="20"/>
      <c r="Q63" s="20"/>
      <c r="R63" s="20"/>
      <c r="S63" s="20"/>
      <c r="T63" s="45"/>
      <c r="U63" s="20"/>
      <c r="V63" s="20"/>
      <c r="X63" s="20"/>
      <c r="Y63" s="20"/>
      <c r="Z63" s="20"/>
      <c r="AA63" s="20"/>
      <c r="AB63" s="20"/>
      <c r="AC63" s="20"/>
      <c r="AD63" s="20"/>
      <c r="AE63" s="20"/>
      <c r="AF63" s="20"/>
      <c r="AG63" s="20"/>
      <c r="AH63" s="1"/>
      <c r="AI63" s="46"/>
      <c r="AJ63" s="1"/>
      <c r="AK63" s="1"/>
      <c r="AL63" s="41"/>
      <c r="AM63" s="42"/>
      <c r="AN63" s="43"/>
      <c r="AO63" s="1"/>
      <c r="AP63" s="1"/>
      <c r="AQ63" s="1"/>
      <c r="AR63" s="1"/>
      <c r="AS63" s="1"/>
    </row>
    <row r="64" spans="1:50" ht="12.75" customHeight="1" x14ac:dyDescent="0.2">
      <c r="A64" s="44" t="s">
        <v>188</v>
      </c>
      <c r="B64" s="39">
        <f>SUM(C64:AG64)</f>
        <v>56082</v>
      </c>
      <c r="C64" s="45">
        <v>30196</v>
      </c>
      <c r="D64" s="20">
        <v>-11728</v>
      </c>
      <c r="E64" s="20">
        <v>-21534</v>
      </c>
      <c r="F64" s="20"/>
      <c r="G64" s="20"/>
      <c r="H64" s="20">
        <v>-23540</v>
      </c>
      <c r="I64" s="20">
        <v>6955</v>
      </c>
      <c r="J64" s="20">
        <v>-47813</v>
      </c>
      <c r="K64" s="20">
        <v>29149</v>
      </c>
      <c r="L64" s="20">
        <v>9554</v>
      </c>
      <c r="M64" s="20"/>
      <c r="N64" s="20"/>
      <c r="O64" s="20">
        <v>422</v>
      </c>
      <c r="P64" s="20">
        <v>35331</v>
      </c>
      <c r="Q64" s="20">
        <v>15098</v>
      </c>
      <c r="R64" s="20">
        <v>51693</v>
      </c>
      <c r="S64" s="20">
        <v>-17701</v>
      </c>
      <c r="T64" s="20"/>
      <c r="U64" s="20"/>
      <c r="V64" s="20"/>
      <c r="X64" s="20"/>
      <c r="Y64" s="20"/>
      <c r="Z64" s="20"/>
      <c r="AA64" s="20"/>
      <c r="AB64" s="20"/>
      <c r="AC64" s="20"/>
      <c r="AD64" s="20"/>
      <c r="AE64" s="20"/>
      <c r="AF64" s="20"/>
      <c r="AG64" s="20"/>
      <c r="AH64" s="1"/>
      <c r="AI64" s="46"/>
      <c r="AJ64" s="1"/>
      <c r="AK64" s="1"/>
      <c r="AL64" s="48"/>
      <c r="AM64" s="42"/>
      <c r="AN64" s="1"/>
      <c r="AO64" s="1"/>
      <c r="AP64" s="1"/>
      <c r="AQ64" s="1"/>
      <c r="AR64" s="1"/>
      <c r="AS64" s="1"/>
    </row>
    <row r="65" spans="1:45" ht="12.75" customHeight="1" x14ac:dyDescent="0.2">
      <c r="A65" s="22" t="s">
        <v>189</v>
      </c>
      <c r="B65" s="39">
        <f t="shared" ref="B65:B70" si="10">SUM(C65:AG65)</f>
        <v>91530</v>
      </c>
      <c r="C65" s="45">
        <v>6253</v>
      </c>
      <c r="D65" s="20">
        <v>3188</v>
      </c>
      <c r="E65" s="20">
        <v>5537</v>
      </c>
      <c r="F65" s="20"/>
      <c r="G65" s="20"/>
      <c r="H65" s="20">
        <v>20123</v>
      </c>
      <c r="I65" s="20">
        <v>5455</v>
      </c>
      <c r="J65" s="20">
        <v>1683</v>
      </c>
      <c r="K65" s="20">
        <v>5095</v>
      </c>
      <c r="L65" s="20">
        <v>6161</v>
      </c>
      <c r="M65" s="20"/>
      <c r="N65" s="20"/>
      <c r="O65" s="20">
        <v>19009</v>
      </c>
      <c r="P65" s="20">
        <v>6604</v>
      </c>
      <c r="Q65" s="20">
        <v>3741</v>
      </c>
      <c r="R65" s="20">
        <v>5451</v>
      </c>
      <c r="S65" s="20">
        <v>3230</v>
      </c>
      <c r="T65" s="20"/>
      <c r="U65" s="20"/>
      <c r="V65" s="20"/>
      <c r="X65" s="20"/>
      <c r="Y65" s="20"/>
      <c r="Z65" s="20"/>
      <c r="AA65" s="20"/>
      <c r="AB65" s="20"/>
      <c r="AC65" s="20"/>
      <c r="AD65" s="20"/>
      <c r="AE65" s="20"/>
      <c r="AF65" s="20"/>
      <c r="AG65" s="20"/>
      <c r="AH65" s="1"/>
      <c r="AJ65" s="1"/>
      <c r="AK65" s="1"/>
      <c r="AL65" s="41"/>
      <c r="AM65" s="42"/>
      <c r="AN65" s="1"/>
      <c r="AO65" s="1"/>
      <c r="AP65" s="1"/>
      <c r="AQ65" s="1"/>
      <c r="AR65" s="1"/>
      <c r="AS65" s="1"/>
    </row>
    <row r="66" spans="1:45" ht="12.75" hidden="1" customHeight="1" x14ac:dyDescent="0.2">
      <c r="A66" s="22" t="s">
        <v>190</v>
      </c>
      <c r="B66" s="39">
        <f t="shared" si="10"/>
        <v>0</v>
      </c>
      <c r="C66" s="45"/>
      <c r="D66" s="20"/>
      <c r="E66" s="20"/>
      <c r="F66" s="20"/>
      <c r="G66" s="20"/>
      <c r="H66" s="20"/>
      <c r="I66" s="20"/>
      <c r="J66" s="20"/>
      <c r="K66" s="20"/>
      <c r="L66" s="20"/>
      <c r="M66" s="20"/>
      <c r="N66" s="20"/>
      <c r="O66" s="20"/>
      <c r="P66" s="20"/>
      <c r="Q66" s="20"/>
      <c r="R66" s="20"/>
      <c r="S66" s="20"/>
      <c r="T66" s="45"/>
      <c r="U66" s="20"/>
      <c r="V66" s="20"/>
      <c r="W66" s="20"/>
      <c r="X66" s="20"/>
      <c r="Y66" s="20"/>
      <c r="Z66" s="20"/>
      <c r="AA66" s="20"/>
      <c r="AB66" s="20"/>
      <c r="AC66" s="20"/>
      <c r="AD66" s="20"/>
      <c r="AE66" s="20"/>
      <c r="AF66" s="20"/>
      <c r="AG66" s="20"/>
      <c r="AH66" s="1"/>
      <c r="AI66" s="46"/>
      <c r="AJ66" s="1"/>
      <c r="AK66" s="1"/>
      <c r="AL66" s="41"/>
      <c r="AM66" s="42"/>
      <c r="AN66" s="1"/>
      <c r="AO66" s="1"/>
      <c r="AP66" s="1"/>
      <c r="AQ66" s="1"/>
      <c r="AR66" s="1"/>
      <c r="AS66" s="1"/>
    </row>
    <row r="67" spans="1:45" ht="12.75" customHeight="1" x14ac:dyDescent="0.2">
      <c r="A67" s="22" t="s">
        <v>191</v>
      </c>
      <c r="B67" s="552">
        <f t="shared" si="10"/>
        <v>-65000</v>
      </c>
      <c r="C67" s="45"/>
      <c r="D67" s="20"/>
      <c r="E67" s="20"/>
      <c r="F67" s="20"/>
      <c r="G67" s="20"/>
      <c r="H67" s="20"/>
      <c r="I67" s="20"/>
      <c r="J67" s="20">
        <v>-30000</v>
      </c>
      <c r="K67" s="20">
        <v>-5000</v>
      </c>
      <c r="L67" s="20"/>
      <c r="M67" s="20"/>
      <c r="N67" s="20"/>
      <c r="O67" s="20">
        <v>-10000</v>
      </c>
      <c r="P67" s="20">
        <v>-5000</v>
      </c>
      <c r="Q67" s="20">
        <v>-5000</v>
      </c>
      <c r="R67" s="20">
        <v>-5000</v>
      </c>
      <c r="S67" s="20">
        <v>-5000</v>
      </c>
      <c r="T67" s="45"/>
      <c r="U67" s="20"/>
      <c r="V67" s="20"/>
      <c r="W67" s="20"/>
      <c r="X67" s="20"/>
      <c r="Y67" s="20"/>
      <c r="Z67" s="20"/>
      <c r="AA67" s="20"/>
      <c r="AB67" s="20"/>
      <c r="AC67" s="20"/>
      <c r="AD67" s="20"/>
      <c r="AE67" s="20"/>
      <c r="AF67" s="20"/>
      <c r="AG67" s="20"/>
      <c r="AH67" s="1"/>
      <c r="AI67" s="46"/>
      <c r="AJ67" s="1"/>
      <c r="AK67" s="1"/>
      <c r="AL67" s="41"/>
      <c r="AM67" s="42"/>
      <c r="AN67" s="1"/>
      <c r="AO67" s="1"/>
      <c r="AP67" s="1"/>
      <c r="AQ67" s="1"/>
      <c r="AR67" s="1"/>
      <c r="AS67" s="1"/>
    </row>
    <row r="68" spans="1:45" ht="12.75" customHeight="1" x14ac:dyDescent="0.2">
      <c r="A68" s="22" t="s">
        <v>192</v>
      </c>
      <c r="B68" s="39">
        <f t="shared" si="10"/>
        <v>0</v>
      </c>
      <c r="C68" s="45"/>
      <c r="D68" s="20"/>
      <c r="E68" s="20"/>
      <c r="F68" s="20"/>
      <c r="G68" s="20"/>
      <c r="H68" s="20"/>
      <c r="I68" s="20"/>
      <c r="J68" s="20"/>
      <c r="K68" s="20"/>
      <c r="L68" s="20"/>
      <c r="M68" s="20"/>
      <c r="N68" s="20"/>
      <c r="O68" s="20"/>
      <c r="P68" s="20"/>
      <c r="Q68" s="20"/>
      <c r="R68" s="20"/>
      <c r="S68" s="20"/>
      <c r="T68" s="45"/>
      <c r="U68" s="20"/>
      <c r="V68" s="20"/>
      <c r="W68" s="20"/>
      <c r="X68" s="20"/>
      <c r="Y68" s="20"/>
      <c r="Z68" s="20"/>
      <c r="AA68" s="20"/>
      <c r="AB68" s="20"/>
      <c r="AC68" s="20"/>
      <c r="AD68" s="20"/>
      <c r="AE68" s="20"/>
      <c r="AF68" s="20"/>
      <c r="AG68" s="20"/>
      <c r="AH68" s="1"/>
      <c r="AJ68" s="1"/>
      <c r="AK68" s="1"/>
      <c r="AL68" s="41"/>
      <c r="AM68" s="42"/>
      <c r="AN68" s="1"/>
      <c r="AO68" s="1"/>
      <c r="AP68" s="1"/>
      <c r="AQ68" s="1"/>
      <c r="AR68" s="1"/>
      <c r="AS68" s="1"/>
    </row>
    <row r="69" spans="1:45" ht="12.75" customHeight="1" x14ac:dyDescent="0.2">
      <c r="A69" s="44" t="s">
        <v>193</v>
      </c>
      <c r="B69" s="39">
        <f t="shared" si="10"/>
        <v>0</v>
      </c>
      <c r="C69" s="45"/>
      <c r="D69" s="20"/>
      <c r="E69" s="20"/>
      <c r="F69" s="20"/>
      <c r="G69" s="20"/>
      <c r="H69" s="20"/>
      <c r="I69" s="20"/>
      <c r="J69" s="20"/>
      <c r="K69" s="20"/>
      <c r="L69" s="20"/>
      <c r="M69" s="20"/>
      <c r="N69" s="20"/>
      <c r="O69" s="20"/>
      <c r="P69" s="20"/>
      <c r="Q69" s="20"/>
      <c r="R69" s="20"/>
      <c r="S69" s="20"/>
      <c r="T69" s="45"/>
      <c r="U69" s="20"/>
      <c r="V69" s="20"/>
      <c r="W69" s="20"/>
      <c r="X69" s="20"/>
      <c r="Y69" s="20"/>
      <c r="Z69" s="20"/>
      <c r="AA69" s="20"/>
      <c r="AB69" s="20"/>
      <c r="AC69" s="20"/>
      <c r="AD69" s="20"/>
      <c r="AE69" s="20"/>
      <c r="AF69" s="20"/>
      <c r="AG69" s="20"/>
      <c r="AH69" s="1"/>
      <c r="AI69" s="46"/>
      <c r="AJ69" s="1"/>
      <c r="AK69" s="1"/>
      <c r="AL69" s="41"/>
      <c r="AM69" s="42"/>
      <c r="AN69" s="1"/>
      <c r="AO69" s="1"/>
      <c r="AP69" s="1"/>
      <c r="AQ69" s="1"/>
      <c r="AR69" s="1"/>
      <c r="AS69" s="1"/>
    </row>
    <row r="70" spans="1:45" ht="12.75" customHeight="1" x14ac:dyDescent="0.2">
      <c r="A70" s="22" t="s">
        <v>194</v>
      </c>
      <c r="B70" s="39">
        <f t="shared" si="10"/>
        <v>0</v>
      </c>
      <c r="C70" s="45"/>
      <c r="D70" s="20"/>
      <c r="E70" s="20"/>
      <c r="F70" s="20"/>
      <c r="G70" s="20"/>
      <c r="H70" s="20"/>
      <c r="I70" s="20"/>
      <c r="J70" s="20"/>
      <c r="K70" s="20"/>
      <c r="L70" s="20"/>
      <c r="M70" s="20"/>
      <c r="N70" s="20"/>
      <c r="O70" s="20"/>
      <c r="P70" s="20"/>
      <c r="Q70" s="20"/>
      <c r="R70" s="20"/>
      <c r="S70" s="20"/>
      <c r="T70" s="45"/>
      <c r="U70" s="20"/>
      <c r="V70" s="20"/>
      <c r="W70" s="20"/>
      <c r="X70" s="20"/>
      <c r="Y70" s="20"/>
      <c r="Z70" s="20"/>
      <c r="AA70" s="20"/>
      <c r="AB70" s="20"/>
      <c r="AC70" s="20"/>
      <c r="AD70" s="20"/>
      <c r="AE70" s="20"/>
      <c r="AF70" s="20"/>
      <c r="AG70" s="20"/>
      <c r="AH70" s="1"/>
      <c r="AJ70" s="1"/>
      <c r="AK70" s="1"/>
      <c r="AL70" s="41"/>
      <c r="AM70" s="42"/>
      <c r="AN70" s="1"/>
      <c r="AO70" s="1"/>
      <c r="AP70" s="1"/>
      <c r="AQ70" s="1"/>
      <c r="AR70" s="1"/>
      <c r="AS70" s="1"/>
    </row>
    <row r="71" spans="1:45" ht="12.75" customHeight="1" x14ac:dyDescent="0.2">
      <c r="A71" s="22" t="s">
        <v>195</v>
      </c>
      <c r="B71" s="39" t="s">
        <v>196</v>
      </c>
      <c r="C71" s="45"/>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197</v>
      </c>
      <c r="B76" s="52">
        <f>SUM(B47:B75)-B61-B68-B69</f>
        <v>-6733668</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C78" s="13">
        <f>(+B58+B59)*-1</f>
        <v>-1407395</v>
      </c>
      <c r="AH78" s="24"/>
      <c r="AJ78" s="24"/>
      <c r="AK78" s="20"/>
      <c r="AL78" s="41"/>
      <c r="AM78" s="42"/>
    </row>
    <row r="79" spans="1:45" ht="12.75" customHeight="1" x14ac:dyDescent="0.2">
      <c r="A79" s="24"/>
      <c r="B79" s="55"/>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1"/>
      <c r="AI81" s="117"/>
      <c r="AJ81" s="118"/>
      <c r="AK81" s="1"/>
      <c r="AL81" s="33"/>
      <c r="AN81" s="1"/>
      <c r="AO81" s="1"/>
      <c r="AP81" s="1"/>
      <c r="AQ81" s="1"/>
      <c r="AR81" s="1"/>
      <c r="AS81" s="1"/>
    </row>
    <row r="82" spans="1:45" ht="12.75" customHeight="1" x14ac:dyDescent="0.25">
      <c r="A82" s="56" t="s">
        <v>198</v>
      </c>
      <c r="B82" s="31" t="s">
        <v>161</v>
      </c>
      <c r="C82" s="32">
        <f>SUM(C86:C101)</f>
        <v>0</v>
      </c>
      <c r="D82" s="32">
        <f t="shared" ref="D82:S82" si="11">SUM(D86:D101)</f>
        <v>0</v>
      </c>
      <c r="E82" s="32">
        <f t="shared" si="11"/>
        <v>0</v>
      </c>
      <c r="F82" s="32">
        <f t="shared" si="11"/>
        <v>0</v>
      </c>
      <c r="G82" s="32">
        <f t="shared" si="11"/>
        <v>0</v>
      </c>
      <c r="H82" s="32">
        <f t="shared" si="11"/>
        <v>0</v>
      </c>
      <c r="I82" s="32">
        <f t="shared" si="11"/>
        <v>0</v>
      </c>
      <c r="J82" s="32">
        <f t="shared" si="11"/>
        <v>0</v>
      </c>
      <c r="K82" s="32">
        <f t="shared" si="11"/>
        <v>0</v>
      </c>
      <c r="L82" s="32">
        <f t="shared" si="11"/>
        <v>0</v>
      </c>
      <c r="M82" s="32">
        <f t="shared" si="11"/>
        <v>0</v>
      </c>
      <c r="N82" s="32">
        <f t="shared" si="11"/>
        <v>0</v>
      </c>
      <c r="O82" s="32">
        <f t="shared" si="11"/>
        <v>0</v>
      </c>
      <c r="P82" s="32">
        <f t="shared" si="11"/>
        <v>0</v>
      </c>
      <c r="Q82" s="32">
        <f t="shared" si="11"/>
        <v>0</v>
      </c>
      <c r="R82" s="32">
        <f t="shared" si="11"/>
        <v>0</v>
      </c>
      <c r="S82" s="32">
        <f t="shared" si="11"/>
        <v>0</v>
      </c>
      <c r="T82" s="32">
        <f t="shared" ref="T82:AG82" si="12">SUM(T86:T101)</f>
        <v>0</v>
      </c>
      <c r="U82" s="32">
        <f t="shared" si="12"/>
        <v>0</v>
      </c>
      <c r="V82" s="32">
        <f t="shared" si="12"/>
        <v>0</v>
      </c>
      <c r="W82" s="32">
        <f t="shared" si="12"/>
        <v>0</v>
      </c>
      <c r="X82" s="32">
        <f t="shared" si="12"/>
        <v>0</v>
      </c>
      <c r="Y82" s="32">
        <f t="shared" si="12"/>
        <v>0</v>
      </c>
      <c r="Z82" s="32">
        <f t="shared" si="12"/>
        <v>0</v>
      </c>
      <c r="AA82" s="32">
        <f t="shared" si="12"/>
        <v>0</v>
      </c>
      <c r="AB82" s="32">
        <f t="shared" si="12"/>
        <v>0</v>
      </c>
      <c r="AC82" s="32">
        <f t="shared" si="12"/>
        <v>0</v>
      </c>
      <c r="AD82" s="32">
        <f t="shared" si="12"/>
        <v>0</v>
      </c>
      <c r="AE82" s="32">
        <f t="shared" si="12"/>
        <v>0</v>
      </c>
      <c r="AF82" s="32">
        <f t="shared" si="12"/>
        <v>0</v>
      </c>
      <c r="AG82" s="32">
        <f t="shared" si="12"/>
        <v>0</v>
      </c>
      <c r="AH82" s="1"/>
      <c r="AI82" s="117"/>
      <c r="AJ82" s="118"/>
      <c r="AK82" s="1"/>
      <c r="AL82" s="33"/>
      <c r="AN82" s="1"/>
      <c r="AO82" s="1"/>
      <c r="AP82" s="1"/>
      <c r="AQ82" s="1"/>
      <c r="AR82" s="1"/>
      <c r="AS82" s="1"/>
    </row>
    <row r="83" spans="1:45" s="99" customFormat="1" ht="12.75" customHeight="1" x14ac:dyDescent="0.25">
      <c r="A83" s="216" t="s">
        <v>199</v>
      </c>
      <c r="B83" s="116">
        <f t="shared" ref="B83:AG83" si="13">B44</f>
        <v>36831</v>
      </c>
      <c r="C83" s="104">
        <f t="shared" si="13"/>
        <v>36831</v>
      </c>
      <c r="D83" s="104">
        <f t="shared" si="13"/>
        <v>36832</v>
      </c>
      <c r="E83" s="104">
        <f t="shared" si="13"/>
        <v>36833</v>
      </c>
      <c r="F83" s="104">
        <f t="shared" si="13"/>
        <v>36834</v>
      </c>
      <c r="G83" s="104">
        <f t="shared" si="13"/>
        <v>36835</v>
      </c>
      <c r="H83" s="104">
        <f t="shared" si="13"/>
        <v>36836</v>
      </c>
      <c r="I83" s="104">
        <f t="shared" si="13"/>
        <v>36837</v>
      </c>
      <c r="J83" s="104">
        <f t="shared" si="13"/>
        <v>36838</v>
      </c>
      <c r="K83" s="104">
        <f t="shared" si="13"/>
        <v>36839</v>
      </c>
      <c r="L83" s="104">
        <f t="shared" si="13"/>
        <v>36840</v>
      </c>
      <c r="M83" s="104">
        <f t="shared" si="13"/>
        <v>36841</v>
      </c>
      <c r="N83" s="104">
        <f t="shared" si="13"/>
        <v>36842</v>
      </c>
      <c r="O83" s="104">
        <f t="shared" si="13"/>
        <v>36843</v>
      </c>
      <c r="P83" s="104">
        <f t="shared" si="13"/>
        <v>36844</v>
      </c>
      <c r="Q83" s="104">
        <f t="shared" si="13"/>
        <v>36845</v>
      </c>
      <c r="R83" s="104">
        <f t="shared" si="13"/>
        <v>36846</v>
      </c>
      <c r="S83" s="104">
        <f t="shared" si="13"/>
        <v>36847</v>
      </c>
      <c r="T83" s="104">
        <f t="shared" si="13"/>
        <v>36848</v>
      </c>
      <c r="U83" s="104">
        <f t="shared" si="13"/>
        <v>36849</v>
      </c>
      <c r="V83" s="104">
        <f t="shared" si="13"/>
        <v>36850</v>
      </c>
      <c r="W83" s="104">
        <f t="shared" si="13"/>
        <v>36851</v>
      </c>
      <c r="X83" s="104">
        <f t="shared" si="13"/>
        <v>36852</v>
      </c>
      <c r="Y83" s="104">
        <f t="shared" si="13"/>
        <v>36853</v>
      </c>
      <c r="Z83" s="104">
        <f t="shared" si="13"/>
        <v>36854</v>
      </c>
      <c r="AA83" s="104">
        <f t="shared" si="13"/>
        <v>36855</v>
      </c>
      <c r="AB83" s="104">
        <f t="shared" si="13"/>
        <v>36856</v>
      </c>
      <c r="AC83" s="104">
        <f t="shared" si="13"/>
        <v>36857</v>
      </c>
      <c r="AD83" s="104">
        <f t="shared" si="13"/>
        <v>36858</v>
      </c>
      <c r="AE83" s="104">
        <f t="shared" si="13"/>
        <v>36859</v>
      </c>
      <c r="AF83" s="104">
        <f t="shared" si="13"/>
        <v>36860</v>
      </c>
      <c r="AG83" s="104">
        <f t="shared" si="13"/>
        <v>36861</v>
      </c>
      <c r="AI83" s="117"/>
      <c r="AJ83" s="119"/>
      <c r="AL83" s="100"/>
    </row>
    <row r="84" spans="1:45" ht="12.75" customHeight="1" x14ac:dyDescent="0.25">
      <c r="A84" s="34"/>
      <c r="B84" s="34"/>
      <c r="C84" s="105" t="str">
        <f t="shared" ref="C84:AG84" si="14">C45</f>
        <v>W</v>
      </c>
      <c r="D84" s="105" t="str">
        <f t="shared" si="14"/>
        <v>R</v>
      </c>
      <c r="E84" s="105" t="str">
        <f t="shared" si="14"/>
        <v>F</v>
      </c>
      <c r="F84" s="105" t="str">
        <f t="shared" si="14"/>
        <v>S</v>
      </c>
      <c r="G84" s="105" t="str">
        <f t="shared" si="14"/>
        <v>S</v>
      </c>
      <c r="H84" s="105" t="str">
        <f t="shared" si="14"/>
        <v>M</v>
      </c>
      <c r="I84" s="105" t="str">
        <f t="shared" si="14"/>
        <v>T</v>
      </c>
      <c r="J84" s="105" t="str">
        <f t="shared" si="14"/>
        <v>W</v>
      </c>
      <c r="K84" s="105" t="str">
        <f t="shared" si="14"/>
        <v>R</v>
      </c>
      <c r="L84" s="105" t="str">
        <f t="shared" si="14"/>
        <v>F</v>
      </c>
      <c r="M84" s="105" t="str">
        <f t="shared" si="14"/>
        <v>S</v>
      </c>
      <c r="N84" s="105" t="str">
        <f t="shared" si="14"/>
        <v>S</v>
      </c>
      <c r="O84" s="105" t="str">
        <f t="shared" si="14"/>
        <v>M</v>
      </c>
      <c r="P84" s="105" t="str">
        <f t="shared" si="14"/>
        <v>T</v>
      </c>
      <c r="Q84" s="105" t="str">
        <f t="shared" si="14"/>
        <v>W</v>
      </c>
      <c r="R84" s="105" t="str">
        <f t="shared" si="14"/>
        <v>R</v>
      </c>
      <c r="S84" s="105" t="str">
        <f t="shared" si="14"/>
        <v>F</v>
      </c>
      <c r="T84" s="105" t="str">
        <f t="shared" si="14"/>
        <v>S</v>
      </c>
      <c r="U84" s="105" t="str">
        <f t="shared" si="14"/>
        <v>S</v>
      </c>
      <c r="V84" s="105" t="str">
        <f t="shared" si="14"/>
        <v>M</v>
      </c>
      <c r="W84" s="105" t="str">
        <f t="shared" si="14"/>
        <v>T</v>
      </c>
      <c r="X84" s="105" t="str">
        <f t="shared" si="14"/>
        <v>W</v>
      </c>
      <c r="Y84" s="105" t="str">
        <f t="shared" si="14"/>
        <v>R</v>
      </c>
      <c r="Z84" s="105" t="str">
        <f t="shared" si="14"/>
        <v>F</v>
      </c>
      <c r="AA84" s="105" t="str">
        <f t="shared" si="14"/>
        <v>S</v>
      </c>
      <c r="AB84" s="105" t="str">
        <f t="shared" si="14"/>
        <v>S</v>
      </c>
      <c r="AC84" s="105" t="str">
        <f t="shared" si="14"/>
        <v>M</v>
      </c>
      <c r="AD84" s="105" t="str">
        <f t="shared" si="14"/>
        <v>T</v>
      </c>
      <c r="AE84" s="105" t="str">
        <f t="shared" si="14"/>
        <v>W</v>
      </c>
      <c r="AF84" s="105" t="str">
        <f t="shared" si="14"/>
        <v>R</v>
      </c>
      <c r="AG84" s="105" t="str">
        <f t="shared" si="14"/>
        <v>F</v>
      </c>
      <c r="AH84" s="1"/>
      <c r="AI84" s="117"/>
      <c r="AJ84" s="118"/>
      <c r="AK84" s="1"/>
      <c r="AL84" s="24"/>
      <c r="AN84" s="1"/>
      <c r="AO84" s="1"/>
      <c r="AP84" s="1"/>
      <c r="AQ84" s="1"/>
      <c r="AR84" s="1"/>
      <c r="AS84" s="1"/>
    </row>
    <row r="85" spans="1:45" ht="12.75" customHeight="1" thickBot="1" x14ac:dyDescent="0.3">
      <c r="A85" s="217"/>
      <c r="B85" s="35" t="s">
        <v>167</v>
      </c>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7"/>
      <c r="AH85" s="24"/>
      <c r="AI85" s="46"/>
      <c r="AJ85" s="120"/>
      <c r="AK85" s="20"/>
      <c r="AL85" s="41"/>
      <c r="AM85" s="42"/>
    </row>
    <row r="86" spans="1:45" ht="12.75" customHeight="1" thickTop="1" x14ac:dyDescent="0.2">
      <c r="A86" s="22" t="s">
        <v>200</v>
      </c>
      <c r="B86" s="39">
        <f>SUM(C86:AG86)</f>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201</v>
      </c>
      <c r="B87" s="39">
        <f>SUM(C87:AG87)</f>
        <v>0</v>
      </c>
      <c r="C87" s="20">
        <v>0</v>
      </c>
      <c r="D87" s="20">
        <v>0</v>
      </c>
      <c r="E87" s="20">
        <v>0</v>
      </c>
      <c r="F87" s="20">
        <v>0</v>
      </c>
      <c r="G87" s="20">
        <v>0</v>
      </c>
      <c r="H87" s="20">
        <v>0</v>
      </c>
      <c r="I87" s="20">
        <v>0</v>
      </c>
      <c r="J87" s="20">
        <v>0</v>
      </c>
      <c r="K87" s="20">
        <v>0</v>
      </c>
      <c r="L87" s="20">
        <v>0</v>
      </c>
      <c r="M87" s="20">
        <v>0</v>
      </c>
      <c r="N87" s="20">
        <v>0</v>
      </c>
      <c r="O87" s="20">
        <v>0</v>
      </c>
      <c r="P87" s="20">
        <v>0</v>
      </c>
      <c r="Q87" s="20">
        <v>0</v>
      </c>
      <c r="R87" s="20">
        <v>0</v>
      </c>
      <c r="S87" s="20">
        <v>0</v>
      </c>
      <c r="T87" s="20">
        <v>0</v>
      </c>
      <c r="U87" s="20">
        <v>0</v>
      </c>
      <c r="V87" s="20">
        <v>0</v>
      </c>
      <c r="W87" s="20">
        <v>0</v>
      </c>
      <c r="X87" s="20">
        <v>0</v>
      </c>
      <c r="Y87" s="20">
        <v>0</v>
      </c>
      <c r="Z87" s="20">
        <v>0</v>
      </c>
      <c r="AA87" s="20">
        <v>0</v>
      </c>
      <c r="AB87" s="20">
        <v>0</v>
      </c>
      <c r="AC87" s="20">
        <v>0</v>
      </c>
      <c r="AD87" s="20">
        <v>0</v>
      </c>
      <c r="AE87" s="20">
        <v>0</v>
      </c>
      <c r="AF87" s="20">
        <v>0</v>
      </c>
      <c r="AG87" s="40">
        <v>0</v>
      </c>
      <c r="AH87" s="24"/>
      <c r="AJ87" s="24"/>
      <c r="AK87" s="20"/>
      <c r="AL87" s="41"/>
      <c r="AM87" s="42"/>
    </row>
    <row r="88" spans="1:45" ht="12.75" customHeight="1" x14ac:dyDescent="0.2">
      <c r="A88" s="22" t="s">
        <v>202</v>
      </c>
      <c r="B88" s="39">
        <f>SUM(C88:AG88)</f>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203</v>
      </c>
      <c r="B89" s="39">
        <f t="shared" ref="B89:B98" si="15">SUM(C89:AG89)</f>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204</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205</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206</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207</v>
      </c>
      <c r="B93" s="39">
        <f t="shared" si="15"/>
        <v>0</v>
      </c>
      <c r="C93" s="69">
        <v>0</v>
      </c>
      <c r="D93" s="69">
        <v>0</v>
      </c>
      <c r="E93" s="69">
        <v>0</v>
      </c>
      <c r="F93" s="69">
        <v>0</v>
      </c>
      <c r="G93" s="69">
        <v>0</v>
      </c>
      <c r="H93" s="69">
        <v>0</v>
      </c>
      <c r="I93" s="69">
        <v>0</v>
      </c>
      <c r="J93" s="69">
        <v>0</v>
      </c>
      <c r="K93" s="69">
        <v>0</v>
      </c>
      <c r="L93" s="69">
        <v>0</v>
      </c>
      <c r="M93" s="69">
        <v>0</v>
      </c>
      <c r="N93" s="69">
        <v>0</v>
      </c>
      <c r="O93" s="69">
        <v>0</v>
      </c>
      <c r="P93" s="69">
        <v>0</v>
      </c>
      <c r="Q93" s="69">
        <v>0</v>
      </c>
      <c r="R93" s="69">
        <v>0</v>
      </c>
      <c r="S93" s="69">
        <v>0</v>
      </c>
      <c r="T93" s="69">
        <v>0</v>
      </c>
      <c r="U93" s="69">
        <v>0</v>
      </c>
      <c r="V93" s="69">
        <v>0</v>
      </c>
      <c r="W93" s="69">
        <v>0</v>
      </c>
      <c r="X93" s="69">
        <v>0</v>
      </c>
      <c r="Y93" s="69">
        <v>0</v>
      </c>
      <c r="Z93" s="69">
        <v>0</v>
      </c>
      <c r="AA93" s="69">
        <v>0</v>
      </c>
      <c r="AB93" s="69">
        <v>0</v>
      </c>
      <c r="AC93" s="69">
        <v>0</v>
      </c>
      <c r="AD93" s="69">
        <v>0</v>
      </c>
      <c r="AE93" s="69">
        <v>0</v>
      </c>
      <c r="AF93" s="69">
        <v>0</v>
      </c>
      <c r="AG93" s="40">
        <v>0</v>
      </c>
      <c r="AH93" s="24"/>
      <c r="AJ93" s="24"/>
      <c r="AK93" s="20"/>
      <c r="AL93" s="41"/>
      <c r="AM93" s="42"/>
    </row>
    <row r="94" spans="1:45" ht="12.75" customHeight="1" x14ac:dyDescent="0.2">
      <c r="A94" s="22" t="s">
        <v>208</v>
      </c>
      <c r="B94" s="39">
        <f t="shared" si="15"/>
        <v>0</v>
      </c>
      <c r="C94" s="20">
        <v>0</v>
      </c>
      <c r="D94" s="20">
        <v>0</v>
      </c>
      <c r="E94" s="20">
        <v>0</v>
      </c>
      <c r="F94" s="20">
        <v>0</v>
      </c>
      <c r="G94" s="20">
        <v>0</v>
      </c>
      <c r="H94" s="20">
        <v>0</v>
      </c>
      <c r="I94" s="20">
        <v>0</v>
      </c>
      <c r="J94" s="20">
        <v>0</v>
      </c>
      <c r="K94" s="20">
        <v>0</v>
      </c>
      <c r="L94" s="20">
        <v>0</v>
      </c>
      <c r="M94" s="20">
        <v>0</v>
      </c>
      <c r="N94" s="20">
        <v>0</v>
      </c>
      <c r="O94" s="20">
        <v>0</v>
      </c>
      <c r="P94" s="20">
        <v>0</v>
      </c>
      <c r="Q94" s="20">
        <v>0</v>
      </c>
      <c r="R94" s="20">
        <v>0</v>
      </c>
      <c r="S94" s="20">
        <v>0</v>
      </c>
      <c r="T94" s="20">
        <v>0</v>
      </c>
      <c r="U94" s="20">
        <v>0</v>
      </c>
      <c r="V94" s="20">
        <v>0</v>
      </c>
      <c r="W94" s="20">
        <v>0</v>
      </c>
      <c r="X94" s="20">
        <v>0</v>
      </c>
      <c r="Y94" s="20">
        <v>0</v>
      </c>
      <c r="Z94" s="20">
        <v>0</v>
      </c>
      <c r="AA94" s="20">
        <v>0</v>
      </c>
      <c r="AB94" s="20">
        <v>0</v>
      </c>
      <c r="AC94" s="20">
        <v>0</v>
      </c>
      <c r="AD94" s="20">
        <v>0</v>
      </c>
      <c r="AE94" s="20">
        <v>0</v>
      </c>
      <c r="AF94" s="20">
        <v>0</v>
      </c>
      <c r="AG94" s="40">
        <v>0</v>
      </c>
      <c r="AH94" s="24"/>
      <c r="AJ94" s="24"/>
      <c r="AK94" s="20"/>
      <c r="AL94" s="41"/>
      <c r="AM94" s="42"/>
    </row>
    <row r="95" spans="1:45" ht="12.75" customHeight="1" x14ac:dyDescent="0.2">
      <c r="A95" s="22" t="s">
        <v>209</v>
      </c>
      <c r="B95" s="39">
        <f t="shared" si="15"/>
        <v>0</v>
      </c>
      <c r="C95" s="69">
        <v>0</v>
      </c>
      <c r="D95" s="69">
        <v>0</v>
      </c>
      <c r="E95" s="69">
        <v>0</v>
      </c>
      <c r="F95" s="69">
        <v>0</v>
      </c>
      <c r="G95" s="69">
        <v>0</v>
      </c>
      <c r="H95" s="69">
        <v>0</v>
      </c>
      <c r="I95" s="69">
        <v>0</v>
      </c>
      <c r="J95" s="69">
        <v>0</v>
      </c>
      <c r="K95" s="69">
        <v>0</v>
      </c>
      <c r="L95" s="69">
        <v>0</v>
      </c>
      <c r="M95" s="69">
        <v>0</v>
      </c>
      <c r="N95" s="69">
        <v>0</v>
      </c>
      <c r="O95" s="69">
        <v>0</v>
      </c>
      <c r="P95" s="69">
        <v>0</v>
      </c>
      <c r="Q95" s="69">
        <v>0</v>
      </c>
      <c r="R95" s="69">
        <v>0</v>
      </c>
      <c r="S95" s="69">
        <v>0</v>
      </c>
      <c r="T95" s="69">
        <v>0</v>
      </c>
      <c r="U95" s="69">
        <v>0</v>
      </c>
      <c r="V95" s="69">
        <v>0</v>
      </c>
      <c r="W95" s="69">
        <v>0</v>
      </c>
      <c r="X95" s="69">
        <v>0</v>
      </c>
      <c r="Y95" s="69">
        <v>0</v>
      </c>
      <c r="Z95" s="69">
        <v>0</v>
      </c>
      <c r="AA95" s="69">
        <v>0</v>
      </c>
      <c r="AB95" s="69">
        <v>0</v>
      </c>
      <c r="AC95" s="69">
        <v>0</v>
      </c>
      <c r="AD95" s="69">
        <v>0</v>
      </c>
      <c r="AE95" s="69">
        <v>0</v>
      </c>
      <c r="AF95" s="69">
        <v>0</v>
      </c>
      <c r="AG95" s="40">
        <v>0</v>
      </c>
      <c r="AH95" s="24"/>
      <c r="AJ95" s="24"/>
      <c r="AK95" s="20"/>
      <c r="AL95" s="41"/>
      <c r="AM95" s="42"/>
    </row>
    <row r="96" spans="1:45" ht="12.75" customHeight="1" x14ac:dyDescent="0.2">
      <c r="A96" s="22" t="s">
        <v>210</v>
      </c>
      <c r="B96" s="39">
        <f t="shared" si="15"/>
        <v>0</v>
      </c>
      <c r="C96" s="20">
        <v>0</v>
      </c>
      <c r="D96" s="20">
        <v>0</v>
      </c>
      <c r="E96" s="20">
        <v>0</v>
      </c>
      <c r="F96" s="20">
        <v>0</v>
      </c>
      <c r="G96" s="20">
        <v>0</v>
      </c>
      <c r="H96" s="20">
        <v>0</v>
      </c>
      <c r="I96" s="20">
        <v>0</v>
      </c>
      <c r="J96" s="20">
        <v>0</v>
      </c>
      <c r="K96" s="20">
        <v>0</v>
      </c>
      <c r="L96" s="20">
        <v>0</v>
      </c>
      <c r="M96" s="20">
        <v>0</v>
      </c>
      <c r="N96" s="20">
        <v>0</v>
      </c>
      <c r="O96" s="20">
        <v>0</v>
      </c>
      <c r="P96" s="20">
        <v>0</v>
      </c>
      <c r="Q96" s="20">
        <v>0</v>
      </c>
      <c r="R96" s="20">
        <v>0</v>
      </c>
      <c r="S96" s="20">
        <v>0</v>
      </c>
      <c r="T96" s="20">
        <v>0</v>
      </c>
      <c r="U96" s="20">
        <v>0</v>
      </c>
      <c r="V96" s="20">
        <v>0</v>
      </c>
      <c r="W96" s="20">
        <v>0</v>
      </c>
      <c r="X96" s="20">
        <v>0</v>
      </c>
      <c r="Y96" s="20">
        <v>0</v>
      </c>
      <c r="Z96" s="20">
        <v>0</v>
      </c>
      <c r="AA96" s="20">
        <v>0</v>
      </c>
      <c r="AB96" s="20">
        <v>0</v>
      </c>
      <c r="AC96" s="20">
        <v>0</v>
      </c>
      <c r="AD96" s="20">
        <v>0</v>
      </c>
      <c r="AE96" s="20">
        <v>0</v>
      </c>
      <c r="AF96" s="20">
        <v>0</v>
      </c>
      <c r="AG96" s="40">
        <v>0</v>
      </c>
      <c r="AH96" s="24"/>
      <c r="AJ96" s="24"/>
      <c r="AK96" s="20"/>
      <c r="AL96" s="41"/>
      <c r="AM96" s="42"/>
    </row>
    <row r="97" spans="1:45" ht="12.75" customHeight="1" x14ac:dyDescent="0.2">
      <c r="A97" s="22" t="s">
        <v>211</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t="s">
        <v>212</v>
      </c>
      <c r="B98" s="39">
        <f t="shared" si="15"/>
        <v>0</v>
      </c>
      <c r="C98" s="69">
        <v>0</v>
      </c>
      <c r="D98" s="69">
        <v>0</v>
      </c>
      <c r="E98" s="69">
        <v>0</v>
      </c>
      <c r="F98" s="69">
        <v>0</v>
      </c>
      <c r="G98" s="69">
        <v>0</v>
      </c>
      <c r="H98" s="69">
        <v>0</v>
      </c>
      <c r="I98" s="69">
        <v>0</v>
      </c>
      <c r="J98" s="69">
        <v>0</v>
      </c>
      <c r="K98" s="69">
        <v>0</v>
      </c>
      <c r="L98" s="69">
        <v>0</v>
      </c>
      <c r="M98" s="69">
        <v>0</v>
      </c>
      <c r="N98" s="69">
        <v>0</v>
      </c>
      <c r="O98" s="69">
        <v>0</v>
      </c>
      <c r="P98" s="69">
        <v>0</v>
      </c>
      <c r="Q98" s="69">
        <v>0</v>
      </c>
      <c r="R98" s="69">
        <v>0</v>
      </c>
      <c r="S98" s="69">
        <v>0</v>
      </c>
      <c r="T98" s="69">
        <v>0</v>
      </c>
      <c r="U98" s="69">
        <v>0</v>
      </c>
      <c r="V98" s="69">
        <v>0</v>
      </c>
      <c r="W98" s="69">
        <v>0</v>
      </c>
      <c r="X98" s="69">
        <v>0</v>
      </c>
      <c r="Y98" s="69">
        <v>0</v>
      </c>
      <c r="Z98" s="69">
        <v>0</v>
      </c>
      <c r="AA98" s="69">
        <v>0</v>
      </c>
      <c r="AB98" s="69">
        <v>0</v>
      </c>
      <c r="AC98" s="69">
        <v>0</v>
      </c>
      <c r="AD98" s="69">
        <v>0</v>
      </c>
      <c r="AE98" s="69">
        <v>0</v>
      </c>
      <c r="AF98" s="69">
        <v>0</v>
      </c>
      <c r="AG98" s="40">
        <v>0</v>
      </c>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19" t="s">
        <v>213</v>
      </c>
      <c r="B102" s="51">
        <f>SUM(B88:B101)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161</v>
      </c>
      <c r="C104" s="32">
        <f>SUM(C108:C117)</f>
        <v>0</v>
      </c>
      <c r="D104" s="32">
        <f t="shared" ref="D104:S104" si="16">SUM(D108:D117)</f>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si="16"/>
        <v>0</v>
      </c>
      <c r="T104" s="32">
        <f t="shared" ref="T104:AG104" si="17">SUM(T108:T117)</f>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25">
      <c r="A105" s="216" t="s">
        <v>214</v>
      </c>
      <c r="B105" s="116">
        <f t="shared" ref="B105:AG105" si="18">B44</f>
        <v>36831</v>
      </c>
      <c r="C105" s="104">
        <f t="shared" si="18"/>
        <v>36831</v>
      </c>
      <c r="D105" s="104">
        <f t="shared" si="18"/>
        <v>36832</v>
      </c>
      <c r="E105" s="104">
        <f t="shared" si="18"/>
        <v>36833</v>
      </c>
      <c r="F105" s="104">
        <f t="shared" si="18"/>
        <v>36834</v>
      </c>
      <c r="G105" s="104">
        <f t="shared" si="18"/>
        <v>36835</v>
      </c>
      <c r="H105" s="104">
        <f t="shared" si="18"/>
        <v>36836</v>
      </c>
      <c r="I105" s="104">
        <f t="shared" si="18"/>
        <v>36837</v>
      </c>
      <c r="J105" s="104">
        <f t="shared" si="18"/>
        <v>36838</v>
      </c>
      <c r="K105" s="104">
        <f t="shared" si="18"/>
        <v>36839</v>
      </c>
      <c r="L105" s="104">
        <f t="shared" si="18"/>
        <v>36840</v>
      </c>
      <c r="M105" s="104">
        <f t="shared" si="18"/>
        <v>36841</v>
      </c>
      <c r="N105" s="104">
        <f t="shared" si="18"/>
        <v>36842</v>
      </c>
      <c r="O105" s="104">
        <f t="shared" si="18"/>
        <v>36843</v>
      </c>
      <c r="P105" s="104">
        <f t="shared" si="18"/>
        <v>36844</v>
      </c>
      <c r="Q105" s="104">
        <f t="shared" si="18"/>
        <v>36845</v>
      </c>
      <c r="R105" s="104">
        <f t="shared" si="18"/>
        <v>36846</v>
      </c>
      <c r="S105" s="104">
        <f t="shared" si="18"/>
        <v>36847</v>
      </c>
      <c r="T105" s="104">
        <f t="shared" si="18"/>
        <v>36848</v>
      </c>
      <c r="U105" s="104">
        <f t="shared" si="18"/>
        <v>36849</v>
      </c>
      <c r="V105" s="104">
        <f t="shared" si="18"/>
        <v>36850</v>
      </c>
      <c r="W105" s="104">
        <f t="shared" si="18"/>
        <v>36851</v>
      </c>
      <c r="X105" s="104">
        <f t="shared" si="18"/>
        <v>36852</v>
      </c>
      <c r="Y105" s="104">
        <f t="shared" si="18"/>
        <v>36853</v>
      </c>
      <c r="Z105" s="104">
        <f t="shared" si="18"/>
        <v>36854</v>
      </c>
      <c r="AA105" s="104">
        <f t="shared" si="18"/>
        <v>36855</v>
      </c>
      <c r="AB105" s="104">
        <f t="shared" si="18"/>
        <v>36856</v>
      </c>
      <c r="AC105" s="104">
        <f t="shared" si="18"/>
        <v>36857</v>
      </c>
      <c r="AD105" s="104">
        <f t="shared" si="18"/>
        <v>36858</v>
      </c>
      <c r="AE105" s="104">
        <f t="shared" si="18"/>
        <v>36859</v>
      </c>
      <c r="AF105" s="104">
        <f t="shared" si="18"/>
        <v>36860</v>
      </c>
      <c r="AG105" s="104">
        <f t="shared" si="18"/>
        <v>36861</v>
      </c>
      <c r="AI105" s="117"/>
      <c r="AJ105" s="119"/>
      <c r="AL105" s="100"/>
    </row>
    <row r="106" spans="1:45" ht="12.75" customHeight="1" x14ac:dyDescent="0.25">
      <c r="A106" s="34"/>
      <c r="B106" s="34"/>
      <c r="C106" s="105" t="str">
        <f t="shared" ref="C106:AG106" si="19">C45</f>
        <v>W</v>
      </c>
      <c r="D106" s="105" t="str">
        <f t="shared" si="19"/>
        <v>R</v>
      </c>
      <c r="E106" s="105" t="str">
        <f t="shared" si="19"/>
        <v>F</v>
      </c>
      <c r="F106" s="105" t="str">
        <f t="shared" si="19"/>
        <v>S</v>
      </c>
      <c r="G106" s="105" t="str">
        <f t="shared" si="19"/>
        <v>S</v>
      </c>
      <c r="H106" s="105" t="str">
        <f t="shared" si="19"/>
        <v>M</v>
      </c>
      <c r="I106" s="105" t="str">
        <f t="shared" si="19"/>
        <v>T</v>
      </c>
      <c r="J106" s="105" t="str">
        <f t="shared" si="19"/>
        <v>W</v>
      </c>
      <c r="K106" s="105" t="str">
        <f t="shared" si="19"/>
        <v>R</v>
      </c>
      <c r="L106" s="105" t="str">
        <f t="shared" si="19"/>
        <v>F</v>
      </c>
      <c r="M106" s="105" t="str">
        <f t="shared" si="19"/>
        <v>S</v>
      </c>
      <c r="N106" s="105" t="str">
        <f t="shared" si="19"/>
        <v>S</v>
      </c>
      <c r="O106" s="105" t="str">
        <f t="shared" si="19"/>
        <v>M</v>
      </c>
      <c r="P106" s="105" t="str">
        <f t="shared" si="19"/>
        <v>T</v>
      </c>
      <c r="Q106" s="105" t="str">
        <f t="shared" si="19"/>
        <v>W</v>
      </c>
      <c r="R106" s="105" t="str">
        <f t="shared" si="19"/>
        <v>R</v>
      </c>
      <c r="S106" s="105" t="str">
        <f t="shared" si="19"/>
        <v>F</v>
      </c>
      <c r="T106" s="105" t="str">
        <f t="shared" si="19"/>
        <v>S</v>
      </c>
      <c r="U106" s="105" t="str">
        <f t="shared" si="19"/>
        <v>S</v>
      </c>
      <c r="V106" s="105" t="str">
        <f t="shared" si="19"/>
        <v>M</v>
      </c>
      <c r="W106" s="105" t="str">
        <f t="shared" si="19"/>
        <v>T</v>
      </c>
      <c r="X106" s="105" t="str">
        <f t="shared" si="19"/>
        <v>W</v>
      </c>
      <c r="Y106" s="105" t="str">
        <f t="shared" si="19"/>
        <v>R</v>
      </c>
      <c r="Z106" s="105" t="str">
        <f t="shared" si="19"/>
        <v>F</v>
      </c>
      <c r="AA106" s="105" t="str">
        <f t="shared" si="19"/>
        <v>S</v>
      </c>
      <c r="AB106" s="105" t="str">
        <f t="shared" si="19"/>
        <v>S</v>
      </c>
      <c r="AC106" s="105" t="str">
        <f t="shared" si="19"/>
        <v>M</v>
      </c>
      <c r="AD106" s="105" t="str">
        <f t="shared" si="19"/>
        <v>T</v>
      </c>
      <c r="AE106" s="105" t="str">
        <f t="shared" si="19"/>
        <v>W</v>
      </c>
      <c r="AF106" s="105" t="str">
        <f t="shared" si="19"/>
        <v>R</v>
      </c>
      <c r="AG106" s="105" t="str">
        <f t="shared" si="19"/>
        <v>F</v>
      </c>
      <c r="AH106" s="1"/>
      <c r="AI106" s="117"/>
      <c r="AJ106" s="118"/>
      <c r="AK106" s="1"/>
      <c r="AL106" s="24"/>
      <c r="AN106" s="1"/>
      <c r="AO106" s="1"/>
      <c r="AP106" s="1"/>
      <c r="AQ106" s="1"/>
      <c r="AR106" s="1"/>
      <c r="AS106" s="1"/>
    </row>
    <row r="107" spans="1:45" ht="12.75" customHeight="1" thickBot="1" x14ac:dyDescent="0.3">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205</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207</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208</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209</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210</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212</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216</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217</v>
      </c>
      <c r="B124" s="76"/>
      <c r="C124" s="77"/>
      <c r="D124" s="77"/>
      <c r="E124" s="78"/>
      <c r="G124" s="75" t="s">
        <v>218</v>
      </c>
      <c r="H124" s="75"/>
      <c r="I124" s="76"/>
      <c r="J124" s="77"/>
      <c r="K124" s="77"/>
      <c r="L124" s="78"/>
      <c r="M124" s="9"/>
      <c r="N124" s="9"/>
      <c r="O124" s="1"/>
      <c r="P124" s="1"/>
    </row>
    <row r="125" spans="1:39" ht="12.75" customHeight="1" thickTop="1" x14ac:dyDescent="0.2">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
      <c r="A126" s="152" t="s">
        <v>253</v>
      </c>
      <c r="B126" s="24" t="s">
        <v>254</v>
      </c>
      <c r="C126" s="24"/>
      <c r="D126" s="38"/>
      <c r="E126" s="141">
        <v>-22228677</v>
      </c>
      <c r="G126" s="81"/>
      <c r="H126" s="80"/>
      <c r="I126" s="24"/>
      <c r="J126" s="1"/>
      <c r="K126" s="149"/>
      <c r="L126" s="141"/>
      <c r="M126" s="1"/>
      <c r="N126" s="1"/>
      <c r="O126" s="1"/>
      <c r="P126" s="1"/>
    </row>
    <row r="127" spans="1:39" ht="12.75" customHeight="1" x14ac:dyDescent="0.2">
      <c r="A127" s="436" t="s">
        <v>222</v>
      </c>
      <c r="B127" s="24" t="s">
        <v>223</v>
      </c>
      <c r="C127" s="24"/>
      <c r="D127" s="49"/>
      <c r="E127" s="141">
        <v>-11878542</v>
      </c>
      <c r="G127" s="81"/>
      <c r="H127" s="9"/>
      <c r="I127" s="24"/>
      <c r="J127" s="1"/>
      <c r="K127" s="149"/>
      <c r="L127" s="141"/>
      <c r="M127" s="1"/>
      <c r="N127" s="1"/>
      <c r="O127" s="1"/>
      <c r="P127" s="1"/>
    </row>
    <row r="128" spans="1:39" ht="12.75" customHeight="1" x14ac:dyDescent="0.2">
      <c r="A128" s="436" t="s">
        <v>224</v>
      </c>
      <c r="B128" s="24" t="s">
        <v>225</v>
      </c>
      <c r="C128" s="24"/>
      <c r="D128" s="49"/>
      <c r="E128" s="141">
        <v>-19377663</v>
      </c>
      <c r="G128" s="81" t="s">
        <v>565</v>
      </c>
      <c r="H128" s="24" t="s">
        <v>566</v>
      </c>
      <c r="I128" s="1"/>
      <c r="J128" s="1"/>
      <c r="K128" s="149"/>
      <c r="L128" s="141">
        <v>12746</v>
      </c>
      <c r="M128" s="1"/>
      <c r="N128" s="1"/>
      <c r="O128" s="1"/>
      <c r="P128" s="1"/>
    </row>
    <row r="129" spans="1:16" ht="12.75" customHeight="1" x14ac:dyDescent="0.2">
      <c r="A129" s="153">
        <v>36161</v>
      </c>
      <c r="B129" s="24" t="s">
        <v>226</v>
      </c>
      <c r="C129" s="24"/>
      <c r="D129" s="38"/>
      <c r="E129" s="141">
        <f>121198-1031352-23445-26133</f>
        <v>-959732</v>
      </c>
      <c r="G129" s="81"/>
      <c r="H129" s="24"/>
      <c r="I129" s="1"/>
      <c r="J129" s="1"/>
      <c r="K129" s="38"/>
      <c r="L129" s="142"/>
      <c r="M129" s="1"/>
      <c r="N129" s="1"/>
      <c r="O129" s="1"/>
      <c r="P129" s="1"/>
    </row>
    <row r="130" spans="1:16" ht="12.75" customHeight="1" x14ac:dyDescent="0.2">
      <c r="A130" s="153">
        <v>36192</v>
      </c>
      <c r="B130" s="24" t="s">
        <v>227</v>
      </c>
      <c r="C130" s="24"/>
      <c r="D130" s="38"/>
      <c r="E130" s="141">
        <f>5060212-968879+557012-109228</f>
        <v>4539117</v>
      </c>
      <c r="G130" s="81"/>
      <c r="H130" s="24"/>
      <c r="I130" s="1"/>
      <c r="J130" s="1"/>
      <c r="K130" s="38"/>
      <c r="L130" s="141"/>
      <c r="M130" s="1"/>
      <c r="N130" s="1"/>
      <c r="O130" s="1"/>
      <c r="P130" s="1"/>
    </row>
    <row r="131" spans="1:16" ht="12.75" customHeight="1" x14ac:dyDescent="0.2">
      <c r="A131" s="153" t="s">
        <v>357</v>
      </c>
      <c r="B131" s="24" t="s">
        <v>358</v>
      </c>
      <c r="C131" s="24"/>
      <c r="D131" s="38"/>
      <c r="E131" s="141">
        <f>+'Price - East '!E159</f>
        <v>339524</v>
      </c>
      <c r="G131" s="466"/>
      <c r="H131" s="24"/>
      <c r="I131" s="1"/>
      <c r="J131" s="1"/>
      <c r="K131" s="38"/>
      <c r="L131" s="141"/>
      <c r="M131" s="1"/>
      <c r="N131" s="1"/>
      <c r="O131" s="1"/>
      <c r="P131" s="1"/>
    </row>
    <row r="132" spans="1:16" ht="12.75" customHeight="1" x14ac:dyDescent="0.2">
      <c r="A132" s="153">
        <v>36220</v>
      </c>
      <c r="B132" s="24" t="s">
        <v>228</v>
      </c>
      <c r="C132" s="24"/>
      <c r="D132" s="38"/>
      <c r="E132" s="141">
        <f>-3326324-1169978-413567-86415-1170</f>
        <v>-4997454</v>
      </c>
      <c r="G132" s="81"/>
      <c r="H132" s="1"/>
      <c r="I132" s="1"/>
      <c r="J132" s="1"/>
      <c r="K132" s="149"/>
      <c r="L132" s="142"/>
      <c r="M132" s="1"/>
      <c r="N132" s="1"/>
      <c r="O132" s="1"/>
      <c r="P132" s="1"/>
    </row>
    <row r="133" spans="1:16" ht="12.75" customHeight="1" x14ac:dyDescent="0.2">
      <c r="A133" s="153">
        <v>36251</v>
      </c>
      <c r="B133" s="24" t="s">
        <v>229</v>
      </c>
      <c r="C133" s="24"/>
      <c r="D133" s="38"/>
      <c r="E133" s="141">
        <f>870951-883845+260293-194307</f>
        <v>53092</v>
      </c>
      <c r="G133" s="81"/>
      <c r="H133" s="24"/>
      <c r="I133" s="1"/>
      <c r="J133" s="1"/>
      <c r="K133" s="38"/>
      <c r="L133" s="142"/>
      <c r="M133" s="1"/>
      <c r="N133" s="1"/>
      <c r="O133" s="1"/>
      <c r="P133" s="1"/>
    </row>
    <row r="134" spans="1:16" ht="12.75" customHeight="1" x14ac:dyDescent="0.2">
      <c r="A134" s="153">
        <v>36281</v>
      </c>
      <c r="B134" s="24" t="s">
        <v>230</v>
      </c>
      <c r="C134" s="82"/>
      <c r="D134" s="38"/>
      <c r="E134" s="141">
        <f>2831996-739915+926325-251376</f>
        <v>2767030</v>
      </c>
      <c r="G134" s="81"/>
      <c r="H134" s="24"/>
      <c r="I134" s="1"/>
      <c r="J134" s="1"/>
      <c r="K134" s="38"/>
      <c r="L134" s="141"/>
      <c r="M134" s="43"/>
      <c r="N134" s="42"/>
      <c r="O134" s="1"/>
      <c r="P134" s="1"/>
    </row>
    <row r="135" spans="1:16" ht="12.75" customHeight="1" x14ac:dyDescent="0.2">
      <c r="A135" s="153">
        <v>36312</v>
      </c>
      <c r="B135" s="24" t="s">
        <v>231</v>
      </c>
      <c r="C135" s="82"/>
      <c r="D135" s="38"/>
      <c r="E135" s="141">
        <f>896336-874312+243466-311252</f>
        <v>-45762</v>
      </c>
      <c r="G135" s="81"/>
      <c r="H135" s="24"/>
      <c r="I135" s="1"/>
      <c r="J135" s="1"/>
      <c r="K135" s="38"/>
      <c r="L135" s="141"/>
      <c r="M135" s="43"/>
      <c r="N135" s="1"/>
      <c r="O135" s="1"/>
      <c r="P135" s="1"/>
    </row>
    <row r="136" spans="1:16" ht="12.75" customHeight="1" x14ac:dyDescent="0.2">
      <c r="A136" s="153">
        <v>36342</v>
      </c>
      <c r="B136" s="24" t="s">
        <v>232</v>
      </c>
      <c r="C136" s="82"/>
      <c r="D136" s="38"/>
      <c r="E136" s="141">
        <f>2441084-828302+585290-203283</f>
        <v>1994789</v>
      </c>
      <c r="G136" s="81"/>
      <c r="H136" s="24"/>
      <c r="I136" s="1"/>
      <c r="J136" s="1"/>
      <c r="K136" s="38"/>
      <c r="L136" s="141"/>
      <c r="M136" s="1"/>
      <c r="N136" s="43"/>
      <c r="O136" s="1"/>
      <c r="P136" s="1"/>
    </row>
    <row r="137" spans="1:16" ht="12.75" customHeight="1" x14ac:dyDescent="0.2">
      <c r="A137" s="153">
        <v>36373</v>
      </c>
      <c r="B137" s="24" t="s">
        <v>233</v>
      </c>
      <c r="C137" s="24"/>
      <c r="D137" s="38"/>
      <c r="E137" s="141">
        <f>28017-926023-154064-150742</f>
        <v>-1202812</v>
      </c>
      <c r="G137" s="81"/>
      <c r="H137" s="24"/>
      <c r="I137" s="1"/>
      <c r="J137" s="1"/>
      <c r="K137" s="38"/>
      <c r="L137" s="141"/>
      <c r="M137" s="1"/>
      <c r="N137" s="43"/>
      <c r="O137" s="1"/>
      <c r="P137" s="1"/>
    </row>
    <row r="138" spans="1:16" ht="12.75" customHeight="1" x14ac:dyDescent="0.2">
      <c r="A138" s="153">
        <v>36404</v>
      </c>
      <c r="B138" s="24" t="s">
        <v>234</v>
      </c>
      <c r="C138" s="24"/>
      <c r="D138" s="38"/>
      <c r="E138" s="141">
        <f>-549488-793600-120519-254376</f>
        <v>-1717983</v>
      </c>
      <c r="G138" s="81"/>
      <c r="H138" s="24"/>
      <c r="I138" s="1"/>
      <c r="J138" s="1"/>
      <c r="K138" s="38"/>
      <c r="L138" s="141"/>
      <c r="M138" s="1"/>
      <c r="N138" s="1"/>
      <c r="O138" s="1"/>
      <c r="P138" s="1"/>
    </row>
    <row r="139" spans="1:16" ht="12.75" customHeight="1" x14ac:dyDescent="0.2">
      <c r="A139" s="153">
        <v>36434</v>
      </c>
      <c r="B139" s="24" t="s">
        <v>235</v>
      </c>
      <c r="C139" s="24"/>
      <c r="D139" s="38"/>
      <c r="E139" s="141">
        <f>1526778-800248+474629-224536</f>
        <v>976623</v>
      </c>
      <c r="G139" s="81"/>
      <c r="H139" s="24"/>
      <c r="I139" s="1"/>
      <c r="J139" s="1"/>
      <c r="K139" s="38"/>
      <c r="L139" s="141"/>
      <c r="M139" s="1"/>
      <c r="N139" s="1"/>
      <c r="O139" s="1"/>
      <c r="P139" s="1"/>
    </row>
    <row r="140" spans="1:16" ht="12.75" customHeight="1" x14ac:dyDescent="0.2">
      <c r="A140" s="153">
        <v>36465</v>
      </c>
      <c r="B140" s="24" t="s">
        <v>236</v>
      </c>
      <c r="C140" s="83"/>
      <c r="D140" s="38"/>
      <c r="E140" s="141">
        <v>-236248</v>
      </c>
      <c r="G140" s="81"/>
      <c r="H140" s="24"/>
      <c r="I140" s="1"/>
      <c r="J140" s="1"/>
      <c r="K140" s="38"/>
      <c r="L140" s="141"/>
      <c r="M140" s="1"/>
      <c r="N140" s="1"/>
      <c r="O140" s="1"/>
      <c r="P140" s="1"/>
    </row>
    <row r="141" spans="1:16" ht="12.75" customHeight="1" x14ac:dyDescent="0.2">
      <c r="A141" s="153">
        <v>36495</v>
      </c>
      <c r="B141" s="24" t="s">
        <v>237</v>
      </c>
      <c r="C141"/>
      <c r="D141" s="38"/>
      <c r="E141" s="141">
        <v>-519336</v>
      </c>
      <c r="G141" s="81"/>
      <c r="H141" s="24"/>
      <c r="I141" s="1"/>
      <c r="J141" s="1"/>
      <c r="K141" s="38"/>
      <c r="L141" s="141"/>
      <c r="M141" s="1"/>
      <c r="N141" s="1"/>
      <c r="O141" s="1"/>
      <c r="P141" s="1"/>
    </row>
    <row r="142" spans="1:16" ht="12.75" customHeight="1" x14ac:dyDescent="0.2">
      <c r="A142" s="153">
        <v>36526</v>
      </c>
      <c r="B142" s="24" t="s">
        <v>238</v>
      </c>
      <c r="C142"/>
      <c r="D142" s="38"/>
      <c r="E142" s="141">
        <f>2448932-1116934+732479-277012</f>
        <v>1787465</v>
      </c>
      <c r="G142" s="81"/>
      <c r="H142" s="24"/>
      <c r="I142" s="1"/>
      <c r="J142" s="1"/>
      <c r="K142" s="38"/>
      <c r="L142" s="141"/>
      <c r="M142" s="1"/>
      <c r="N142" s="1"/>
      <c r="O142" s="1"/>
      <c r="P142" s="1"/>
    </row>
    <row r="143" spans="1:16" ht="12.75" customHeight="1" x14ac:dyDescent="0.2">
      <c r="A143" s="153">
        <v>36557</v>
      </c>
      <c r="B143" s="24" t="s">
        <v>239</v>
      </c>
      <c r="C143"/>
      <c r="D143" s="38"/>
      <c r="E143" s="141">
        <v>-5098547</v>
      </c>
      <c r="G143" s="81"/>
      <c r="H143" s="24"/>
      <c r="I143" s="1"/>
      <c r="J143" s="1"/>
      <c r="K143" s="38"/>
      <c r="L143" s="141"/>
      <c r="M143" s="1"/>
      <c r="N143" s="1"/>
      <c r="O143" s="1"/>
      <c r="P143" s="1"/>
    </row>
    <row r="144" spans="1:16" ht="12.75" customHeight="1" x14ac:dyDescent="0.2">
      <c r="A144" s="153">
        <v>36586</v>
      </c>
      <c r="B144" s="24" t="s">
        <v>240</v>
      </c>
      <c r="C144"/>
      <c r="D144" s="38"/>
      <c r="E144" s="141">
        <v>-1836616</v>
      </c>
      <c r="G144" s="81"/>
      <c r="H144" s="24"/>
      <c r="I144" s="1"/>
      <c r="J144" s="1"/>
      <c r="K144" s="38"/>
      <c r="L144" s="141"/>
      <c r="M144" s="1"/>
      <c r="N144" s="1"/>
      <c r="O144" s="1"/>
      <c r="P144" s="1"/>
    </row>
    <row r="145" spans="1:39" ht="12.75" customHeight="1" x14ac:dyDescent="0.2">
      <c r="A145" s="153" t="s">
        <v>468</v>
      </c>
      <c r="B145"/>
      <c r="C145"/>
      <c r="D145" s="38"/>
      <c r="E145" s="141">
        <v>7993</v>
      </c>
      <c r="G145" s="81"/>
      <c r="H145" s="24"/>
      <c r="I145" s="1"/>
      <c r="J145" s="1"/>
      <c r="K145" s="38"/>
      <c r="L145" s="141"/>
      <c r="M145" s="1"/>
      <c r="N145" s="1"/>
      <c r="O145" s="1"/>
      <c r="P145" s="1"/>
    </row>
    <row r="146" spans="1:39" ht="12.75" customHeight="1" x14ac:dyDescent="0.2">
      <c r="A146" s="153">
        <v>36617</v>
      </c>
      <c r="B146" s="24" t="s">
        <v>479</v>
      </c>
      <c r="C146"/>
      <c r="D146" s="38"/>
      <c r="E146" s="141">
        <v>606571</v>
      </c>
      <c r="G146" s="81"/>
      <c r="H146" s="24"/>
      <c r="I146" s="1"/>
      <c r="J146" s="1"/>
      <c r="K146" s="38"/>
      <c r="L146" s="141"/>
      <c r="M146" s="1"/>
      <c r="N146" s="1"/>
      <c r="O146" s="1"/>
      <c r="P146" s="1"/>
    </row>
    <row r="147" spans="1:39" ht="12.75" customHeight="1" x14ac:dyDescent="0.2">
      <c r="A147" s="153">
        <v>36647</v>
      </c>
      <c r="B147" s="24" t="s">
        <v>487</v>
      </c>
      <c r="C147"/>
      <c r="D147" s="38"/>
      <c r="E147" s="141">
        <v>-2115594</v>
      </c>
      <c r="G147" s="81"/>
      <c r="H147" s="24"/>
      <c r="I147" s="1"/>
      <c r="J147" s="1"/>
      <c r="K147" s="38"/>
      <c r="L147" s="141"/>
      <c r="M147" s="1"/>
      <c r="N147" s="1"/>
      <c r="O147" s="1"/>
      <c r="P147" s="1"/>
    </row>
    <row r="148" spans="1:39" ht="12.75" customHeight="1" x14ac:dyDescent="0.2">
      <c r="A148" s="153" t="s">
        <v>492</v>
      </c>
      <c r="B148"/>
      <c r="C148"/>
      <c r="D148" s="38"/>
      <c r="E148" s="141">
        <v>-242536</v>
      </c>
      <c r="G148" s="81"/>
      <c r="H148" s="24"/>
      <c r="I148" s="1"/>
      <c r="J148" s="1"/>
      <c r="K148" s="38"/>
      <c r="L148" s="141"/>
      <c r="M148" s="1"/>
      <c r="N148" s="1"/>
      <c r="O148" s="1"/>
      <c r="P148" s="1"/>
    </row>
    <row r="149" spans="1:39" ht="12.75" customHeight="1" x14ac:dyDescent="0.2">
      <c r="A149" s="153">
        <v>36678</v>
      </c>
      <c r="B149" s="24" t="s">
        <v>493</v>
      </c>
      <c r="C149"/>
      <c r="D149" s="38"/>
      <c r="E149" s="141">
        <v>-3155226</v>
      </c>
      <c r="G149" s="81"/>
      <c r="H149" s="24"/>
      <c r="I149" s="1"/>
      <c r="J149" s="1"/>
      <c r="K149" s="38"/>
      <c r="L149" s="141"/>
      <c r="M149" s="1"/>
      <c r="N149" s="1"/>
      <c r="O149" s="1"/>
      <c r="P149" s="1"/>
    </row>
    <row r="150" spans="1:39" ht="12.75" customHeight="1" x14ac:dyDescent="0.2">
      <c r="A150" s="153">
        <v>36708</v>
      </c>
      <c r="B150" s="24" t="s">
        <v>494</v>
      </c>
      <c r="C150"/>
      <c r="D150" s="38"/>
      <c r="E150" s="141">
        <v>-979663</v>
      </c>
      <c r="G150" s="81"/>
      <c r="H150" s="24"/>
      <c r="I150" s="1"/>
      <c r="J150" s="1"/>
      <c r="K150" s="38"/>
      <c r="L150" s="141"/>
      <c r="M150" s="1"/>
      <c r="N150" s="1"/>
      <c r="O150" s="1"/>
      <c r="P150" s="1"/>
    </row>
    <row r="151" spans="1:39" ht="12.75" customHeight="1" x14ac:dyDescent="0.2">
      <c r="A151" s="153">
        <v>36739</v>
      </c>
      <c r="B151" s="24" t="s">
        <v>499</v>
      </c>
      <c r="C151" s="24"/>
      <c r="D151" s="38"/>
      <c r="E151" s="141">
        <v>-3151686</v>
      </c>
      <c r="G151" s="81"/>
      <c r="H151" s="24"/>
      <c r="I151" s="1"/>
      <c r="J151" s="1"/>
      <c r="K151" s="38"/>
      <c r="L151" s="141"/>
      <c r="M151" s="1"/>
      <c r="N151" s="1"/>
      <c r="O151" s="1"/>
      <c r="P151" s="1"/>
    </row>
    <row r="152" spans="1:39" ht="12.75" customHeight="1" x14ac:dyDescent="0.2">
      <c r="A152" s="153">
        <v>36770</v>
      </c>
      <c r="B152" s="24" t="s">
        <v>510</v>
      </c>
      <c r="C152" s="24"/>
      <c r="D152" s="38"/>
      <c r="E152" s="141">
        <v>-1573086</v>
      </c>
      <c r="G152" s="81"/>
      <c r="H152" s="24"/>
      <c r="I152" s="1"/>
      <c r="J152" s="1"/>
      <c r="K152" s="38"/>
      <c r="L152" s="141"/>
      <c r="M152" s="1"/>
      <c r="N152" s="1"/>
      <c r="O152" s="1"/>
      <c r="P152" s="1"/>
    </row>
    <row r="153" spans="1:39" ht="12.75" customHeight="1" x14ac:dyDescent="0.2">
      <c r="A153" s="153">
        <v>36800</v>
      </c>
      <c r="B153" s="24" t="s">
        <v>519</v>
      </c>
      <c r="C153" s="24"/>
      <c r="D153" s="38"/>
      <c r="E153" s="141">
        <v>-202851</v>
      </c>
      <c r="G153" s="81"/>
      <c r="H153" s="24"/>
      <c r="I153" s="1"/>
      <c r="J153" s="1"/>
      <c r="K153" s="38"/>
      <c r="L153" s="141"/>
      <c r="M153" s="1"/>
      <c r="N153" s="1"/>
      <c r="O153" s="1"/>
      <c r="P153" s="1"/>
    </row>
    <row r="154" spans="1:39" ht="12.75" customHeight="1" x14ac:dyDescent="0.2">
      <c r="A154" s="153"/>
      <c r="B154" s="24"/>
      <c r="C154" s="24"/>
      <c r="D154" s="38"/>
      <c r="E154" s="141"/>
      <c r="G154" s="81"/>
      <c r="H154" s="24"/>
      <c r="I154" s="1"/>
      <c r="J154" s="1"/>
      <c r="K154" s="38"/>
      <c r="L154" s="141"/>
      <c r="M154" s="1"/>
      <c r="N154" s="1"/>
      <c r="O154" s="1"/>
      <c r="P154" s="1"/>
    </row>
    <row r="155" spans="1:39" ht="12.75" customHeight="1" x14ac:dyDescent="0.2">
      <c r="A155" s="153"/>
      <c r="B155" s="24"/>
      <c r="C155" s="24"/>
      <c r="D155" s="38"/>
      <c r="E155" s="141"/>
      <c r="G155" s="81"/>
      <c r="H155" s="24"/>
      <c r="I155" s="1"/>
      <c r="J155" s="1"/>
      <c r="K155" s="38"/>
      <c r="L155" s="141"/>
      <c r="M155" s="1"/>
      <c r="N155" s="1"/>
      <c r="O155" s="1"/>
      <c r="P155" s="1"/>
    </row>
    <row r="156" spans="1:39" ht="12.75" customHeight="1" x14ac:dyDescent="0.2">
      <c r="A156" s="153"/>
      <c r="B156" s="24"/>
      <c r="C156" s="24"/>
      <c r="D156" s="38"/>
      <c r="E156" s="141"/>
      <c r="G156" s="81"/>
      <c r="H156" s="24"/>
      <c r="I156" s="1"/>
      <c r="J156" s="1"/>
      <c r="K156" s="38"/>
      <c r="L156" s="141"/>
      <c r="M156" s="1"/>
      <c r="N156" s="1"/>
      <c r="O156" s="1"/>
      <c r="P156" s="1"/>
    </row>
    <row r="157" spans="1:39" ht="12.75" customHeight="1" x14ac:dyDescent="0.2">
      <c r="A157" s="153"/>
      <c r="B157" s="24"/>
      <c r="C157" s="24"/>
      <c r="D157" s="38"/>
      <c r="E157" s="141"/>
      <c r="G157" s="81"/>
      <c r="H157" s="24"/>
      <c r="I157" s="1"/>
      <c r="J157" s="1"/>
      <c r="K157" s="38"/>
      <c r="L157" s="143"/>
      <c r="M157" s="1"/>
      <c r="N157" s="1"/>
      <c r="O157" s="1"/>
      <c r="P157" s="1"/>
    </row>
    <row r="158" spans="1:39" ht="12.75" customHeight="1" thickBot="1" x14ac:dyDescent="0.25">
      <c r="A158" s="153"/>
      <c r="B158" s="24"/>
      <c r="C158" s="24"/>
      <c r="D158" s="38"/>
      <c r="E158" s="143"/>
      <c r="G158" s="63"/>
      <c r="H158" s="24"/>
      <c r="I158" s="1"/>
      <c r="J158" s="1"/>
      <c r="K158" s="145" t="s">
        <v>242</v>
      </c>
      <c r="L158" s="488">
        <f>SUM(L126:L157)</f>
        <v>12746</v>
      </c>
      <c r="M158" s="1"/>
      <c r="N158" s="1"/>
      <c r="O158" s="1"/>
      <c r="P158" s="1"/>
    </row>
    <row r="159" spans="1:39" ht="12.75" customHeight="1" thickTop="1" thickBot="1" x14ac:dyDescent="0.25">
      <c r="A159" s="63"/>
      <c r="B159" s="24"/>
      <c r="C159" s="24"/>
      <c r="D159" s="145" t="s">
        <v>241</v>
      </c>
      <c r="E159" s="144">
        <f>SUM(E126:E158)</f>
        <v>-68447810</v>
      </c>
      <c r="G159" s="71"/>
      <c r="H159" s="72"/>
      <c r="I159" s="72"/>
      <c r="J159" s="72"/>
      <c r="K159" s="72"/>
      <c r="L159" s="73"/>
      <c r="M159" s="1"/>
      <c r="N159" s="1"/>
      <c r="O159" s="1"/>
      <c r="P159" s="1"/>
    </row>
    <row r="160" spans="1:39" ht="12.75" customHeight="1" thickTop="1" thickBot="1" x14ac:dyDescent="0.25">
      <c r="A160" s="71"/>
      <c r="B160" s="72"/>
      <c r="C160" s="72"/>
      <c r="D160" s="72"/>
      <c r="E160" s="73"/>
      <c r="AJ160" s="1"/>
      <c r="AK160" s="1"/>
      <c r="AL160" s="1"/>
      <c r="AM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243</v>
      </c>
      <c r="B163" s="77"/>
      <c r="C163" s="77"/>
      <c r="D163" s="77"/>
      <c r="E163" s="78"/>
      <c r="AJ163" s="1"/>
      <c r="AK163" s="1"/>
      <c r="AL163" s="1"/>
      <c r="AM163" s="1"/>
    </row>
    <row r="164" spans="1:39" ht="12.75" customHeight="1" thickTop="1" x14ac:dyDescent="0.2">
      <c r="A164" s="136" t="s">
        <v>219</v>
      </c>
      <c r="B164" s="137" t="s">
        <v>220</v>
      </c>
      <c r="C164" s="138"/>
      <c r="D164" s="139"/>
      <c r="E164" s="210" t="s">
        <v>221</v>
      </c>
      <c r="AJ164" s="1"/>
      <c r="AK164" s="1"/>
      <c r="AL164" s="1"/>
      <c r="AM164" s="1"/>
    </row>
    <row r="165" spans="1:39" ht="12.75" customHeight="1" x14ac:dyDescent="0.2">
      <c r="A165" s="221">
        <v>34759</v>
      </c>
      <c r="B165" s="24" t="s">
        <v>255</v>
      </c>
      <c r="C165" s="24"/>
      <c r="D165" s="38" t="s">
        <v>256</v>
      </c>
      <c r="E165" s="578">
        <f>187000*1.3645</f>
        <v>255161.5</v>
      </c>
      <c r="F165" s="13" t="s">
        <v>495</v>
      </c>
      <c r="G165" s="827"/>
      <c r="AJ165" s="1"/>
      <c r="AK165" s="1"/>
      <c r="AL165" s="1"/>
      <c r="AM165" s="1"/>
    </row>
    <row r="166" spans="1:39" ht="12.75" customHeight="1" x14ac:dyDescent="0.2">
      <c r="A166" s="221">
        <v>34614</v>
      </c>
      <c r="B166" s="24" t="s">
        <v>257</v>
      </c>
      <c r="C166" s="24"/>
      <c r="D166" s="38" t="s">
        <v>258</v>
      </c>
      <c r="E166" s="486">
        <f>1836917*1.3645</f>
        <v>2506473.2464999999</v>
      </c>
      <c r="G166" s="827"/>
      <c r="AJ166" s="1"/>
      <c r="AK166" s="1"/>
      <c r="AL166" s="1"/>
      <c r="AM166" s="1"/>
    </row>
    <row r="167" spans="1:39" ht="12.75" customHeight="1" x14ac:dyDescent="0.2">
      <c r="A167" s="221" t="s">
        <v>259</v>
      </c>
      <c r="B167" s="24" t="s">
        <v>260</v>
      </c>
      <c r="C167" s="24"/>
      <c r="D167" s="38" t="s">
        <v>261</v>
      </c>
      <c r="E167" s="486">
        <f>-419408*1.3645</f>
        <v>-572282.21600000001</v>
      </c>
      <c r="G167" s="827"/>
      <c r="AJ167" s="1"/>
      <c r="AK167" s="1"/>
      <c r="AL167" s="1"/>
      <c r="AM167" s="1"/>
    </row>
    <row r="168" spans="1:39" ht="12.75" customHeight="1" x14ac:dyDescent="0.2">
      <c r="A168" s="221">
        <v>34835</v>
      </c>
      <c r="B168" s="24" t="s">
        <v>262</v>
      </c>
      <c r="C168" s="24"/>
      <c r="D168" s="38" t="s">
        <v>263</v>
      </c>
      <c r="E168" s="487">
        <f>704656*1.3645</f>
        <v>961503.11200000008</v>
      </c>
      <c r="AJ168" s="1"/>
      <c r="AK168" s="1"/>
      <c r="AL168" s="1"/>
      <c r="AM168" s="1"/>
    </row>
    <row r="169" spans="1:39" ht="12.75" customHeight="1" x14ac:dyDescent="0.2">
      <c r="A169" s="221">
        <v>35185</v>
      </c>
      <c r="B169" s="24" t="s">
        <v>264</v>
      </c>
      <c r="C169" s="24"/>
      <c r="D169" s="38"/>
      <c r="E169" s="486">
        <v>2272857</v>
      </c>
      <c r="AJ169" s="1"/>
      <c r="AK169" s="1"/>
      <c r="AL169" s="1"/>
      <c r="AM169" s="1"/>
    </row>
    <row r="170" spans="1:39" ht="12.75" customHeight="1" x14ac:dyDescent="0.2">
      <c r="A170" s="469" t="s">
        <v>224</v>
      </c>
      <c r="B170" s="80" t="s">
        <v>354</v>
      </c>
      <c r="C170" s="82"/>
      <c r="D170" s="140"/>
      <c r="E170" s="579">
        <f>-2126.35*1</f>
        <v>-2126.35</v>
      </c>
      <c r="AJ170" s="1"/>
      <c r="AK170" s="1"/>
      <c r="AL170" s="1"/>
      <c r="AM170" s="1"/>
    </row>
    <row r="171" spans="1:39" ht="12.75" customHeight="1" x14ac:dyDescent="0.2">
      <c r="A171" s="469" t="s">
        <v>353</v>
      </c>
      <c r="B171" s="80" t="s">
        <v>446</v>
      </c>
      <c r="C171" s="82"/>
      <c r="D171" s="140"/>
      <c r="E171" s="579">
        <f>-2126.35*12</f>
        <v>-25516.199999999997</v>
      </c>
      <c r="AJ171" s="1"/>
      <c r="AK171" s="1"/>
      <c r="AL171" s="1"/>
      <c r="AM171" s="1"/>
    </row>
    <row r="172" spans="1:39" ht="12.75" customHeight="1" x14ac:dyDescent="0.2">
      <c r="A172" s="103" t="s">
        <v>362</v>
      </c>
      <c r="B172" s="13" t="s">
        <v>435</v>
      </c>
      <c r="E172" s="579">
        <v>-353764</v>
      </c>
      <c r="AJ172" s="1"/>
      <c r="AK172" s="1"/>
      <c r="AL172" s="1"/>
      <c r="AM172" s="1"/>
    </row>
    <row r="173" spans="1:39" ht="12.75" customHeight="1" x14ac:dyDescent="0.2">
      <c r="A173" s="221">
        <v>36308</v>
      </c>
      <c r="B173" s="80" t="s">
        <v>367</v>
      </c>
      <c r="C173" s="24"/>
      <c r="D173" s="38"/>
      <c r="E173" s="487">
        <v>7259178</v>
      </c>
      <c r="AJ173" s="1"/>
      <c r="AK173" s="1"/>
      <c r="AL173" s="1"/>
      <c r="AM173" s="1"/>
    </row>
    <row r="174" spans="1:39" ht="12.75" customHeight="1" x14ac:dyDescent="0.2">
      <c r="A174" s="221">
        <v>36363</v>
      </c>
      <c r="B174" s="24" t="s">
        <v>467</v>
      </c>
      <c r="C174" s="24"/>
      <c r="D174" s="38"/>
      <c r="E174" s="578">
        <f>-1000000+457763</f>
        <v>-542237</v>
      </c>
      <c r="AJ174" s="1"/>
      <c r="AK174" s="1"/>
      <c r="AL174" s="1"/>
      <c r="AM174" s="1"/>
    </row>
    <row r="175" spans="1:39" ht="12.75" customHeight="1" x14ac:dyDescent="0.2">
      <c r="A175" s="221"/>
      <c r="B175" s="24"/>
      <c r="C175" s="24"/>
      <c r="D175" s="38"/>
      <c r="E175" s="142"/>
      <c r="AJ175" s="1"/>
      <c r="AK175" s="1"/>
      <c r="AL175" s="1"/>
      <c r="AM175" s="1"/>
    </row>
    <row r="176" spans="1:39" ht="12.75" customHeight="1" x14ac:dyDescent="0.2">
      <c r="A176" s="221">
        <v>36368</v>
      </c>
      <c r="B176" s="24" t="s">
        <v>438</v>
      </c>
      <c r="C176" s="24"/>
      <c r="D176" s="38"/>
      <c r="E176" s="141">
        <v>-7259178</v>
      </c>
      <c r="AJ176" s="1"/>
      <c r="AK176" s="1"/>
      <c r="AL176" s="1"/>
      <c r="AM176" s="1"/>
    </row>
    <row r="177" spans="1:39" ht="12.75" customHeight="1" x14ac:dyDescent="0.2">
      <c r="A177" s="221">
        <v>36615</v>
      </c>
      <c r="B177" s="24" t="s">
        <v>458</v>
      </c>
      <c r="C177" s="24"/>
      <c r="D177" s="38"/>
      <c r="E177" s="141">
        <f>(-3535661-255636)*1.4545+345890</f>
        <v>-5168551.4864999996</v>
      </c>
      <c r="AJ177" s="1"/>
      <c r="AK177" s="1"/>
      <c r="AL177" s="1"/>
      <c r="AM177" s="1"/>
    </row>
    <row r="178" spans="1:39" ht="12.75" customHeight="1" x14ac:dyDescent="0.2">
      <c r="A178" s="221">
        <v>36671</v>
      </c>
      <c r="B178" s="24" t="s">
        <v>484</v>
      </c>
      <c r="C178" s="24"/>
      <c r="D178" s="38"/>
      <c r="E178" s="578">
        <v>-140000</v>
      </c>
      <c r="F178" s="13" t="s">
        <v>496</v>
      </c>
      <c r="AJ178" s="1"/>
      <c r="AK178" s="1"/>
      <c r="AL178" s="1"/>
      <c r="AM178" s="1"/>
    </row>
    <row r="179" spans="1:39" ht="12.75" customHeight="1" x14ac:dyDescent="0.2">
      <c r="A179" s="221"/>
      <c r="B179" s="9"/>
      <c r="C179" s="82"/>
      <c r="D179" s="140"/>
      <c r="E179" s="142"/>
      <c r="AJ179" s="1"/>
      <c r="AK179" s="1"/>
      <c r="AL179" s="1"/>
      <c r="AM179" s="1"/>
    </row>
    <row r="180" spans="1:39" ht="12.75" customHeight="1" x14ac:dyDescent="0.2">
      <c r="A180" s="221"/>
      <c r="B180" s="9"/>
      <c r="C180" s="82"/>
      <c r="D180" s="140"/>
      <c r="E180" s="141"/>
      <c r="AJ180" s="1"/>
      <c r="AK180" s="1"/>
      <c r="AL180" s="1"/>
      <c r="AM180" s="1"/>
    </row>
    <row r="181" spans="1:39" ht="12.75" customHeight="1" x14ac:dyDescent="0.2">
      <c r="A181" s="221"/>
      <c r="B181" s="24"/>
      <c r="C181" s="24"/>
      <c r="D181" s="38"/>
      <c r="E181" s="141"/>
      <c r="AJ181" s="1"/>
      <c r="AK181" s="1"/>
      <c r="AL181" s="1"/>
      <c r="AM181" s="1"/>
    </row>
    <row r="182" spans="1:39" ht="12.75" customHeight="1" x14ac:dyDescent="0.2">
      <c r="A182" s="221"/>
      <c r="B182" s="24"/>
      <c r="C182" s="24"/>
      <c r="D182" s="38"/>
      <c r="E182" s="141"/>
      <c r="AJ182" s="1"/>
      <c r="AK182" s="1"/>
      <c r="AL182" s="1"/>
      <c r="AM182" s="1"/>
    </row>
    <row r="183" spans="1:39" ht="12.75" customHeight="1" x14ac:dyDescent="0.2">
      <c r="A183" s="221"/>
      <c r="B183" s="24"/>
      <c r="C183" s="24"/>
      <c r="D183" s="38"/>
      <c r="E183" s="141"/>
      <c r="AJ183" s="1"/>
      <c r="AK183" s="1"/>
      <c r="AL183" s="1"/>
      <c r="AM183" s="1"/>
    </row>
    <row r="184" spans="1:39" ht="12.75" customHeight="1" x14ac:dyDescent="0.2">
      <c r="A184" s="221"/>
      <c r="B184" s="24"/>
      <c r="C184" s="24"/>
      <c r="D184" s="38"/>
      <c r="E184" s="143"/>
      <c r="AJ184" s="1"/>
      <c r="AK184" s="1"/>
      <c r="AL184" s="1"/>
      <c r="AM184" s="1"/>
    </row>
    <row r="185" spans="1:39" ht="12.75" customHeight="1" thickBot="1" x14ac:dyDescent="0.25">
      <c r="A185" s="222"/>
      <c r="B185" s="24"/>
      <c r="C185" s="24"/>
      <c r="D185" s="145" t="s">
        <v>244</v>
      </c>
      <c r="E185" s="144">
        <f>SUM(E165:E184)</f>
        <v>-808482.39399999846</v>
      </c>
      <c r="AJ185" s="1"/>
      <c r="AK185" s="1"/>
      <c r="AL185" s="1"/>
      <c r="AM185" s="1"/>
    </row>
    <row r="186" spans="1:39" ht="12.75" customHeight="1" thickTop="1" thickBot="1" x14ac:dyDescent="0.25">
      <c r="A186" s="220"/>
      <c r="B186" s="72"/>
      <c r="C186" s="72"/>
      <c r="D186" s="72"/>
      <c r="E186" s="73"/>
      <c r="AJ186" s="1"/>
      <c r="AK186" s="1"/>
      <c r="AL186" s="1"/>
      <c r="AM186" s="1"/>
    </row>
    <row r="187" spans="1:39" ht="12.75" customHeight="1" thickTop="1" thickBot="1" x14ac:dyDescent="0.25">
      <c r="AJ187" s="1"/>
      <c r="AK187" s="1"/>
      <c r="AL187" s="1"/>
      <c r="AM187" s="1"/>
    </row>
    <row r="188" spans="1:39" ht="12.75" customHeight="1" thickTop="1" thickBot="1" x14ac:dyDescent="0.25">
      <c r="F188" s="59"/>
      <c r="G188" s="59"/>
      <c r="H188" s="59"/>
      <c r="I188" s="59"/>
      <c r="J188" s="59"/>
      <c r="K188" s="59"/>
      <c r="L188" s="59"/>
      <c r="M188" s="60"/>
      <c r="O188" s="1"/>
      <c r="P188" s="1"/>
      <c r="Q188" s="1"/>
      <c r="R188" s="1"/>
    </row>
    <row r="189" spans="1:39" ht="12.75" customHeight="1" thickTop="1" x14ac:dyDescent="0.2">
      <c r="A189" s="84" t="s">
        <v>245</v>
      </c>
      <c r="B189" s="59"/>
      <c r="C189" s="59"/>
      <c r="D189" s="59"/>
      <c r="E189" s="59"/>
      <c r="F189" s="89"/>
      <c r="G189" s="89"/>
      <c r="H189" s="89"/>
      <c r="I189" s="89"/>
      <c r="J189" s="89"/>
      <c r="K189" s="89"/>
      <c r="L189" s="89"/>
      <c r="M189" s="211" t="s">
        <v>221</v>
      </c>
      <c r="O189" s="1"/>
      <c r="P189" s="1"/>
      <c r="Q189" s="1"/>
      <c r="R189" s="1"/>
    </row>
    <row r="190" spans="1:39" ht="12.75" customHeight="1" x14ac:dyDescent="0.2">
      <c r="A190" s="85" t="s">
        <v>246</v>
      </c>
      <c r="B190" s="86" t="s">
        <v>219</v>
      </c>
      <c r="C190" s="87" t="s">
        <v>247</v>
      </c>
      <c r="D190" s="88" t="s">
        <v>248</v>
      </c>
      <c r="E190" s="135" t="s">
        <v>220</v>
      </c>
      <c r="F190" s="24"/>
      <c r="G190" s="24"/>
      <c r="H190" s="24"/>
      <c r="I190" s="24"/>
      <c r="J190" s="24"/>
      <c r="K190" s="24"/>
      <c r="L190" s="24"/>
      <c r="M190" s="91"/>
      <c r="O190" s="1"/>
      <c r="P190" s="1"/>
      <c r="Q190" s="1"/>
      <c r="R190" s="1"/>
    </row>
    <row r="191" spans="1:39" ht="12.75" customHeight="1" x14ac:dyDescent="0.2">
      <c r="A191" s="227"/>
      <c r="B191" s="134"/>
      <c r="C191" s="224"/>
      <c r="D191" s="38"/>
      <c r="E191" s="24"/>
      <c r="F191" s="24"/>
      <c r="G191" s="24"/>
      <c r="H191" s="24"/>
      <c r="I191" s="24"/>
      <c r="J191" s="24"/>
      <c r="K191" s="24"/>
      <c r="L191" s="24"/>
      <c r="M191" s="91"/>
      <c r="O191" s="1"/>
      <c r="P191" s="1"/>
      <c r="Q191" s="1"/>
      <c r="R191" s="1"/>
    </row>
    <row r="192" spans="1:39" ht="12.75" customHeight="1" x14ac:dyDescent="0.2">
      <c r="A192" s="227"/>
      <c r="B192" s="134"/>
      <c r="C192" s="224"/>
      <c r="D192" s="38"/>
      <c r="E192" s="24"/>
      <c r="F192" s="24"/>
      <c r="G192" s="24"/>
      <c r="H192" s="24"/>
      <c r="I192" s="24"/>
      <c r="J192" s="24"/>
      <c r="K192" s="24"/>
      <c r="L192" s="24"/>
      <c r="M192" s="91"/>
      <c r="O192" s="1"/>
      <c r="P192" s="1"/>
      <c r="Q192" s="1"/>
      <c r="R192" s="1"/>
    </row>
    <row r="193" spans="1:18" ht="12.75" customHeight="1" x14ac:dyDescent="0.2">
      <c r="A193" s="227"/>
      <c r="B193" s="134"/>
      <c r="C193" s="224"/>
      <c r="D193" s="38"/>
      <c r="E193" s="24"/>
      <c r="F193" s="24"/>
      <c r="G193" s="24"/>
      <c r="H193" s="24"/>
      <c r="I193" s="24"/>
      <c r="J193" s="24"/>
      <c r="K193" s="24"/>
      <c r="L193" s="24"/>
      <c r="M193" s="91"/>
      <c r="O193" s="1"/>
      <c r="P193" s="1"/>
      <c r="Q193" s="1"/>
      <c r="R193" s="1"/>
    </row>
    <row r="194" spans="1:18" ht="12.75" customHeight="1" x14ac:dyDescent="0.2">
      <c r="A194" s="227"/>
      <c r="B194" s="134"/>
      <c r="C194" s="224"/>
      <c r="D194" s="38"/>
      <c r="E194" s="24"/>
      <c r="F194" s="24"/>
      <c r="G194" s="24"/>
      <c r="H194" s="24"/>
      <c r="I194" s="24"/>
      <c r="J194" s="24"/>
      <c r="K194" s="24"/>
      <c r="L194" s="24"/>
      <c r="M194" s="91"/>
      <c r="O194" s="1"/>
      <c r="P194" s="1"/>
      <c r="Q194" s="1"/>
      <c r="R194" s="1"/>
    </row>
    <row r="195" spans="1:18" ht="12.75" customHeight="1" x14ac:dyDescent="0.2">
      <c r="A195" s="227"/>
      <c r="B195" s="134"/>
      <c r="C195" s="224"/>
      <c r="D195" s="38"/>
      <c r="E195" s="24"/>
      <c r="F195" s="24"/>
      <c r="G195" s="24"/>
      <c r="H195" s="24"/>
      <c r="I195" s="24"/>
      <c r="J195" s="24"/>
      <c r="K195" s="24"/>
      <c r="L195" s="24"/>
      <c r="M195" s="91"/>
    </row>
    <row r="196" spans="1:18" ht="12.75" customHeight="1" x14ac:dyDescent="0.2">
      <c r="A196" s="227"/>
      <c r="B196" s="134"/>
      <c r="C196" s="224"/>
      <c r="D196" s="38"/>
      <c r="E196" s="24"/>
      <c r="F196" s="24"/>
      <c r="G196" s="24"/>
      <c r="H196" s="24"/>
      <c r="I196" s="24"/>
      <c r="J196" s="24"/>
      <c r="K196" s="24"/>
      <c r="L196" s="24"/>
      <c r="M196" s="91"/>
    </row>
    <row r="197" spans="1:18" ht="12.75" customHeight="1" x14ac:dyDescent="0.2">
      <c r="A197" s="227"/>
      <c r="B197" s="134"/>
      <c r="C197" s="224"/>
      <c r="D197" s="38"/>
      <c r="E197" s="24"/>
      <c r="F197" s="24"/>
      <c r="G197" s="24"/>
      <c r="H197" s="24"/>
      <c r="I197" s="24"/>
      <c r="J197" s="24"/>
      <c r="K197" s="24"/>
      <c r="L197" s="24"/>
      <c r="M197" s="91"/>
    </row>
    <row r="198" spans="1:18" ht="12.75" customHeight="1" x14ac:dyDescent="0.2">
      <c r="A198" s="227"/>
      <c r="B198" s="134"/>
      <c r="C198" s="224"/>
      <c r="D198" s="38"/>
      <c r="E198" s="24"/>
      <c r="F198" s="24"/>
      <c r="G198" s="24"/>
      <c r="H198" s="24"/>
      <c r="I198" s="24"/>
      <c r="J198" s="24"/>
      <c r="K198" s="24"/>
      <c r="L198" s="24"/>
      <c r="M198" s="91"/>
    </row>
    <row r="199" spans="1:18" ht="12.75" customHeight="1" x14ac:dyDescent="0.2">
      <c r="A199" s="227"/>
      <c r="B199" s="134"/>
      <c r="C199" s="224"/>
      <c r="D199" s="38"/>
      <c r="E199" s="24"/>
      <c r="F199" s="24"/>
      <c r="G199" s="24"/>
      <c r="H199" s="24"/>
      <c r="I199" s="24"/>
      <c r="J199" s="24"/>
      <c r="K199" s="24"/>
      <c r="L199" s="24"/>
      <c r="M199" s="91"/>
    </row>
    <row r="200" spans="1:18" ht="12.75" customHeight="1" x14ac:dyDescent="0.2">
      <c r="A200" s="227"/>
      <c r="B200" s="134"/>
      <c r="C200" s="224"/>
      <c r="D200" s="38"/>
      <c r="E200" s="24"/>
      <c r="F200" s="24"/>
      <c r="G200" s="24"/>
      <c r="H200" s="24"/>
      <c r="I200" s="24"/>
      <c r="J200" s="24"/>
      <c r="K200" s="24"/>
      <c r="L200" s="24"/>
      <c r="M200" s="91"/>
    </row>
    <row r="201" spans="1:18" ht="12.75" customHeight="1" x14ac:dyDescent="0.2">
      <c r="A201" s="90"/>
      <c r="B201" s="134"/>
      <c r="C201" s="224"/>
      <c r="D201" s="38"/>
      <c r="E201" s="24"/>
      <c r="F201" s="24"/>
      <c r="G201" s="24"/>
      <c r="H201" s="24"/>
      <c r="I201" s="24"/>
      <c r="J201" s="24"/>
      <c r="K201" s="24"/>
      <c r="L201" s="24"/>
      <c r="M201" s="91"/>
    </row>
    <row r="202" spans="1:18" ht="12.75" customHeight="1" x14ac:dyDescent="0.2">
      <c r="A202" s="90"/>
      <c r="B202" s="134"/>
      <c r="C202" s="224"/>
      <c r="D202" s="38"/>
      <c r="E202" s="24"/>
      <c r="F202" s="24"/>
      <c r="G202" s="24"/>
      <c r="H202" s="24"/>
      <c r="I202" s="24"/>
      <c r="J202" s="24"/>
      <c r="K202" s="24"/>
      <c r="L202" s="24"/>
      <c r="M202" s="91"/>
    </row>
    <row r="203" spans="1:18" ht="12.75" customHeight="1" x14ac:dyDescent="0.2">
      <c r="A203" s="90"/>
      <c r="B203" s="134"/>
      <c r="C203" s="224"/>
      <c r="D203" s="38"/>
      <c r="E203" s="24"/>
      <c r="F203" s="24"/>
      <c r="G203" s="24"/>
      <c r="H203" s="24"/>
      <c r="I203" s="24"/>
      <c r="J203" s="24"/>
      <c r="K203" s="24"/>
      <c r="L203" s="24"/>
      <c r="M203" s="91"/>
    </row>
    <row r="204" spans="1:18" ht="12.75" customHeight="1" x14ac:dyDescent="0.2">
      <c r="A204" s="90"/>
      <c r="B204" s="134"/>
      <c r="C204" s="224"/>
      <c r="D204" s="38"/>
      <c r="E204" s="24"/>
      <c r="F204" s="24"/>
      <c r="G204" s="24"/>
      <c r="H204" s="24"/>
      <c r="I204" s="24"/>
      <c r="J204" s="24"/>
      <c r="K204" s="24"/>
      <c r="L204" s="24"/>
      <c r="M204" s="91"/>
    </row>
    <row r="205" spans="1:18" ht="12.75" customHeight="1" x14ac:dyDescent="0.2">
      <c r="A205" s="90"/>
      <c r="B205" s="134"/>
      <c r="C205" s="226"/>
      <c r="D205" s="38"/>
      <c r="E205" s="24"/>
      <c r="F205" s="24"/>
      <c r="G205" s="24"/>
      <c r="H205" s="24"/>
      <c r="I205" s="24"/>
      <c r="J205" s="24"/>
      <c r="K205" s="24"/>
      <c r="L205" s="24"/>
      <c r="M205" s="91"/>
    </row>
    <row r="206" spans="1:18" ht="12.75" customHeight="1" x14ac:dyDescent="0.2">
      <c r="A206" s="90"/>
      <c r="B206" s="134"/>
      <c r="C206" s="226"/>
      <c r="D206" s="38"/>
      <c r="E206" s="24"/>
      <c r="F206" s="24"/>
      <c r="G206" s="24"/>
      <c r="H206" s="24"/>
      <c r="I206" s="24"/>
      <c r="J206" s="24"/>
      <c r="K206" s="24"/>
      <c r="L206" s="24"/>
      <c r="M206" s="91"/>
    </row>
    <row r="207" spans="1:18" ht="12.75" customHeight="1" x14ac:dyDescent="0.2">
      <c r="A207" s="90"/>
      <c r="B207" s="134"/>
      <c r="C207" s="226"/>
      <c r="D207" s="38"/>
      <c r="E207" s="24"/>
      <c r="F207" s="24"/>
      <c r="G207" s="24"/>
      <c r="H207" s="24"/>
      <c r="I207" s="24"/>
      <c r="J207" s="24"/>
      <c r="K207" s="24"/>
      <c r="L207" s="24"/>
      <c r="M207" s="91"/>
    </row>
    <row r="208" spans="1:18" ht="12.75" customHeight="1" x14ac:dyDescent="0.2">
      <c r="A208" s="90"/>
      <c r="B208" s="134"/>
      <c r="C208" s="225"/>
      <c r="D208" s="38"/>
      <c r="E208" s="24"/>
      <c r="F208" s="24"/>
      <c r="G208" s="24"/>
      <c r="H208" s="24"/>
      <c r="I208" s="24"/>
      <c r="J208" s="24"/>
      <c r="K208" s="24"/>
      <c r="L208" s="24"/>
      <c r="M208" s="91"/>
    </row>
    <row r="209" spans="1:14" ht="12.75" customHeight="1" x14ac:dyDescent="0.2">
      <c r="A209" s="90"/>
      <c r="B209" s="134"/>
      <c r="C209" s="225"/>
      <c r="D209" s="38"/>
      <c r="E209" s="24"/>
      <c r="F209" s="24"/>
      <c r="G209" s="24"/>
      <c r="H209" s="24"/>
      <c r="I209" s="24"/>
      <c r="J209" s="24"/>
      <c r="K209" s="24"/>
      <c r="L209" s="24"/>
      <c r="M209" s="91"/>
    </row>
    <row r="210" spans="1:14" ht="12.75" customHeight="1" x14ac:dyDescent="0.2">
      <c r="A210" s="90"/>
      <c r="B210" s="134"/>
      <c r="C210" s="225"/>
      <c r="D210" s="38"/>
      <c r="E210" s="24"/>
      <c r="F210" s="24"/>
      <c r="G210" s="24"/>
      <c r="H210" s="24"/>
      <c r="I210" s="24"/>
      <c r="J210" s="24"/>
      <c r="K210" s="24"/>
      <c r="L210" s="24"/>
      <c r="M210" s="91"/>
    </row>
    <row r="211" spans="1:14" ht="12.75" customHeight="1" x14ac:dyDescent="0.2">
      <c r="A211" s="90"/>
      <c r="B211" s="134"/>
      <c r="C211" s="225"/>
      <c r="D211" s="38"/>
      <c r="E211" s="24"/>
      <c r="F211" s="24"/>
      <c r="G211" s="24"/>
      <c r="H211" s="24"/>
      <c r="I211" s="24"/>
      <c r="J211" s="24"/>
      <c r="K211" s="24"/>
      <c r="L211" s="24"/>
      <c r="M211" s="91"/>
    </row>
    <row r="212" spans="1:14" ht="12.75" customHeight="1" x14ac:dyDescent="0.2">
      <c r="A212" s="90"/>
      <c r="B212" s="134"/>
      <c r="C212" s="225"/>
      <c r="D212" s="38"/>
      <c r="E212" s="24"/>
      <c r="F212" s="24"/>
      <c r="G212" s="24"/>
      <c r="H212" s="24"/>
      <c r="I212" s="24"/>
      <c r="J212" s="24"/>
      <c r="K212" s="24"/>
      <c r="L212" s="24"/>
      <c r="M212" s="91"/>
    </row>
    <row r="213" spans="1:14" ht="12.75" customHeight="1" thickBot="1" x14ac:dyDescent="0.25">
      <c r="A213" s="90"/>
      <c r="B213" s="134"/>
      <c r="C213" s="225"/>
      <c r="D213" s="38"/>
      <c r="E213" s="24"/>
      <c r="F213" s="24"/>
      <c r="G213" s="24"/>
      <c r="H213" s="24"/>
      <c r="I213" s="24"/>
      <c r="J213" s="24"/>
      <c r="K213" s="24"/>
      <c r="L213" s="145" t="s">
        <v>249</v>
      </c>
      <c r="M213" s="92">
        <f>SUM(M190:M212)</f>
        <v>0</v>
      </c>
    </row>
    <row r="214" spans="1:14" ht="12.75" customHeight="1" thickTop="1" thickBot="1" x14ac:dyDescent="0.25">
      <c r="A214" s="90"/>
      <c r="B214" s="134"/>
      <c r="C214" s="223"/>
      <c r="D214" s="38"/>
      <c r="E214" s="24"/>
      <c r="F214" s="72"/>
      <c r="G214" s="72"/>
      <c r="H214" s="72"/>
      <c r="I214" s="72"/>
      <c r="J214" s="72"/>
      <c r="K214" s="72"/>
      <c r="L214" s="72"/>
      <c r="M214" s="73"/>
    </row>
    <row r="215" spans="1:14" ht="12.75" customHeight="1" thickTop="1" thickBot="1" x14ac:dyDescent="0.25">
      <c r="A215" s="93"/>
      <c r="B215" s="151"/>
      <c r="C215" s="72"/>
      <c r="D215" s="72"/>
      <c r="E215" s="72"/>
    </row>
    <row r="216" spans="1:14" ht="12.75" customHeight="1" thickTop="1" x14ac:dyDescent="0.2"/>
    <row r="217" spans="1:14" ht="12.75" customHeight="1" thickBot="1" x14ac:dyDescent="0.25">
      <c r="G217" s="94"/>
      <c r="H217" s="94"/>
      <c r="I217" s="94"/>
      <c r="J217" s="94"/>
      <c r="K217" s="94"/>
      <c r="L217" s="94"/>
      <c r="M217" s="94"/>
      <c r="N217" s="94"/>
    </row>
    <row r="218" spans="1:14" ht="12.75" customHeight="1" thickTop="1" thickBot="1" x14ac:dyDescent="0.25">
      <c r="A218" s="155" t="s">
        <v>250</v>
      </c>
      <c r="B218" s="154"/>
      <c r="C218" s="154"/>
      <c r="D218" s="154"/>
      <c r="E218" s="154"/>
      <c r="F218" s="157"/>
      <c r="G218" s="94"/>
      <c r="H218" s="94"/>
      <c r="I218" s="94"/>
      <c r="J218" s="94"/>
      <c r="K218" s="94"/>
      <c r="L218" s="94"/>
      <c r="M218" s="94"/>
      <c r="N218" s="94"/>
    </row>
    <row r="219" spans="1:14" ht="12.75" customHeight="1" thickBot="1" x14ac:dyDescent="0.25">
      <c r="A219" s="156" t="s">
        <v>246</v>
      </c>
      <c r="B219" s="95" t="s">
        <v>219</v>
      </c>
      <c r="C219" s="96" t="s">
        <v>247</v>
      </c>
      <c r="D219" s="165" t="s">
        <v>248</v>
      </c>
      <c r="E219" s="166"/>
      <c r="F219" s="158" t="s">
        <v>221</v>
      </c>
      <c r="G219" s="98"/>
      <c r="H219" s="98"/>
      <c r="I219" s="98"/>
      <c r="J219" s="98"/>
      <c r="K219" s="98"/>
      <c r="L219" s="98"/>
      <c r="M219" s="98"/>
      <c r="N219" s="98"/>
    </row>
    <row r="220" spans="1:14" ht="12.75" customHeight="1" x14ac:dyDescent="0.2">
      <c r="A220" s="231"/>
      <c r="B220" s="134"/>
      <c r="C220" s="97"/>
      <c r="D220" s="24"/>
      <c r="E220" s="167"/>
      <c r="F220" s="232"/>
      <c r="G220" s="98"/>
      <c r="H220" s="98"/>
      <c r="I220" s="98"/>
      <c r="J220" s="98"/>
      <c r="K220" s="98"/>
      <c r="L220" s="98"/>
      <c r="M220" s="98"/>
      <c r="N220" s="98"/>
    </row>
    <row r="221" spans="1:14" ht="12.75" customHeight="1" x14ac:dyDescent="0.2">
      <c r="A221" s="231"/>
      <c r="B221" s="134"/>
      <c r="C221" s="224"/>
      <c r="D221" s="38"/>
      <c r="E221" s="24"/>
      <c r="F221" s="91"/>
      <c r="G221" s="94"/>
      <c r="H221" s="94"/>
      <c r="I221" s="94"/>
      <c r="J221" s="94"/>
      <c r="K221" s="94"/>
      <c r="L221" s="94"/>
      <c r="M221" s="94"/>
      <c r="N221" s="94"/>
    </row>
    <row r="222" spans="1:14" ht="12.75" customHeight="1" x14ac:dyDescent="0.2">
      <c r="A222" s="231"/>
      <c r="B222" s="134"/>
      <c r="C222" s="224"/>
      <c r="D222" s="38"/>
      <c r="E222" s="24"/>
      <c r="F222" s="91"/>
      <c r="G222" s="94"/>
      <c r="H222" s="94"/>
      <c r="I222" s="94"/>
      <c r="J222" s="94"/>
      <c r="K222" s="94"/>
      <c r="L222" s="94"/>
      <c r="M222" s="94"/>
      <c r="N222" s="94"/>
    </row>
    <row r="223" spans="1:14" ht="12.75" customHeight="1" x14ac:dyDescent="0.2">
      <c r="A223" s="231"/>
      <c r="B223" s="134"/>
      <c r="C223" s="224"/>
      <c r="D223" s="38"/>
      <c r="E223" s="24"/>
      <c r="F223" s="91"/>
      <c r="G223" s="94"/>
      <c r="H223" s="94"/>
      <c r="I223" s="94"/>
      <c r="J223" s="94"/>
      <c r="K223" s="94"/>
      <c r="L223" s="94"/>
      <c r="M223" s="94"/>
      <c r="N223" s="94"/>
    </row>
    <row r="224" spans="1:14" ht="12.75" customHeight="1" x14ac:dyDescent="0.2">
      <c r="A224" s="231"/>
      <c r="B224" s="134"/>
      <c r="C224" s="224"/>
      <c r="D224" s="38"/>
      <c r="E224" s="24"/>
      <c r="F224" s="91"/>
      <c r="G224" s="94"/>
      <c r="H224" s="94"/>
      <c r="I224" s="94"/>
      <c r="J224" s="94"/>
      <c r="K224" s="94"/>
      <c r="L224" s="94"/>
      <c r="M224" s="94"/>
      <c r="N224" s="94"/>
    </row>
    <row r="225" spans="1:14" ht="12.75" customHeight="1" x14ac:dyDescent="0.2">
      <c r="A225" s="231"/>
      <c r="B225" s="134"/>
      <c r="C225" s="224"/>
      <c r="D225" s="38"/>
      <c r="E225" s="24"/>
      <c r="F225" s="160"/>
      <c r="G225" s="94"/>
      <c r="H225" s="94"/>
      <c r="I225" s="94"/>
      <c r="J225" s="94"/>
      <c r="K225" s="94"/>
      <c r="L225" s="94"/>
      <c r="M225" s="94"/>
      <c r="N225" s="94"/>
    </row>
    <row r="226" spans="1:14" ht="12.75" customHeight="1" x14ac:dyDescent="0.2">
      <c r="A226" s="231"/>
      <c r="B226" s="134"/>
      <c r="C226" s="94"/>
      <c r="D226" s="233"/>
      <c r="E226" s="167"/>
      <c r="F226" s="160"/>
      <c r="G226" s="94"/>
      <c r="H226" s="94"/>
      <c r="I226" s="94"/>
      <c r="J226" s="94"/>
      <c r="K226" s="94"/>
      <c r="L226" s="94"/>
      <c r="M226" s="94"/>
      <c r="N226" s="94"/>
    </row>
    <row r="227" spans="1:14" ht="12.75" customHeight="1" x14ac:dyDescent="0.2">
      <c r="A227" s="231"/>
      <c r="B227" s="134"/>
      <c r="C227" s="94"/>
      <c r="D227" s="233"/>
      <c r="E227" s="167"/>
      <c r="F227" s="160"/>
      <c r="G227" s="94"/>
      <c r="H227" s="94"/>
      <c r="I227" s="94"/>
      <c r="J227" s="94"/>
      <c r="K227" s="94"/>
      <c r="L227" s="94"/>
      <c r="M227" s="94"/>
      <c r="N227" s="94"/>
    </row>
    <row r="228" spans="1:14" ht="12.75" customHeight="1" x14ac:dyDescent="0.2">
      <c r="A228" s="231"/>
      <c r="B228" s="134"/>
      <c r="C228" s="94"/>
      <c r="D228" s="233"/>
      <c r="E228" s="167"/>
      <c r="F228" s="160"/>
      <c r="G228" s="94"/>
      <c r="H228" s="94"/>
      <c r="I228" s="94"/>
      <c r="J228" s="94"/>
      <c r="K228" s="94"/>
      <c r="L228" s="94"/>
      <c r="M228" s="94"/>
      <c r="N228" s="94"/>
    </row>
    <row r="229" spans="1:14" ht="12.75" customHeight="1" x14ac:dyDescent="0.2">
      <c r="A229" s="231"/>
      <c r="B229" s="134"/>
      <c r="C229" s="94"/>
      <c r="D229" s="233"/>
      <c r="E229" s="167"/>
      <c r="F229" s="160"/>
      <c r="G229" s="94"/>
      <c r="H229" s="94"/>
      <c r="I229" s="94"/>
      <c r="J229" s="94"/>
      <c r="K229" s="94"/>
      <c r="L229" s="94"/>
      <c r="M229" s="94"/>
      <c r="N229" s="94"/>
    </row>
    <row r="230" spans="1:14" ht="12.75" customHeight="1" x14ac:dyDescent="0.2">
      <c r="A230" s="231"/>
      <c r="B230" s="134"/>
      <c r="C230" s="94"/>
      <c r="D230" s="233"/>
      <c r="E230" s="167"/>
      <c r="F230" s="160"/>
      <c r="G230" s="94"/>
      <c r="H230" s="94"/>
      <c r="I230" s="94"/>
      <c r="J230" s="94"/>
      <c r="K230" s="94"/>
      <c r="L230" s="94"/>
      <c r="M230" s="94"/>
      <c r="N230" s="94"/>
    </row>
    <row r="231" spans="1:14" ht="12.75" customHeight="1" x14ac:dyDescent="0.2">
      <c r="A231" s="231"/>
      <c r="B231" s="134"/>
      <c r="C231" s="94"/>
      <c r="D231" s="233"/>
      <c r="E231" s="167"/>
      <c r="F231" s="160"/>
      <c r="G231" s="94"/>
      <c r="H231" s="94"/>
      <c r="I231" s="94"/>
      <c r="J231" s="94"/>
      <c r="K231" s="94"/>
      <c r="L231" s="94"/>
      <c r="M231" s="94"/>
      <c r="N231" s="94"/>
    </row>
    <row r="232" spans="1:14" ht="12.75" customHeight="1" x14ac:dyDescent="0.2">
      <c r="A232" s="231"/>
      <c r="B232" s="134"/>
      <c r="C232" s="94"/>
      <c r="D232" s="233"/>
      <c r="E232" s="167"/>
      <c r="F232" s="160"/>
      <c r="G232" s="94"/>
      <c r="H232" s="94"/>
      <c r="I232" s="94"/>
      <c r="J232" s="94"/>
      <c r="K232" s="94"/>
      <c r="L232" s="94"/>
      <c r="M232" s="94"/>
      <c r="N232" s="94"/>
    </row>
    <row r="233" spans="1:14" ht="12.75" customHeight="1" x14ac:dyDescent="0.2">
      <c r="A233" s="231"/>
      <c r="B233" s="134"/>
      <c r="C233" s="94"/>
      <c r="D233" s="233"/>
      <c r="E233" s="167"/>
      <c r="F233" s="160"/>
      <c r="G233" s="94"/>
      <c r="H233" s="94"/>
      <c r="I233" s="94"/>
      <c r="J233" s="94"/>
      <c r="K233" s="94"/>
      <c r="L233" s="94"/>
      <c r="M233" s="94"/>
      <c r="N233" s="94"/>
    </row>
    <row r="234" spans="1:14" ht="12.75" customHeight="1" x14ac:dyDescent="0.2">
      <c r="A234" s="231"/>
      <c r="B234" s="134"/>
      <c r="C234" s="94"/>
      <c r="D234" s="233"/>
      <c r="E234" s="167"/>
      <c r="F234" s="160"/>
      <c r="G234" s="94"/>
      <c r="H234" s="94"/>
      <c r="I234" s="94"/>
      <c r="J234" s="94"/>
      <c r="K234" s="94"/>
      <c r="L234" s="94"/>
      <c r="M234" s="94"/>
      <c r="N234" s="94"/>
    </row>
    <row r="235" spans="1:14" ht="12.75" customHeight="1" x14ac:dyDescent="0.2">
      <c r="A235" s="231"/>
      <c r="B235" s="134"/>
      <c r="C235" s="94"/>
      <c r="D235" s="233"/>
      <c r="E235" s="167"/>
      <c r="F235" s="160"/>
      <c r="G235" s="94"/>
      <c r="H235" s="94"/>
      <c r="I235" s="94"/>
      <c r="J235" s="94"/>
      <c r="K235" s="94"/>
      <c r="L235" s="94"/>
      <c r="M235" s="94"/>
      <c r="N235" s="94"/>
    </row>
    <row r="236" spans="1:14" ht="12.75" customHeight="1" x14ac:dyDescent="0.2">
      <c r="A236" s="231"/>
      <c r="B236" s="134"/>
      <c r="C236" s="94"/>
      <c r="D236" s="233"/>
      <c r="E236" s="167"/>
      <c r="F236" s="160"/>
      <c r="G236" s="94"/>
      <c r="H236" s="94"/>
      <c r="I236" s="94"/>
      <c r="J236" s="94"/>
      <c r="K236" s="94"/>
      <c r="L236" s="94"/>
      <c r="M236" s="94"/>
      <c r="N236" s="94"/>
    </row>
    <row r="237" spans="1:14" ht="12.75" customHeight="1" thickBot="1" x14ac:dyDescent="0.25">
      <c r="A237" s="231"/>
      <c r="B237" s="134"/>
      <c r="C237" s="94"/>
      <c r="D237" s="233"/>
      <c r="E237" s="167"/>
      <c r="F237" s="168">
        <f>SUM(F219:F236)</f>
        <v>0</v>
      </c>
      <c r="G237" s="94"/>
      <c r="H237" s="94"/>
      <c r="I237" s="94"/>
      <c r="J237" s="94"/>
      <c r="K237" s="94"/>
      <c r="L237" s="94"/>
      <c r="M237" s="94"/>
      <c r="N237" s="94"/>
    </row>
    <row r="238" spans="1:14" ht="12.75" customHeight="1" thickTop="1" thickBot="1" x14ac:dyDescent="0.25">
      <c r="A238" s="231"/>
      <c r="B238" s="134"/>
      <c r="C238" s="94"/>
      <c r="D238" s="94"/>
      <c r="E238" s="145" t="s">
        <v>251</v>
      </c>
      <c r="F238" s="164"/>
      <c r="G238" s="94"/>
      <c r="H238" s="94"/>
      <c r="I238" s="94"/>
      <c r="J238" s="94"/>
      <c r="K238" s="94"/>
      <c r="L238" s="94"/>
      <c r="M238" s="94"/>
      <c r="N238" s="94"/>
    </row>
    <row r="239" spans="1:14" ht="12.75" customHeight="1" thickTop="1" thickBot="1" x14ac:dyDescent="0.25">
      <c r="A239" s="161"/>
      <c r="B239" s="162"/>
      <c r="C239" s="163"/>
      <c r="D239" s="163"/>
      <c r="E239" s="212"/>
    </row>
    <row r="240" spans="1:14" ht="13.5" thickTop="1" x14ac:dyDescent="0.2"/>
  </sheetData>
  <customSheetViews>
    <customSheetView guid="{535643D1-B9EE-11D2-A857-00805F2505DF}" scale="75" fitToPage="1" showRuler="0" topLeftCell="A120">
      <selection activeCell="A121" sqref="A121:M239"/>
      <pageMargins left="0.25" right="0.25" top="0.25" bottom="0.25" header="0.25" footer="0.25"/>
      <printOptions horizontalCentered="1"/>
      <pageSetup paperSize="5" scale="61"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8-B9EE-11D2-A857-00805F2505DF}" scale="75" fitToPage="1" showRuler="0" topLeftCell="A40">
      <selection activeCell="A41" sqref="A41:AG118"/>
      <pageMargins left="0.25" right="0.25" top="0.25" bottom="0.25" header="0.25" footer="0.25"/>
      <printOptions horizontalCentered="1"/>
      <pageSetup paperSize="5" scale="61"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BF-B9EE-11D2-A857-00805F2505DF}" scale="75" fitToPage="1" showRuler="0" topLeftCell="O18">
      <selection activeCell="A6" sqref="A6:R40"/>
      <pageMargins left="0.25" right="0.25" top="0.25" bottom="0.25" header="0.25" footer="0.25"/>
      <printOptions horizontalCentered="1"/>
      <pageSetup paperSize="5" scale="61"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scale="60" orientation="landscape" horizontalDpi="4294967292" verticalDpi="4294967292" r:id="rId4"/>
  <headerFooter alignWithMargins="0">
    <oddFooter>&amp;L&amp;"Times New Roman,Italic"&amp;F/&amp;A&amp;R&amp;"Times New Roman,Italic"&amp;D &amp;T</oddFooter>
  </headerFooter>
  <drawing r:id="rId5"/>
  <legacyDrawing r:id="rId6"/>
  <mc:AlternateContent xmlns:mc="http://schemas.openxmlformats.org/markup-compatibility/2006">
    <mc:Choice Requires="x14">
      <controls>
        <mc:AlternateContent xmlns:mc="http://schemas.openxmlformats.org/markup-compatibility/2006">
          <mc:Choice Requires="x14">
            <control shapeId="2052" r:id="rId7" name="Button 4">
              <controlPr defaultSize="0" print="0" autoFill="0" autoLine="0" autoPict="0" macro="[0]!Macro2">
                <anchor moveWithCells="1" sizeWithCells="1">
                  <from>
                    <xdr:col>7</xdr:col>
                    <xdr:colOff>47625</xdr:colOff>
                    <xdr:row>0</xdr:row>
                    <xdr:rowOff>104775</xdr:rowOff>
                  </from>
                  <to>
                    <xdr:col>9</xdr:col>
                    <xdr:colOff>771525</xdr:colOff>
                    <xdr:row>7</xdr:row>
                    <xdr:rowOff>38100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X240"/>
  <sheetViews>
    <sheetView zoomScale="75" workbookViewId="0">
      <pane xSplit="2" ySplit="6" topLeftCell="C41" activePane="bottomRight" state="frozen"/>
      <selection activeCell="D9" sqref="D9:D13"/>
      <selection pane="topRight" activeCell="D9" sqref="D9:D13"/>
      <selection pane="bottomLeft" activeCell="D9" sqref="D9:D13"/>
      <selection pane="bottomRight" activeCell="S72" sqref="S72"/>
    </sheetView>
  </sheetViews>
  <sheetFormatPr defaultRowHeight="12.75" x14ac:dyDescent="0.2"/>
  <cols>
    <col min="1" max="1" width="23.85546875" style="13" customWidth="1"/>
    <col min="2" max="2" width="14.85546875" style="13" customWidth="1"/>
    <col min="3" max="3" width="12.42578125" style="13" customWidth="1"/>
    <col min="4" max="4" width="14.85546875" style="13" customWidth="1"/>
    <col min="5" max="5" width="16"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B1" s="815">
        <f>M38</f>
        <v>0</v>
      </c>
      <c r="D1" s="321"/>
      <c r="E1" s="321"/>
      <c r="F1" s="325"/>
      <c r="G1" s="324"/>
      <c r="H1" s="1"/>
      <c r="I1" s="1"/>
      <c r="J1" s="1"/>
      <c r="K1" s="1"/>
      <c r="L1" s="1"/>
      <c r="M1" s="1"/>
      <c r="N1" s="1"/>
      <c r="O1" s="1"/>
    </row>
    <row r="2" spans="1:37" ht="12.75" customHeight="1" x14ac:dyDescent="0.25">
      <c r="A2" s="101" t="s">
        <v>75</v>
      </c>
      <c r="D2" s="1"/>
      <c r="E2" s="321"/>
      <c r="F2" s="325"/>
      <c r="G2" s="1"/>
      <c r="H2" s="1"/>
      <c r="I2" s="1"/>
      <c r="J2" s="1"/>
      <c r="K2" s="1"/>
      <c r="L2" s="1"/>
      <c r="M2" s="1"/>
      <c r="N2" s="1"/>
      <c r="O2" s="1"/>
    </row>
    <row r="3" spans="1:37" ht="12.75" customHeight="1" x14ac:dyDescent="0.25">
      <c r="A3" s="257" t="s">
        <v>76</v>
      </c>
      <c r="B3" s="322" t="s">
        <v>470</v>
      </c>
      <c r="C3" s="322" t="s">
        <v>78</v>
      </c>
      <c r="D3" s="1"/>
      <c r="E3" s="321"/>
      <c r="F3" s="325"/>
      <c r="G3" s="1"/>
      <c r="H3" s="1"/>
      <c r="I3" s="1"/>
      <c r="J3" s="1"/>
      <c r="K3" s="1"/>
      <c r="L3" s="1"/>
      <c r="M3" s="1"/>
      <c r="N3" s="1"/>
      <c r="O3" s="1"/>
    </row>
    <row r="4" spans="1:37" ht="12.75" customHeight="1" x14ac:dyDescent="0.25">
      <c r="A4" s="257" t="s">
        <v>79</v>
      </c>
      <c r="B4" s="323">
        <f>Front!B4</f>
        <v>36831</v>
      </c>
      <c r="D4" s="1"/>
      <c r="E4" s="321"/>
      <c r="F4" s="1"/>
      <c r="G4" s="1"/>
      <c r="H4" s="1"/>
      <c r="I4" s="1"/>
      <c r="J4" s="1"/>
      <c r="K4" s="1"/>
      <c r="L4" s="1"/>
      <c r="M4" s="1"/>
      <c r="N4" s="1"/>
      <c r="O4" s="1"/>
    </row>
    <row r="5" spans="1:37" ht="12.75" customHeight="1" thickBot="1" x14ac:dyDescent="0.3">
      <c r="A5" s="257" t="s">
        <v>80</v>
      </c>
      <c r="B5" s="570">
        <f>Front!B5</f>
        <v>36847</v>
      </c>
      <c r="C5" s="15"/>
      <c r="V5" s="24"/>
      <c r="W5" s="24"/>
      <c r="X5" s="24"/>
      <c r="Y5" s="24"/>
      <c r="Z5" s="24"/>
      <c r="AA5" s="24"/>
    </row>
    <row r="6" spans="1:37" ht="12.75" customHeight="1" x14ac:dyDescent="0.25">
      <c r="A6" s="257" t="s">
        <v>81</v>
      </c>
      <c r="B6" s="776">
        <f>Front!$C$12</f>
        <v>949833</v>
      </c>
      <c r="C6" s="15"/>
      <c r="K6" s="123" t="s">
        <v>82</v>
      </c>
      <c r="L6" s="62"/>
      <c r="M6" s="62"/>
      <c r="N6" s="62"/>
      <c r="O6" s="62"/>
      <c r="P6" s="62"/>
      <c r="Q6" s="62"/>
      <c r="R6" s="7"/>
      <c r="S6" s="102" t="s">
        <v>83</v>
      </c>
      <c r="T6" s="102"/>
      <c r="V6" s="123" t="s">
        <v>84</v>
      </c>
      <c r="W6" s="62"/>
      <c r="X6" s="62"/>
      <c r="Y6" s="62"/>
      <c r="Z6" s="62"/>
      <c r="AA6" s="7"/>
    </row>
    <row r="7" spans="1:37" ht="12.75" customHeight="1" x14ac:dyDescent="0.2">
      <c r="D7" s="103" t="s">
        <v>93</v>
      </c>
      <c r="E7" s="103" t="s">
        <v>94</v>
      </c>
      <c r="K7" s="64"/>
      <c r="L7" s="65" t="s">
        <v>278</v>
      </c>
      <c r="M7" s="65" t="s">
        <v>88</v>
      </c>
      <c r="N7" s="65" t="s">
        <v>88</v>
      </c>
      <c r="O7" s="65" t="s">
        <v>88</v>
      </c>
      <c r="P7" s="65" t="s">
        <v>88</v>
      </c>
      <c r="Q7" s="65" t="s">
        <v>88</v>
      </c>
      <c r="R7" s="66" t="s">
        <v>4</v>
      </c>
      <c r="S7" s="103" t="s">
        <v>89</v>
      </c>
      <c r="T7" s="103" t="s">
        <v>90</v>
      </c>
      <c r="V7" s="67" t="s">
        <v>91</v>
      </c>
      <c r="W7" s="24"/>
      <c r="X7" s="24"/>
      <c r="Y7" s="24"/>
      <c r="Z7" s="24"/>
      <c r="AA7" s="68"/>
    </row>
    <row r="8" spans="1:37" ht="12.75" customHeight="1" x14ac:dyDescent="0.2">
      <c r="A8" s="16" t="s">
        <v>92</v>
      </c>
      <c r="D8" s="553"/>
      <c r="E8" s="287"/>
      <c r="G8" s="17" t="s">
        <v>95</v>
      </c>
      <c r="H8" s="17"/>
      <c r="K8" s="124" t="s">
        <v>96</v>
      </c>
      <c r="L8" s="24"/>
      <c r="M8" s="24"/>
      <c r="N8" s="24"/>
      <c r="O8" s="24"/>
      <c r="P8" s="24"/>
      <c r="Q8" s="9"/>
      <c r="R8" s="68"/>
      <c r="V8" s="67" t="s">
        <v>97</v>
      </c>
      <c r="W8" s="24"/>
      <c r="X8" s="24"/>
      <c r="Y8" s="24"/>
      <c r="Z8" s="24"/>
      <c r="AA8" s="68"/>
    </row>
    <row r="9" spans="1:37" ht="12.75" customHeight="1" x14ac:dyDescent="0.2">
      <c r="A9" s="13" t="s">
        <v>98</v>
      </c>
      <c r="D9" s="553">
        <v>29341105</v>
      </c>
      <c r="E9" s="553">
        <v>29407693</v>
      </c>
      <c r="F9" s="1" t="s">
        <v>99</v>
      </c>
      <c r="G9" s="19" t="s">
        <v>100</v>
      </c>
      <c r="H9" s="19"/>
      <c r="I9" s="13">
        <v>16839621</v>
      </c>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
      <c r="A10" s="13" t="s">
        <v>102</v>
      </c>
      <c r="D10" s="554"/>
      <c r="E10" s="554"/>
      <c r="F10" s="1" t="s">
        <v>99</v>
      </c>
      <c r="G10" s="19" t="s">
        <v>100</v>
      </c>
      <c r="H10" s="19"/>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
      <c r="A11" s="13" t="s">
        <v>105</v>
      </c>
      <c r="D11" s="554">
        <v>0</v>
      </c>
      <c r="E11" s="554">
        <v>0</v>
      </c>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
      <c r="A12" s="13" t="s">
        <v>109</v>
      </c>
      <c r="D12" s="554">
        <v>0</v>
      </c>
      <c r="E12" s="554">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
      <c r="A13" s="13" t="s">
        <v>112</v>
      </c>
      <c r="D13" s="554">
        <v>0</v>
      </c>
      <c r="E13" s="554">
        <v>0</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25">
      <c r="A14" s="13" t="s">
        <v>115</v>
      </c>
      <c r="D14" s="555"/>
      <c r="E14" s="556">
        <f>+E159</f>
        <v>-5218331</v>
      </c>
      <c r="F14" s="13" t="s">
        <v>116</v>
      </c>
      <c r="K14" s="67" t="s">
        <v>117</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118</v>
      </c>
      <c r="Z14" s="24"/>
      <c r="AA14" s="68"/>
    </row>
    <row r="15" spans="1:37" ht="12.75" customHeight="1" thickTop="1" x14ac:dyDescent="0.2">
      <c r="A15" s="13" t="s">
        <v>119</v>
      </c>
      <c r="D15" s="555"/>
      <c r="E15" s="556">
        <f>+L159</f>
        <v>0</v>
      </c>
      <c r="F15" s="13" t="s">
        <v>116</v>
      </c>
      <c r="K15" s="67" t="s">
        <v>120</v>
      </c>
      <c r="L15" s="249">
        <v>1</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2">
      <c r="A16" s="13" t="s">
        <v>124</v>
      </c>
      <c r="D16" s="555"/>
      <c r="E16" s="556">
        <f>+E185</f>
        <v>0</v>
      </c>
      <c r="F16" s="13" t="s">
        <v>116</v>
      </c>
      <c r="I16" s="23"/>
      <c r="J16" s="23"/>
      <c r="K16" s="67" t="s">
        <v>125</v>
      </c>
      <c r="L16" s="248">
        <v>0</v>
      </c>
      <c r="M16" s="248">
        <v>0</v>
      </c>
      <c r="N16" s="248">
        <v>0</v>
      </c>
      <c r="O16" s="248">
        <v>0</v>
      </c>
      <c r="P16" s="248">
        <v>0</v>
      </c>
      <c r="Q16" s="248">
        <v>0</v>
      </c>
      <c r="R16" s="251">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2"/>
      <c r="L17" s="122">
        <f t="shared" ref="L17:Q17" si="1">SUM(L15*L16)</f>
        <v>0</v>
      </c>
      <c r="M17" s="122">
        <f t="shared" si="1"/>
        <v>0</v>
      </c>
      <c r="N17" s="122">
        <f t="shared" si="1"/>
        <v>0</v>
      </c>
      <c r="O17" s="122">
        <f t="shared" si="1"/>
        <v>0</v>
      </c>
      <c r="P17" s="122">
        <f t="shared" si="1"/>
        <v>0</v>
      </c>
      <c r="Q17" s="122">
        <f t="shared" si="1"/>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8">
        <f>SUM(E9:E16)</f>
        <v>24189362</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SUM(E19)-SUM(B58+B59+B64+B65)</f>
        <v>24073764</v>
      </c>
      <c r="AA20" s="68"/>
      <c r="AB20" s="24"/>
      <c r="AC20" s="24"/>
      <c r="AD20" s="24"/>
      <c r="AE20" s="24"/>
      <c r="AF20" s="24"/>
      <c r="AG20" s="24"/>
      <c r="AH20" s="24"/>
      <c r="AI20" s="26"/>
      <c r="AJ20" s="24"/>
      <c r="AK20" s="24"/>
    </row>
    <row r="21" spans="1:37" ht="12.75" customHeight="1" thickBot="1" x14ac:dyDescent="0.25">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6" customHeight="1" x14ac:dyDescent="0.2">
      <c r="A22" s="13" t="s">
        <v>132</v>
      </c>
      <c r="E22" s="18">
        <v>0</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6" customHeight="1" x14ac:dyDescent="0.2">
      <c r="A23" s="13" t="s">
        <v>133</v>
      </c>
      <c r="E23" s="28">
        <f>B63</f>
        <v>0</v>
      </c>
      <c r="F23" s="13" t="s">
        <v>116</v>
      </c>
      <c r="G23" s="24"/>
      <c r="I23" s="24"/>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134</v>
      </c>
      <c r="E24" s="229">
        <f>E22+E23</f>
        <v>0</v>
      </c>
      <c r="F24" s="13" t="s">
        <v>116</v>
      </c>
      <c r="I24" s="24"/>
      <c r="J24" s="24"/>
      <c r="K24" s="67" t="s">
        <v>117</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135</v>
      </c>
      <c r="E25" s="22">
        <f>-M214</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136</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141</v>
      </c>
      <c r="E29" s="18">
        <v>12227277</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143</v>
      </c>
      <c r="E30" s="29">
        <f>B61</f>
        <v>0</v>
      </c>
      <c r="F30" s="13" t="s">
        <v>144</v>
      </c>
      <c r="I30" s="24"/>
      <c r="J30" s="24"/>
      <c r="K30" s="67" t="s">
        <v>145</v>
      </c>
      <c r="L30" s="24"/>
      <c r="M30" s="26">
        <v>23424055</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146</v>
      </c>
      <c r="E31" s="22">
        <f>B102</f>
        <v>0</v>
      </c>
      <c r="F31" s="13" t="s">
        <v>144</v>
      </c>
      <c r="I31" s="24"/>
      <c r="J31" s="24"/>
      <c r="K31" s="67" t="s">
        <v>147</v>
      </c>
      <c r="L31" s="24"/>
      <c r="M31" s="26">
        <v>0</v>
      </c>
      <c r="N31" s="27">
        <f>M31</f>
        <v>0</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148</v>
      </c>
      <c r="E32" s="29">
        <f>B118</f>
        <v>0</v>
      </c>
      <c r="F32" s="13" t="s">
        <v>144</v>
      </c>
      <c r="G32" s="19"/>
      <c r="K32" s="67" t="s">
        <v>149</v>
      </c>
      <c r="L32" s="24"/>
      <c r="M32" s="26">
        <v>12227277</v>
      </c>
      <c r="N32" s="27"/>
      <c r="O32" s="24" t="s">
        <v>142</v>
      </c>
      <c r="P32" s="24"/>
      <c r="Q32" s="24"/>
      <c r="R32" s="68"/>
      <c r="AI32" s="1"/>
    </row>
    <row r="33" spans="1:47" ht="12.75" customHeight="1" x14ac:dyDescent="0.2">
      <c r="A33" s="13" t="s">
        <v>150</v>
      </c>
      <c r="E33" s="22">
        <f>+B67</f>
        <v>0</v>
      </c>
      <c r="F33" s="13" t="s">
        <v>144</v>
      </c>
      <c r="K33" s="67"/>
      <c r="L33" s="9"/>
      <c r="M33" s="27"/>
      <c r="N33" s="27"/>
      <c r="O33" s="24"/>
      <c r="P33" s="24"/>
      <c r="Q33" s="24"/>
      <c r="R33" s="68"/>
    </row>
    <row r="34" spans="1:47" ht="12.75" customHeight="1" x14ac:dyDescent="0.2">
      <c r="A34" s="13" t="s">
        <v>151</v>
      </c>
      <c r="E34" s="22">
        <f>B69</f>
        <v>0</v>
      </c>
      <c r="F34" s="13" t="s">
        <v>144</v>
      </c>
      <c r="K34" s="67" t="s">
        <v>152</v>
      </c>
      <c r="L34" s="24"/>
      <c r="M34" s="27">
        <f>B76</f>
        <v>765307</v>
      </c>
      <c r="N34" s="27">
        <f>B63</f>
        <v>0</v>
      </c>
      <c r="O34" s="24" t="s">
        <v>153</v>
      </c>
      <c r="P34" s="24"/>
      <c r="Q34" s="24"/>
      <c r="R34" s="68"/>
    </row>
    <row r="35" spans="1:47" ht="12.75" customHeight="1" x14ac:dyDescent="0.2">
      <c r="A35" s="13" t="s">
        <v>154</v>
      </c>
      <c r="E35" s="22">
        <f>F238</f>
        <v>0</v>
      </c>
      <c r="F35" s="13" t="s">
        <v>144</v>
      </c>
      <c r="K35" s="67"/>
      <c r="L35" s="24"/>
      <c r="M35" s="27"/>
      <c r="N35" s="27"/>
      <c r="O35" s="24"/>
      <c r="P35" s="24"/>
      <c r="Q35" s="24"/>
      <c r="R35" s="68"/>
    </row>
    <row r="36" spans="1:47" ht="12.75" customHeight="1" thickBot="1" x14ac:dyDescent="0.25">
      <c r="A36" s="17" t="s">
        <v>155</v>
      </c>
      <c r="E36" s="228">
        <f>SUM(E29:E35)</f>
        <v>12227277</v>
      </c>
      <c r="K36" s="67" t="s">
        <v>156</v>
      </c>
      <c r="L36" s="9"/>
      <c r="M36" s="27">
        <f>SUM(M30:M34)</f>
        <v>36416639</v>
      </c>
      <c r="N36" s="27">
        <f>SUM(N30:N34)</f>
        <v>0</v>
      </c>
      <c r="O36" s="24"/>
      <c r="P36" s="24"/>
      <c r="Q36" s="24"/>
      <c r="R36" s="68"/>
    </row>
    <row r="37" spans="1:47" ht="12.75" customHeight="1" thickTop="1" x14ac:dyDescent="0.2">
      <c r="C37" s="46"/>
      <c r="D37" s="46"/>
      <c r="K37" s="206"/>
      <c r="L37" s="9"/>
      <c r="M37" s="9"/>
      <c r="N37" s="9"/>
      <c r="O37" s="24"/>
      <c r="P37" s="24"/>
      <c r="Q37" s="24"/>
      <c r="R37" s="68"/>
    </row>
    <row r="38" spans="1:47" ht="12.75" customHeight="1" thickBot="1" x14ac:dyDescent="0.3">
      <c r="A38" s="16" t="s">
        <v>157</v>
      </c>
      <c r="C38" s="45"/>
      <c r="D38" s="46"/>
      <c r="E38" s="228">
        <f>+E36+E26+E19</f>
        <v>36416639</v>
      </c>
      <c r="K38" s="67"/>
      <c r="L38" s="207" t="s">
        <v>158</v>
      </c>
      <c r="M38" s="208">
        <f>M36-E38</f>
        <v>0</v>
      </c>
      <c r="N38" s="209">
        <f>+N36-E26</f>
        <v>0</v>
      </c>
      <c r="O38" s="24"/>
      <c r="P38" s="24"/>
      <c r="Q38" s="24"/>
      <c r="R38" s="68"/>
      <c r="AN38" s="1"/>
      <c r="AO38" s="1"/>
      <c r="AP38" s="1"/>
      <c r="AQ38" s="1"/>
      <c r="AR38" s="1"/>
      <c r="AS38" s="1"/>
    </row>
    <row r="39" spans="1:47" ht="12.75" customHeight="1" thickTop="1" thickBot="1" x14ac:dyDescent="0.25">
      <c r="C39" s="46"/>
      <c r="D39" s="46"/>
      <c r="K39" s="74"/>
      <c r="L39" s="131"/>
      <c r="M39" s="131"/>
      <c r="N39" s="133"/>
      <c r="O39" s="131"/>
      <c r="P39" s="131"/>
      <c r="Q39" s="131"/>
      <c r="R39" s="132"/>
      <c r="AJ39" s="1"/>
      <c r="AK39" s="1"/>
      <c r="AN39" s="1"/>
      <c r="AO39" s="1"/>
      <c r="AP39" s="1"/>
      <c r="AQ39" s="1"/>
      <c r="AR39" s="1"/>
      <c r="AS39" s="1"/>
    </row>
    <row r="40" spans="1:47" ht="12.75" customHeight="1" x14ac:dyDescent="0.2">
      <c r="A40" s="318"/>
      <c r="B40" s="319"/>
      <c r="C40" s="434"/>
      <c r="D40" s="434"/>
      <c r="E40" s="319"/>
      <c r="F40" s="319"/>
      <c r="G40" s="319"/>
      <c r="H40" s="319"/>
      <c r="I40" s="319"/>
      <c r="J40" s="319"/>
      <c r="K40" s="320"/>
      <c r="L40" s="320"/>
      <c r="M40" s="320"/>
      <c r="N40" s="320"/>
      <c r="O40" s="320"/>
      <c r="P40" s="320"/>
      <c r="Q40" s="319"/>
      <c r="R40" s="319"/>
      <c r="S40" s="319"/>
      <c r="T40" s="319"/>
      <c r="U40" s="319"/>
      <c r="V40" s="319"/>
      <c r="W40" s="319"/>
      <c r="X40" s="319"/>
      <c r="Y40" s="319"/>
      <c r="Z40" s="319"/>
      <c r="AA40" s="319"/>
      <c r="AB40" s="319"/>
      <c r="AC40" s="319"/>
      <c r="AD40" s="319"/>
      <c r="AE40" s="319"/>
      <c r="AF40" s="319"/>
      <c r="AG40" s="319"/>
      <c r="AJ40" s="1"/>
      <c r="AK40" s="1"/>
      <c r="AN40" s="1"/>
      <c r="AO40" s="1"/>
      <c r="AP40" s="1"/>
      <c r="AQ40" s="1"/>
      <c r="AR40" s="1"/>
      <c r="AS40" s="1"/>
    </row>
    <row r="41" spans="1:47" ht="12.75" customHeight="1" x14ac:dyDescent="0.25">
      <c r="A41" s="56" t="s">
        <v>159</v>
      </c>
      <c r="B41" s="57"/>
      <c r="C41" s="46"/>
      <c r="D41" s="46"/>
      <c r="K41" s="1"/>
      <c r="L41" s="1"/>
      <c r="M41" s="43"/>
      <c r="N41" s="1"/>
      <c r="O41" s="1"/>
      <c r="P41" s="1"/>
      <c r="AJ41" s="1"/>
      <c r="AK41" s="1"/>
      <c r="AN41" s="1"/>
      <c r="AO41" s="1"/>
      <c r="AP41" s="1"/>
      <c r="AQ41" s="1"/>
      <c r="AR41" s="1"/>
      <c r="AS41" s="1"/>
    </row>
    <row r="42" spans="1:47" ht="12.75" customHeight="1" x14ac:dyDescent="0.2">
      <c r="B42" s="1"/>
      <c r="C42" s="19"/>
      <c r="AI42" s="106" t="s">
        <v>160</v>
      </c>
      <c r="AJ42" s="107"/>
      <c r="AK42" s="1"/>
      <c r="AN42" s="1"/>
      <c r="AO42" s="1"/>
      <c r="AP42" s="1"/>
      <c r="AQ42" s="1"/>
      <c r="AR42" s="1"/>
      <c r="AS42" s="1"/>
    </row>
    <row r="43" spans="1:47" ht="12.75" customHeight="1" x14ac:dyDescent="0.2">
      <c r="A43" s="30"/>
      <c r="B43" s="31" t="s">
        <v>161</v>
      </c>
      <c r="C43" s="32">
        <f t="shared" ref="C43:L43" si="3">SUM(C47:C76)-C61-C68-C69</f>
        <v>207489</v>
      </c>
      <c r="D43" s="32">
        <f t="shared" si="3"/>
        <v>-28989</v>
      </c>
      <c r="E43" s="32">
        <f>SUM(E47:E76)-E61-E68-E69</f>
        <v>-26828</v>
      </c>
      <c r="F43" s="32">
        <f t="shared" si="3"/>
        <v>0</v>
      </c>
      <c r="G43" s="32">
        <f t="shared" si="3"/>
        <v>0</v>
      </c>
      <c r="H43" s="32">
        <f t="shared" si="3"/>
        <v>-50668</v>
      </c>
      <c r="I43" s="32">
        <f t="shared" si="3"/>
        <v>66074</v>
      </c>
      <c r="J43" s="32">
        <f t="shared" si="3"/>
        <v>138143</v>
      </c>
      <c r="K43" s="32">
        <f t="shared" si="3"/>
        <v>170757</v>
      </c>
      <c r="L43" s="32">
        <f t="shared" si="3"/>
        <v>-106398</v>
      </c>
      <c r="M43" s="32">
        <f t="shared" ref="M43:U43" si="4">SUM(M47:M76)-M61-M68-M69</f>
        <v>0</v>
      </c>
      <c r="N43" s="32">
        <f t="shared" si="4"/>
        <v>0</v>
      </c>
      <c r="O43" s="32">
        <f t="shared" si="4"/>
        <v>72016</v>
      </c>
      <c r="P43" s="32">
        <f t="shared" si="4"/>
        <v>24415</v>
      </c>
      <c r="Q43" s="32">
        <f>SUM(Q47:Q76)-R61-Q68-Q69</f>
        <v>177778</v>
      </c>
      <c r="R43" s="32">
        <f>SUM(R47:R76)-S61-R68-R69</f>
        <v>54930</v>
      </c>
      <c r="S43" s="32">
        <f t="shared" si="4"/>
        <v>66588</v>
      </c>
      <c r="T43" s="32">
        <f t="shared" si="4"/>
        <v>0</v>
      </c>
      <c r="U43" s="32">
        <f t="shared" si="4"/>
        <v>0</v>
      </c>
      <c r="V43" s="32">
        <f>SUM(V47:V76)-V61-V68-V69</f>
        <v>0</v>
      </c>
      <c r="W43" s="32">
        <f t="shared" ref="W43:AG43" si="5">SUM(W47:W76)-W61-W68-W69</f>
        <v>0</v>
      </c>
      <c r="X43" s="32">
        <f>SUM(X47:X76)-X61-X68-X69</f>
        <v>0</v>
      </c>
      <c r="Y43" s="32">
        <f t="shared" si="5"/>
        <v>0</v>
      </c>
      <c r="Z43" s="32">
        <f t="shared" si="5"/>
        <v>0</v>
      </c>
      <c r="AA43" s="32">
        <f t="shared" si="5"/>
        <v>0</v>
      </c>
      <c r="AB43" s="32">
        <f t="shared" si="5"/>
        <v>0</v>
      </c>
      <c r="AC43" s="32">
        <f t="shared" si="5"/>
        <v>0</v>
      </c>
      <c r="AD43" s="32">
        <f t="shared" si="5"/>
        <v>0</v>
      </c>
      <c r="AE43" s="32">
        <f t="shared" si="5"/>
        <v>0</v>
      </c>
      <c r="AF43" s="32">
        <f t="shared" si="5"/>
        <v>0</v>
      </c>
      <c r="AG43" s="32">
        <f t="shared" si="5"/>
        <v>0</v>
      </c>
      <c r="AH43" s="1"/>
      <c r="AI43" s="108" t="s">
        <v>162</v>
      </c>
      <c r="AJ43" s="109" t="s">
        <v>163</v>
      </c>
      <c r="AK43" s="1"/>
      <c r="AL43" s="33"/>
      <c r="AN43" s="1"/>
      <c r="AO43" s="1"/>
      <c r="AP43" s="1"/>
      <c r="AQ43" s="1"/>
      <c r="AR43" s="1"/>
      <c r="AS43" s="1"/>
    </row>
    <row r="44" spans="1:47" s="99" customFormat="1" ht="12.75" customHeight="1" x14ac:dyDescent="0.25">
      <c r="A44" s="216" t="s">
        <v>164</v>
      </c>
      <c r="B44" s="116">
        <f>B4</f>
        <v>36831</v>
      </c>
      <c r="C44" s="104">
        <f>B44</f>
        <v>36831</v>
      </c>
      <c r="D44" s="104">
        <f t="shared" ref="D44:M44" si="6">C44+1</f>
        <v>36832</v>
      </c>
      <c r="E44" s="104">
        <f t="shared" si="6"/>
        <v>36833</v>
      </c>
      <c r="F44" s="104">
        <f t="shared" si="6"/>
        <v>36834</v>
      </c>
      <c r="G44" s="104">
        <f t="shared" si="6"/>
        <v>36835</v>
      </c>
      <c r="H44" s="104">
        <f t="shared" si="6"/>
        <v>36836</v>
      </c>
      <c r="I44" s="104">
        <f t="shared" si="6"/>
        <v>36837</v>
      </c>
      <c r="J44" s="104">
        <f t="shared" si="6"/>
        <v>36838</v>
      </c>
      <c r="K44" s="104">
        <f t="shared" si="6"/>
        <v>36839</v>
      </c>
      <c r="L44" s="104">
        <f t="shared" si="6"/>
        <v>36840</v>
      </c>
      <c r="M44" s="104">
        <f t="shared" si="6"/>
        <v>36841</v>
      </c>
      <c r="N44" s="104">
        <f t="shared" ref="N44:W44" si="7">M44+1</f>
        <v>36842</v>
      </c>
      <c r="O44" s="104">
        <f t="shared" si="7"/>
        <v>36843</v>
      </c>
      <c r="P44" s="104">
        <f t="shared" si="7"/>
        <v>36844</v>
      </c>
      <c r="Q44" s="104">
        <f t="shared" si="7"/>
        <v>36845</v>
      </c>
      <c r="R44" s="104">
        <f t="shared" si="7"/>
        <v>36846</v>
      </c>
      <c r="S44" s="104">
        <f t="shared" si="7"/>
        <v>36847</v>
      </c>
      <c r="T44" s="104">
        <f t="shared" si="7"/>
        <v>36848</v>
      </c>
      <c r="U44" s="104">
        <f t="shared" si="7"/>
        <v>36849</v>
      </c>
      <c r="V44" s="104">
        <f t="shared" si="7"/>
        <v>36850</v>
      </c>
      <c r="W44" s="104">
        <f t="shared" si="7"/>
        <v>36851</v>
      </c>
      <c r="X44" s="104">
        <f t="shared" ref="X44:AG44" si="8">W44+1</f>
        <v>36852</v>
      </c>
      <c r="Y44" s="104">
        <f t="shared" si="8"/>
        <v>36853</v>
      </c>
      <c r="Z44" s="104">
        <f t="shared" si="8"/>
        <v>36854</v>
      </c>
      <c r="AA44" s="104">
        <f t="shared" si="8"/>
        <v>36855</v>
      </c>
      <c r="AB44" s="104">
        <f t="shared" si="8"/>
        <v>36856</v>
      </c>
      <c r="AC44" s="104">
        <f t="shared" si="8"/>
        <v>36857</v>
      </c>
      <c r="AD44" s="104">
        <f t="shared" si="8"/>
        <v>36858</v>
      </c>
      <c r="AE44" s="104">
        <f t="shared" si="8"/>
        <v>36859</v>
      </c>
      <c r="AF44" s="104">
        <f t="shared" si="8"/>
        <v>36860</v>
      </c>
      <c r="AG44" s="104">
        <f t="shared" si="8"/>
        <v>36861</v>
      </c>
      <c r="AI44" s="110">
        <v>1</v>
      </c>
      <c r="AJ44" s="111" t="s">
        <v>165</v>
      </c>
      <c r="AL44" s="100"/>
    </row>
    <row r="45" spans="1:47" ht="12.75" customHeight="1" x14ac:dyDescent="0.25">
      <c r="A45" s="34"/>
      <c r="B45" s="34"/>
      <c r="C45" s="105" t="str">
        <f t="shared" ref="C45:L45" si="9">LOOKUP((WEEKDAY(C44,1)),$AI$44:$AI$50,$AJ$44:$AJ$50)</f>
        <v>W</v>
      </c>
      <c r="D45" s="105" t="str">
        <f t="shared" si="9"/>
        <v>R</v>
      </c>
      <c r="E45" s="105" t="str">
        <f t="shared" si="9"/>
        <v>F</v>
      </c>
      <c r="F45" s="105" t="str">
        <f t="shared" si="9"/>
        <v>S</v>
      </c>
      <c r="G45" s="105" t="str">
        <f t="shared" si="9"/>
        <v>S</v>
      </c>
      <c r="H45" s="105" t="str">
        <f t="shared" si="9"/>
        <v>M</v>
      </c>
      <c r="I45" s="105" t="str">
        <f t="shared" si="9"/>
        <v>T</v>
      </c>
      <c r="J45" s="105" t="str">
        <f t="shared" si="9"/>
        <v>W</v>
      </c>
      <c r="K45" s="105" t="str">
        <f t="shared" si="9"/>
        <v>R</v>
      </c>
      <c r="L45" s="105" t="str">
        <f t="shared" si="9"/>
        <v>F</v>
      </c>
      <c r="M45" s="105" t="str">
        <f t="shared" ref="M45:V45" si="10">LOOKUP((WEEKDAY(M44,1)),$AI$44:$AI$50,$AJ$44:$AJ$50)</f>
        <v>S</v>
      </c>
      <c r="N45" s="105" t="str">
        <f t="shared" si="10"/>
        <v>S</v>
      </c>
      <c r="O45" s="105" t="str">
        <f t="shared" si="10"/>
        <v>M</v>
      </c>
      <c r="P45" s="105" t="str">
        <f t="shared" si="10"/>
        <v>T</v>
      </c>
      <c r="Q45" s="105" t="str">
        <f t="shared" si="10"/>
        <v>W</v>
      </c>
      <c r="R45" s="105" t="str">
        <f t="shared" si="10"/>
        <v>R</v>
      </c>
      <c r="S45" s="105" t="str">
        <f t="shared" si="10"/>
        <v>F</v>
      </c>
      <c r="T45" s="105" t="str">
        <f t="shared" si="10"/>
        <v>S</v>
      </c>
      <c r="U45" s="105" t="str">
        <f t="shared" si="10"/>
        <v>S</v>
      </c>
      <c r="V45" s="105" t="str">
        <f t="shared" si="10"/>
        <v>M</v>
      </c>
      <c r="W45" s="105" t="str">
        <f t="shared" ref="W45:AG45" si="11">LOOKUP((WEEKDAY(W44,1)),$AI$44:$AI$50,$AJ$44:$AJ$50)</f>
        <v>T</v>
      </c>
      <c r="X45" s="105" t="str">
        <f t="shared" si="11"/>
        <v>W</v>
      </c>
      <c r="Y45" s="105" t="str">
        <f t="shared" si="11"/>
        <v>R</v>
      </c>
      <c r="Z45" s="105" t="str">
        <f t="shared" si="11"/>
        <v>F</v>
      </c>
      <c r="AA45" s="105" t="str">
        <f t="shared" si="11"/>
        <v>S</v>
      </c>
      <c r="AB45" s="105" t="str">
        <f t="shared" si="11"/>
        <v>S</v>
      </c>
      <c r="AC45" s="105" t="str">
        <f t="shared" si="11"/>
        <v>M</v>
      </c>
      <c r="AD45" s="105" t="str">
        <f t="shared" si="11"/>
        <v>T</v>
      </c>
      <c r="AE45" s="105" t="str">
        <f t="shared" si="11"/>
        <v>W</v>
      </c>
      <c r="AF45" s="105" t="str">
        <f t="shared" si="11"/>
        <v>R</v>
      </c>
      <c r="AG45" s="105" t="str">
        <f t="shared" si="11"/>
        <v>F</v>
      </c>
      <c r="AH45" s="1"/>
      <c r="AI45" s="112">
        <v>2</v>
      </c>
      <c r="AJ45" s="113" t="s">
        <v>166</v>
      </c>
      <c r="AK45" s="1"/>
      <c r="AL45" s="24"/>
      <c r="AN45" s="1"/>
      <c r="AO45" s="1"/>
      <c r="AP45" s="1"/>
      <c r="AQ45" s="1"/>
      <c r="AR45" s="1"/>
      <c r="AS45" s="1"/>
    </row>
    <row r="46" spans="1:47" ht="12.75" customHeight="1" thickBot="1" x14ac:dyDescent="0.3">
      <c r="A46" s="217"/>
      <c r="B46" s="35" t="s">
        <v>167</v>
      </c>
      <c r="C46" s="36"/>
      <c r="D46" s="36"/>
      <c r="E46" s="36"/>
      <c r="F46" s="36"/>
      <c r="G46" s="36"/>
      <c r="H46" s="36"/>
      <c r="I46" s="36"/>
      <c r="J46" s="36"/>
      <c r="K46" s="36"/>
      <c r="L46" s="36"/>
      <c r="M46" s="36"/>
      <c r="N46" s="36"/>
      <c r="O46" s="36"/>
      <c r="P46" s="280"/>
      <c r="Q46" s="36"/>
      <c r="R46" s="280"/>
      <c r="S46" s="36"/>
      <c r="T46" s="280"/>
      <c r="U46" s="36"/>
      <c r="V46" s="36"/>
      <c r="W46" s="280"/>
      <c r="X46" s="36"/>
      <c r="Y46" s="36"/>
      <c r="Z46" s="36"/>
      <c r="AA46" s="36"/>
      <c r="AB46" s="280"/>
      <c r="AC46" s="36"/>
      <c r="AD46" s="36"/>
      <c r="AE46" s="280"/>
      <c r="AF46" s="36"/>
      <c r="AG46" s="37"/>
      <c r="AH46" s="1"/>
      <c r="AI46" s="112">
        <v>3</v>
      </c>
      <c r="AJ46" s="113" t="s">
        <v>168</v>
      </c>
      <c r="AK46" s="1"/>
      <c r="AL46" s="24"/>
      <c r="AN46" s="1"/>
      <c r="AO46" s="1"/>
      <c r="AP46" s="1"/>
      <c r="AQ46" s="1"/>
      <c r="AR46" s="1"/>
      <c r="AS46" s="1"/>
    </row>
    <row r="47" spans="1:47" ht="12.75" hidden="1" customHeight="1" thickTop="1" x14ac:dyDescent="0.2">
      <c r="A47" s="22" t="s">
        <v>169</v>
      </c>
      <c r="B47" s="39">
        <f t="shared" ref="B47:B70" si="12">SUM(C47:AG47)</f>
        <v>0</v>
      </c>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1"/>
      <c r="AI47" s="112">
        <v>4</v>
      </c>
      <c r="AJ47" s="113" t="s">
        <v>170</v>
      </c>
      <c r="AK47" s="1"/>
      <c r="AL47" s="41"/>
      <c r="AM47" s="42"/>
      <c r="AN47" s="43"/>
      <c r="AO47" s="1"/>
      <c r="AP47" s="1"/>
      <c r="AQ47" s="1"/>
      <c r="AR47" s="1"/>
      <c r="AS47" s="1"/>
    </row>
    <row r="48" spans="1:47" ht="12.75" hidden="1" customHeight="1" x14ac:dyDescent="0.2">
      <c r="A48" s="44" t="s">
        <v>171</v>
      </c>
      <c r="B48" s="39">
        <f t="shared" si="12"/>
        <v>0</v>
      </c>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1"/>
      <c r="AI48" s="112">
        <v>5</v>
      </c>
      <c r="AJ48" s="113" t="s">
        <v>172</v>
      </c>
      <c r="AK48" s="1"/>
      <c r="AL48" s="41"/>
      <c r="AM48" s="45"/>
      <c r="AN48" s="47"/>
      <c r="AO48" s="41"/>
      <c r="AP48" s="41"/>
      <c r="AQ48" s="41"/>
      <c r="AR48" s="41"/>
      <c r="AS48" s="41"/>
      <c r="AT48" s="46"/>
      <c r="AU48" s="46"/>
    </row>
    <row r="49" spans="1:50" ht="12.75" customHeight="1" thickTop="1" x14ac:dyDescent="0.2">
      <c r="A49" s="44" t="s">
        <v>173</v>
      </c>
      <c r="B49" s="39">
        <f t="shared" si="12"/>
        <v>-5367</v>
      </c>
      <c r="C49" s="20"/>
      <c r="D49" s="20">
        <v>-5367</v>
      </c>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1"/>
      <c r="AI49" s="112">
        <v>6</v>
      </c>
      <c r="AJ49" s="113" t="s">
        <v>174</v>
      </c>
      <c r="AK49" s="1"/>
      <c r="AL49" s="41"/>
      <c r="AM49" s="45"/>
      <c r="AN49" s="47"/>
      <c r="AO49" s="41"/>
      <c r="AP49" s="41"/>
      <c r="AQ49" s="41"/>
      <c r="AR49" s="41"/>
      <c r="AS49" s="41"/>
      <c r="AT49" s="46"/>
      <c r="AU49" s="46"/>
    </row>
    <row r="50" spans="1:50" ht="12.75" hidden="1" customHeight="1" x14ac:dyDescent="0.2">
      <c r="A50" s="44" t="s">
        <v>175</v>
      </c>
      <c r="B50" s="39">
        <f t="shared" si="12"/>
        <v>0</v>
      </c>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1"/>
      <c r="AI50" s="114">
        <v>7</v>
      </c>
      <c r="AJ50" s="115" t="s">
        <v>165</v>
      </c>
      <c r="AK50" s="1"/>
      <c r="AL50" s="48"/>
      <c r="AM50" s="48"/>
      <c r="AN50" s="47"/>
      <c r="AO50" s="41"/>
      <c r="AP50" s="41"/>
      <c r="AQ50" s="41"/>
      <c r="AR50" s="41"/>
      <c r="AS50" s="41"/>
      <c r="AT50" s="46"/>
      <c r="AU50" s="46"/>
    </row>
    <row r="51" spans="1:50" ht="12.75" customHeight="1" x14ac:dyDescent="0.2">
      <c r="A51" s="44" t="s">
        <v>176</v>
      </c>
      <c r="B51" s="39">
        <f t="shared" si="12"/>
        <v>681116</v>
      </c>
      <c r="C51" s="20">
        <v>216329</v>
      </c>
      <c r="D51" s="20">
        <v>-17381</v>
      </c>
      <c r="E51" s="20">
        <v>-23952</v>
      </c>
      <c r="F51" s="20"/>
      <c r="G51" s="20"/>
      <c r="H51" s="20">
        <v>-47737</v>
      </c>
      <c r="I51" s="20">
        <v>54193</v>
      </c>
      <c r="J51" s="20">
        <v>153525</v>
      </c>
      <c r="K51" s="20">
        <v>165177</v>
      </c>
      <c r="L51" s="20">
        <v>-117420</v>
      </c>
      <c r="M51" s="20"/>
      <c r="N51" s="20"/>
      <c r="O51" s="20">
        <v>57557</v>
      </c>
      <c r="P51" s="20">
        <v>-6699</v>
      </c>
      <c r="Q51" s="20">
        <v>167046</v>
      </c>
      <c r="R51" s="20">
        <v>7917</v>
      </c>
      <c r="S51" s="20">
        <v>72561</v>
      </c>
      <c r="T51" s="20"/>
      <c r="U51" s="20"/>
      <c r="V51" s="20"/>
      <c r="W51" s="20"/>
      <c r="X51" s="20"/>
      <c r="Y51" s="20"/>
      <c r="Z51" s="20"/>
      <c r="AA51" s="20"/>
      <c r="AB51" s="20"/>
      <c r="AC51" s="20"/>
      <c r="AD51" s="20"/>
      <c r="AE51" s="20"/>
      <c r="AF51" s="20"/>
      <c r="AG51" s="20"/>
      <c r="AH51" s="1"/>
      <c r="AI51" s="46"/>
      <c r="AJ51" s="1"/>
      <c r="AK51" s="1"/>
      <c r="AL51" s="48"/>
      <c r="AM51" s="42"/>
      <c r="AN51" s="43"/>
      <c r="AO51" s="1"/>
      <c r="AP51" s="1"/>
      <c r="AQ51" s="1"/>
      <c r="AR51" s="1"/>
      <c r="AS51" s="1"/>
    </row>
    <row r="52" spans="1:50" ht="12.75" hidden="1" customHeight="1" x14ac:dyDescent="0.2">
      <c r="A52" s="44" t="s">
        <v>177</v>
      </c>
      <c r="B52" s="39">
        <f t="shared" si="12"/>
        <v>0</v>
      </c>
      <c r="C52" s="20"/>
      <c r="D52" s="20"/>
      <c r="E52" s="20"/>
      <c r="F52" s="20"/>
      <c r="G52" s="20"/>
      <c r="H52" s="20"/>
      <c r="I52" s="20"/>
      <c r="J52" s="20"/>
      <c r="K52" s="20"/>
      <c r="L52" s="20"/>
      <c r="M52" s="20"/>
      <c r="N52" s="20"/>
      <c r="P52" s="20"/>
      <c r="Q52" s="20"/>
      <c r="R52" s="20"/>
      <c r="S52" s="20"/>
      <c r="T52" s="20"/>
      <c r="U52" s="20"/>
      <c r="V52" s="20"/>
      <c r="W52" s="20"/>
      <c r="X52" s="20"/>
      <c r="Y52" s="20"/>
      <c r="Z52" s="20"/>
      <c r="AA52" s="20"/>
      <c r="AB52" s="20"/>
      <c r="AC52" s="20"/>
      <c r="AD52" s="20"/>
      <c r="AE52" s="20"/>
      <c r="AF52" s="20"/>
      <c r="AG52" s="20"/>
      <c r="AH52" s="1"/>
      <c r="AI52" s="46"/>
      <c r="AJ52" s="1"/>
      <c r="AK52" s="1"/>
      <c r="AL52" s="48"/>
      <c r="AM52" s="42"/>
      <c r="AN52" s="43"/>
      <c r="AO52" s="1"/>
      <c r="AP52" s="1"/>
      <c r="AQ52" s="1"/>
      <c r="AR52" s="1"/>
      <c r="AS52" s="1"/>
    </row>
    <row r="53" spans="1:50" ht="12.75" customHeight="1" x14ac:dyDescent="0.2">
      <c r="A53" s="22" t="s">
        <v>178</v>
      </c>
      <c r="B53" s="39">
        <f t="shared" si="12"/>
        <v>-26234</v>
      </c>
      <c r="C53" s="20">
        <v>-35186</v>
      </c>
      <c r="D53" s="20">
        <v>2003</v>
      </c>
      <c r="E53" s="20">
        <v>370</v>
      </c>
      <c r="F53" s="20"/>
      <c r="G53" s="20"/>
      <c r="H53" s="20"/>
      <c r="I53" s="20">
        <v>5399</v>
      </c>
      <c r="J53" s="20">
        <v>15098</v>
      </c>
      <c r="K53" s="20">
        <v>-11904</v>
      </c>
      <c r="L53" s="20"/>
      <c r="M53" s="20"/>
      <c r="N53" s="20"/>
      <c r="P53" s="20">
        <v>-2577</v>
      </c>
      <c r="Q53" s="20">
        <v>516</v>
      </c>
      <c r="R53" s="20">
        <v>1037</v>
      </c>
      <c r="S53" s="20">
        <v>-990</v>
      </c>
      <c r="T53" s="20"/>
      <c r="U53" s="20"/>
      <c r="V53" s="20"/>
      <c r="W53" s="20"/>
      <c r="X53" s="20"/>
      <c r="Y53" s="20"/>
      <c r="Z53" s="20"/>
      <c r="AA53" s="20"/>
      <c r="AB53" s="20"/>
      <c r="AC53" s="20"/>
      <c r="AD53" s="20"/>
      <c r="AE53" s="20"/>
      <c r="AF53" s="20"/>
      <c r="AG53" s="20"/>
      <c r="AH53" s="1"/>
      <c r="AJ53" s="1"/>
      <c r="AK53" s="1"/>
      <c r="AL53" s="41"/>
      <c r="AM53" s="42"/>
      <c r="AN53" s="43"/>
      <c r="AO53" s="1"/>
      <c r="AP53" s="1"/>
      <c r="AQ53" s="1"/>
      <c r="AR53" s="1"/>
      <c r="AS53" s="1"/>
    </row>
    <row r="54" spans="1:50" ht="12.75" customHeight="1" x14ac:dyDescent="0.2">
      <c r="A54" s="22" t="s">
        <v>179</v>
      </c>
      <c r="B54" s="39">
        <f t="shared" si="12"/>
        <v>0</v>
      </c>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1"/>
      <c r="AJ54" s="1"/>
      <c r="AK54" s="1"/>
      <c r="AL54" s="41"/>
      <c r="AM54" s="42"/>
      <c r="AN54" s="43"/>
      <c r="AO54" s="1"/>
      <c r="AP54" s="1"/>
      <c r="AQ54" s="1"/>
      <c r="AR54" s="1"/>
      <c r="AS54" s="1"/>
    </row>
    <row r="55" spans="1:50" ht="12.75" customHeight="1" x14ac:dyDescent="0.2">
      <c r="A55" s="22" t="s">
        <v>180</v>
      </c>
      <c r="B55" s="39">
        <f t="shared" si="12"/>
        <v>0</v>
      </c>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1"/>
      <c r="AJ55" s="1"/>
      <c r="AK55" s="1"/>
      <c r="AL55" s="41"/>
      <c r="AM55" s="42"/>
      <c r="AN55" s="43"/>
      <c r="AO55" s="1"/>
      <c r="AP55" s="1"/>
      <c r="AQ55" s="1"/>
      <c r="AR55" s="1"/>
      <c r="AS55" s="1"/>
    </row>
    <row r="56" spans="1:50" ht="12.75" customHeight="1" x14ac:dyDescent="0.2">
      <c r="A56" s="22" t="s">
        <v>181</v>
      </c>
      <c r="B56" s="39">
        <f t="shared" si="12"/>
        <v>0</v>
      </c>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1"/>
      <c r="AI56" s="46"/>
      <c r="AJ56" s="1"/>
      <c r="AK56" s="1"/>
      <c r="AL56" s="41"/>
      <c r="AM56" s="42"/>
      <c r="AN56" s="43"/>
      <c r="AO56" s="1"/>
      <c r="AP56" s="1"/>
      <c r="AQ56" s="1"/>
      <c r="AR56" s="1"/>
      <c r="AS56" s="1"/>
    </row>
    <row r="57" spans="1:50" ht="12.75" customHeight="1" x14ac:dyDescent="0.2">
      <c r="A57" s="44" t="s">
        <v>182</v>
      </c>
      <c r="B57" s="39">
        <f t="shared" si="12"/>
        <v>0</v>
      </c>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1"/>
      <c r="AI57" s="46"/>
      <c r="AJ57" s="1"/>
      <c r="AK57" s="1"/>
      <c r="AL57" s="41"/>
      <c r="AM57" s="42"/>
      <c r="AN57" s="43"/>
      <c r="AO57" s="1"/>
      <c r="AP57" s="1"/>
      <c r="AQ57" s="1"/>
      <c r="AR57" s="1"/>
      <c r="AS57" s="1"/>
    </row>
    <row r="58" spans="1:50" ht="12.75" customHeight="1" x14ac:dyDescent="0.2">
      <c r="A58" s="44" t="s">
        <v>183</v>
      </c>
      <c r="B58" s="39">
        <f t="shared" si="12"/>
        <v>35911</v>
      </c>
      <c r="C58" s="20">
        <v>21494</v>
      </c>
      <c r="D58" s="20">
        <v>-12888</v>
      </c>
      <c r="E58" s="20">
        <v>-7898</v>
      </c>
      <c r="F58" s="20"/>
      <c r="G58" s="20"/>
      <c r="H58" s="20">
        <v>-16906</v>
      </c>
      <c r="I58" s="20">
        <v>1823</v>
      </c>
      <c r="J58" s="20">
        <v>-34987</v>
      </c>
      <c r="K58" s="20">
        <v>12672</v>
      </c>
      <c r="L58" s="20">
        <v>6332</v>
      </c>
      <c r="M58" s="20"/>
      <c r="N58" s="20"/>
      <c r="O58" s="20">
        <v>267</v>
      </c>
      <c r="P58" s="20">
        <v>29002</v>
      </c>
      <c r="Q58" s="20">
        <v>5443</v>
      </c>
      <c r="R58" s="20">
        <v>41257</v>
      </c>
      <c r="S58" s="20">
        <v>-9700</v>
      </c>
      <c r="T58" s="20"/>
      <c r="U58" s="20"/>
      <c r="V58" s="20"/>
      <c r="W58" s="20"/>
      <c r="X58" s="20"/>
      <c r="Y58" s="20"/>
      <c r="Z58" s="20"/>
      <c r="AA58" s="20"/>
      <c r="AB58" s="20"/>
      <c r="AC58" s="20"/>
      <c r="AD58" s="20"/>
      <c r="AE58" s="20"/>
      <c r="AF58" s="20"/>
      <c r="AG58" s="20"/>
      <c r="AH58" s="1"/>
      <c r="AI58" s="46"/>
      <c r="AJ58" s="1"/>
      <c r="AK58" s="1"/>
      <c r="AL58" s="41"/>
      <c r="AM58" s="48"/>
      <c r="AN58" s="47"/>
      <c r="AO58" s="41"/>
      <c r="AP58" s="41"/>
      <c r="AQ58" s="41"/>
      <c r="AR58" s="41"/>
      <c r="AS58" s="41"/>
      <c r="AT58" s="46"/>
      <c r="AU58" s="46"/>
      <c r="AV58" s="46"/>
      <c r="AW58" s="46"/>
      <c r="AX58" s="46"/>
    </row>
    <row r="59" spans="1:50" ht="12.75" customHeight="1" x14ac:dyDescent="0.2">
      <c r="A59" s="44" t="s">
        <v>184</v>
      </c>
      <c r="B59" s="39">
        <f t="shared" si="12"/>
        <v>79687</v>
      </c>
      <c r="C59" s="20">
        <v>4662</v>
      </c>
      <c r="D59" s="20">
        <v>4627</v>
      </c>
      <c r="E59" s="20">
        <v>4640</v>
      </c>
      <c r="F59" s="20"/>
      <c r="G59" s="20"/>
      <c r="H59" s="20">
        <v>13939</v>
      </c>
      <c r="I59" s="20">
        <v>4649</v>
      </c>
      <c r="J59" s="20">
        <v>4657</v>
      </c>
      <c r="K59" s="20">
        <v>4711</v>
      </c>
      <c r="L59" s="20">
        <v>4739</v>
      </c>
      <c r="M59" s="20"/>
      <c r="N59" s="20"/>
      <c r="O59" s="20">
        <v>14163</v>
      </c>
      <c r="P59" s="20">
        <v>4732</v>
      </c>
      <c r="Q59" s="20">
        <v>4712</v>
      </c>
      <c r="R59" s="20">
        <v>4740</v>
      </c>
      <c r="S59" s="20">
        <v>4716</v>
      </c>
      <c r="T59" s="20"/>
      <c r="U59" s="20"/>
      <c r="V59" s="20"/>
      <c r="W59" s="20"/>
      <c r="X59" s="20"/>
      <c r="Y59" s="20"/>
      <c r="Z59" s="20"/>
      <c r="AA59" s="20"/>
      <c r="AB59" s="20"/>
      <c r="AC59" s="20"/>
      <c r="AD59" s="20"/>
      <c r="AE59" s="20"/>
      <c r="AF59" s="20"/>
      <c r="AG59" s="20"/>
      <c r="AH59" s="1"/>
      <c r="AI59" s="46"/>
      <c r="AJ59" s="1"/>
      <c r="AK59" s="1"/>
      <c r="AL59" s="41"/>
      <c r="AM59" s="48"/>
      <c r="AN59" s="47"/>
      <c r="AO59" s="41"/>
      <c r="AP59" s="41"/>
      <c r="AQ59" s="41"/>
      <c r="AR59" s="41"/>
      <c r="AS59" s="41"/>
      <c r="AT59" s="46"/>
      <c r="AU59" s="46"/>
      <c r="AV59" s="46"/>
      <c r="AW59" s="46"/>
      <c r="AX59" s="46"/>
    </row>
    <row r="60" spans="1:50" ht="12.75" customHeight="1" x14ac:dyDescent="0.2">
      <c r="A60" s="44" t="s">
        <v>185</v>
      </c>
      <c r="B60" s="39">
        <f t="shared" si="12"/>
        <v>0</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1"/>
      <c r="AI60" s="46"/>
      <c r="AJ60" s="1"/>
      <c r="AK60" s="1"/>
      <c r="AL60" s="41"/>
      <c r="AM60" s="48"/>
      <c r="AN60" s="47"/>
      <c r="AO60" s="41"/>
      <c r="AP60" s="41"/>
      <c r="AQ60" s="41"/>
      <c r="AR60" s="41"/>
      <c r="AS60" s="41"/>
      <c r="AT60" s="46"/>
      <c r="AU60" s="46"/>
      <c r="AV60" s="46"/>
      <c r="AW60" s="46"/>
      <c r="AX60" s="46"/>
    </row>
    <row r="61" spans="1:50" ht="12.75" customHeight="1" x14ac:dyDescent="0.2">
      <c r="A61" s="44" t="s">
        <v>186</v>
      </c>
      <c r="B61" s="39">
        <f t="shared" si="12"/>
        <v>0</v>
      </c>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1"/>
      <c r="AJ61" s="1"/>
      <c r="AK61" s="1"/>
      <c r="AL61" s="41"/>
      <c r="AM61" s="42"/>
      <c r="AN61" s="43"/>
      <c r="AO61" s="1"/>
      <c r="AP61" s="1"/>
      <c r="AQ61" s="1"/>
      <c r="AR61" s="1"/>
      <c r="AS61" s="1"/>
    </row>
    <row r="62" spans="1:50" ht="12.75" customHeight="1" x14ac:dyDescent="0.2">
      <c r="A62" s="44" t="s">
        <v>187</v>
      </c>
      <c r="B62" s="39">
        <f t="shared" si="12"/>
        <v>194</v>
      </c>
      <c r="C62" s="20">
        <f>191-1</f>
        <v>190</v>
      </c>
      <c r="D62" s="20">
        <f>17</f>
        <v>17</v>
      </c>
      <c r="E62" s="20">
        <f>13-1</f>
        <v>12</v>
      </c>
      <c r="F62" s="20"/>
      <c r="G62" s="20"/>
      <c r="H62" s="20">
        <v>36</v>
      </c>
      <c r="I62" s="20">
        <f>9+1</f>
        <v>10</v>
      </c>
      <c r="J62" s="20">
        <f>-149-1</f>
        <v>-150</v>
      </c>
      <c r="K62" s="20">
        <f>100+1</f>
        <v>101</v>
      </c>
      <c r="L62" s="20">
        <v>-49</v>
      </c>
      <c r="M62" s="20"/>
      <c r="N62" s="20"/>
      <c r="O62" s="20">
        <f>29</f>
        <v>29</v>
      </c>
      <c r="P62" s="20">
        <f>-44+1</f>
        <v>-43</v>
      </c>
      <c r="Q62" s="20">
        <f>62-1</f>
        <v>61</v>
      </c>
      <c r="R62" s="20">
        <f>-22+1</f>
        <v>-21</v>
      </c>
      <c r="S62" s="20">
        <f>2-1</f>
        <v>1</v>
      </c>
      <c r="T62" s="20"/>
      <c r="U62" s="20"/>
      <c r="V62" s="20"/>
      <c r="W62" s="20"/>
      <c r="X62" s="20"/>
      <c r="Y62" s="20"/>
      <c r="Z62" s="20"/>
      <c r="AA62" s="20"/>
      <c r="AB62" s="20"/>
      <c r="AC62" s="20"/>
      <c r="AD62" s="20"/>
      <c r="AE62" s="20"/>
      <c r="AF62" s="20"/>
      <c r="AG62" s="20"/>
      <c r="AH62" s="1"/>
      <c r="AJ62" s="1"/>
      <c r="AK62" s="1"/>
      <c r="AL62" s="41"/>
      <c r="AM62" s="42"/>
      <c r="AN62" s="43"/>
      <c r="AO62" s="43"/>
      <c r="AP62" s="1"/>
      <c r="AQ62" s="1"/>
      <c r="AR62" s="1"/>
      <c r="AS62" s="1"/>
    </row>
    <row r="63" spans="1:50" ht="12.75" hidden="1" customHeight="1" x14ac:dyDescent="0.2">
      <c r="A63" s="44" t="s">
        <v>140</v>
      </c>
      <c r="B63" s="39">
        <f t="shared" si="12"/>
        <v>0</v>
      </c>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1"/>
      <c r="AI63" s="46"/>
      <c r="AJ63" s="1"/>
      <c r="AK63" s="1"/>
      <c r="AL63" s="41"/>
      <c r="AM63" s="42"/>
      <c r="AN63" s="43"/>
      <c r="AO63" s="1"/>
      <c r="AP63" s="1"/>
      <c r="AQ63" s="1"/>
      <c r="AR63" s="1"/>
      <c r="AS63" s="1"/>
    </row>
    <row r="64" spans="1:50" ht="12.75" hidden="1" customHeight="1" x14ac:dyDescent="0.2">
      <c r="A64" s="44" t="s">
        <v>188</v>
      </c>
      <c r="B64" s="39">
        <f t="shared" si="12"/>
        <v>0</v>
      </c>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1"/>
      <c r="AI64" s="46"/>
      <c r="AJ64" s="1"/>
      <c r="AK64" s="1"/>
      <c r="AL64" s="48"/>
      <c r="AM64" s="42"/>
      <c r="AN64" s="1"/>
      <c r="AO64" s="1"/>
      <c r="AP64" s="1"/>
      <c r="AQ64" s="1"/>
      <c r="AR64" s="1"/>
      <c r="AS64" s="1"/>
    </row>
    <row r="65" spans="1:45" ht="12.75" hidden="1" customHeight="1" x14ac:dyDescent="0.2">
      <c r="A65" s="22" t="s">
        <v>189</v>
      </c>
      <c r="B65" s="39">
        <f t="shared" si="12"/>
        <v>0</v>
      </c>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1"/>
      <c r="AJ65" s="1"/>
      <c r="AK65" s="1"/>
      <c r="AL65" s="41"/>
      <c r="AM65" s="42"/>
      <c r="AN65" s="1"/>
      <c r="AO65" s="1"/>
      <c r="AP65" s="1"/>
      <c r="AQ65" s="1"/>
      <c r="AR65" s="1"/>
      <c r="AS65" s="1"/>
    </row>
    <row r="66" spans="1:45" ht="12.75" hidden="1" customHeight="1" x14ac:dyDescent="0.2">
      <c r="A66" s="22" t="s">
        <v>190</v>
      </c>
      <c r="B66" s="39">
        <f t="shared" si="12"/>
        <v>0</v>
      </c>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1"/>
      <c r="AI66" s="46"/>
      <c r="AJ66" s="1"/>
      <c r="AK66" s="1"/>
      <c r="AL66" s="41"/>
      <c r="AM66" s="42"/>
      <c r="AN66" s="1"/>
      <c r="AO66" s="1"/>
      <c r="AP66" s="1"/>
      <c r="AQ66" s="1"/>
      <c r="AR66" s="1"/>
      <c r="AS66" s="1"/>
    </row>
    <row r="67" spans="1:45" ht="12.75" hidden="1" customHeight="1" x14ac:dyDescent="0.2">
      <c r="A67" s="22" t="s">
        <v>191</v>
      </c>
      <c r="B67" s="39">
        <f t="shared" si="12"/>
        <v>0</v>
      </c>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1"/>
      <c r="AI67" s="46"/>
      <c r="AJ67" s="1"/>
      <c r="AK67" s="1"/>
      <c r="AL67" s="41"/>
      <c r="AM67" s="42"/>
      <c r="AN67" s="1"/>
      <c r="AO67" s="1"/>
      <c r="AP67" s="1"/>
      <c r="AQ67" s="1"/>
      <c r="AR67" s="1"/>
      <c r="AS67" s="1"/>
    </row>
    <row r="68" spans="1:45" ht="12.75" hidden="1" customHeight="1" x14ac:dyDescent="0.2">
      <c r="A68" s="22" t="s">
        <v>192</v>
      </c>
      <c r="B68" s="39">
        <f t="shared" si="12"/>
        <v>0</v>
      </c>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J68" s="1"/>
      <c r="AK68" s="1"/>
      <c r="AL68" s="41"/>
      <c r="AM68" s="42"/>
      <c r="AN68" s="1"/>
      <c r="AO68" s="1"/>
      <c r="AP68" s="1"/>
      <c r="AQ68" s="1"/>
      <c r="AR68" s="1"/>
      <c r="AS68" s="1"/>
    </row>
    <row r="69" spans="1:45" ht="12.75" hidden="1" customHeight="1" x14ac:dyDescent="0.2">
      <c r="A69" s="44" t="s">
        <v>193</v>
      </c>
      <c r="B69" s="39">
        <f t="shared" si="12"/>
        <v>0</v>
      </c>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1"/>
      <c r="AI69" s="46"/>
      <c r="AJ69" s="1"/>
      <c r="AK69" s="1"/>
      <c r="AL69" s="41"/>
      <c r="AM69" s="42"/>
      <c r="AN69" s="1"/>
      <c r="AO69" s="1"/>
      <c r="AP69" s="1"/>
      <c r="AQ69" s="1"/>
      <c r="AR69" s="1"/>
      <c r="AS69" s="1"/>
    </row>
    <row r="70" spans="1:45" ht="12.75" hidden="1" customHeight="1" x14ac:dyDescent="0.2">
      <c r="A70" s="22" t="s">
        <v>194</v>
      </c>
      <c r="B70" s="39">
        <f t="shared" si="12"/>
        <v>0</v>
      </c>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J70" s="1"/>
      <c r="AK70" s="1"/>
      <c r="AL70" s="41"/>
      <c r="AM70" s="42"/>
      <c r="AN70" s="1"/>
      <c r="AO70" s="1"/>
      <c r="AP70" s="1"/>
      <c r="AQ70" s="1"/>
      <c r="AR70" s="1"/>
      <c r="AS70" s="1"/>
    </row>
    <row r="71" spans="1:45" ht="12.75" hidden="1" customHeight="1" x14ac:dyDescent="0.2">
      <c r="A71" s="22" t="s">
        <v>195</v>
      </c>
      <c r="B71" s="39" t="s">
        <v>196</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197</v>
      </c>
      <c r="B76" s="52">
        <f>SUM(B47:B75)-B61-B68-B69</f>
        <v>765307</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C78" s="13">
        <f>(+B58+B59)*-1</f>
        <v>-115598</v>
      </c>
      <c r="AH78" s="24"/>
      <c r="AJ78" s="24"/>
      <c r="AK78" s="20"/>
      <c r="AL78" s="41"/>
      <c r="AM78" s="42"/>
    </row>
    <row r="79" spans="1:45" ht="12.75" customHeight="1" x14ac:dyDescent="0.25">
      <c r="A79" s="56" t="s">
        <v>273</v>
      </c>
      <c r="B79" s="57"/>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t="s">
        <v>161</v>
      </c>
      <c r="C81" s="32">
        <f t="shared" ref="C81:L81" si="13">SUM(C85:C101)</f>
        <v>0</v>
      </c>
      <c r="D81" s="32">
        <f t="shared" si="13"/>
        <v>0</v>
      </c>
      <c r="E81" s="32">
        <f t="shared" si="13"/>
        <v>0</v>
      </c>
      <c r="F81" s="32">
        <f t="shared" si="13"/>
        <v>0</v>
      </c>
      <c r="G81" s="32">
        <f t="shared" si="13"/>
        <v>0</v>
      </c>
      <c r="H81" s="32">
        <f t="shared" si="13"/>
        <v>0</v>
      </c>
      <c r="I81" s="32">
        <f t="shared" si="13"/>
        <v>0</v>
      </c>
      <c r="J81" s="32">
        <f t="shared" si="13"/>
        <v>0</v>
      </c>
      <c r="K81" s="32">
        <f t="shared" si="13"/>
        <v>0</v>
      </c>
      <c r="L81" s="32">
        <f t="shared" si="13"/>
        <v>0</v>
      </c>
      <c r="M81" s="32">
        <f t="shared" ref="M81:V81" si="14">SUM(M85:M101)</f>
        <v>0</v>
      </c>
      <c r="N81" s="32">
        <f t="shared" si="14"/>
        <v>0</v>
      </c>
      <c r="O81" s="32">
        <f t="shared" si="14"/>
        <v>0</v>
      </c>
      <c r="P81" s="32">
        <f t="shared" si="14"/>
        <v>0</v>
      </c>
      <c r="Q81" s="32">
        <f t="shared" si="14"/>
        <v>0</v>
      </c>
      <c r="R81" s="32">
        <f t="shared" si="14"/>
        <v>0</v>
      </c>
      <c r="S81" s="32">
        <f t="shared" si="14"/>
        <v>0</v>
      </c>
      <c r="T81" s="32">
        <f t="shared" si="14"/>
        <v>0</v>
      </c>
      <c r="U81" s="32">
        <f t="shared" si="14"/>
        <v>0</v>
      </c>
      <c r="V81" s="32">
        <f t="shared" si="14"/>
        <v>0</v>
      </c>
      <c r="W81" s="32">
        <f t="shared" ref="W81:AG81" si="15">SUM(W85:W101)</f>
        <v>0</v>
      </c>
      <c r="X81" s="32">
        <f t="shared" si="15"/>
        <v>0</v>
      </c>
      <c r="Y81" s="32">
        <f t="shared" si="15"/>
        <v>0</v>
      </c>
      <c r="Z81" s="32">
        <f t="shared" si="15"/>
        <v>0</v>
      </c>
      <c r="AA81" s="32">
        <f t="shared" si="15"/>
        <v>0</v>
      </c>
      <c r="AB81" s="32">
        <f t="shared" si="15"/>
        <v>0</v>
      </c>
      <c r="AC81" s="32">
        <f t="shared" si="15"/>
        <v>0</v>
      </c>
      <c r="AD81" s="32">
        <f t="shared" si="15"/>
        <v>0</v>
      </c>
      <c r="AE81" s="32">
        <f t="shared" si="15"/>
        <v>0</v>
      </c>
      <c r="AF81" s="32">
        <f t="shared" si="15"/>
        <v>0</v>
      </c>
      <c r="AG81" s="32">
        <f t="shared" si="15"/>
        <v>0</v>
      </c>
      <c r="AH81" s="1"/>
      <c r="AI81" s="117"/>
      <c r="AJ81" s="118"/>
      <c r="AK81" s="1"/>
      <c r="AL81" s="33"/>
      <c r="AN81" s="1"/>
      <c r="AO81" s="1"/>
      <c r="AP81" s="1"/>
      <c r="AQ81" s="1"/>
      <c r="AR81" s="1"/>
      <c r="AS81" s="1"/>
    </row>
    <row r="82" spans="1:45" s="99" customFormat="1" ht="12.75" customHeight="1" x14ac:dyDescent="0.25">
      <c r="A82" s="216" t="s">
        <v>199</v>
      </c>
      <c r="B82" s="116">
        <f t="shared" ref="B82:AG82" si="16">B44</f>
        <v>36831</v>
      </c>
      <c r="C82" s="104">
        <f t="shared" si="16"/>
        <v>36831</v>
      </c>
      <c r="D82" s="104">
        <f t="shared" si="16"/>
        <v>36832</v>
      </c>
      <c r="E82" s="104">
        <f t="shared" si="16"/>
        <v>36833</v>
      </c>
      <c r="F82" s="104">
        <f t="shared" si="16"/>
        <v>36834</v>
      </c>
      <c r="G82" s="104">
        <f t="shared" si="16"/>
        <v>36835</v>
      </c>
      <c r="H82" s="104">
        <f t="shared" si="16"/>
        <v>36836</v>
      </c>
      <c r="I82" s="104">
        <f t="shared" si="16"/>
        <v>36837</v>
      </c>
      <c r="J82" s="104">
        <f t="shared" si="16"/>
        <v>36838</v>
      </c>
      <c r="K82" s="104">
        <f t="shared" si="16"/>
        <v>36839</v>
      </c>
      <c r="L82" s="104">
        <f t="shared" si="16"/>
        <v>36840</v>
      </c>
      <c r="M82" s="104">
        <f t="shared" si="16"/>
        <v>36841</v>
      </c>
      <c r="N82" s="104">
        <f t="shared" si="16"/>
        <v>36842</v>
      </c>
      <c r="O82" s="104">
        <f t="shared" si="16"/>
        <v>36843</v>
      </c>
      <c r="P82" s="104">
        <f t="shared" si="16"/>
        <v>36844</v>
      </c>
      <c r="Q82" s="104">
        <f t="shared" si="16"/>
        <v>36845</v>
      </c>
      <c r="R82" s="104">
        <f t="shared" si="16"/>
        <v>36846</v>
      </c>
      <c r="S82" s="104">
        <f t="shared" si="16"/>
        <v>36847</v>
      </c>
      <c r="T82" s="104">
        <f t="shared" si="16"/>
        <v>36848</v>
      </c>
      <c r="U82" s="104">
        <f t="shared" si="16"/>
        <v>36849</v>
      </c>
      <c r="V82" s="104">
        <f t="shared" si="16"/>
        <v>36850</v>
      </c>
      <c r="W82" s="104">
        <f t="shared" si="16"/>
        <v>36851</v>
      </c>
      <c r="X82" s="104">
        <f t="shared" si="16"/>
        <v>36852</v>
      </c>
      <c r="Y82" s="104">
        <f t="shared" si="16"/>
        <v>36853</v>
      </c>
      <c r="Z82" s="104">
        <f t="shared" si="16"/>
        <v>36854</v>
      </c>
      <c r="AA82" s="104">
        <f t="shared" si="16"/>
        <v>36855</v>
      </c>
      <c r="AB82" s="104">
        <f t="shared" si="16"/>
        <v>36856</v>
      </c>
      <c r="AC82" s="104">
        <f t="shared" si="16"/>
        <v>36857</v>
      </c>
      <c r="AD82" s="104">
        <f t="shared" si="16"/>
        <v>36858</v>
      </c>
      <c r="AE82" s="104">
        <f t="shared" si="16"/>
        <v>36859</v>
      </c>
      <c r="AF82" s="104">
        <f t="shared" si="16"/>
        <v>36860</v>
      </c>
      <c r="AG82" s="104">
        <f t="shared" si="16"/>
        <v>36861</v>
      </c>
      <c r="AI82" s="117"/>
      <c r="AJ82" s="119"/>
      <c r="AL82" s="100"/>
    </row>
    <row r="83" spans="1:45" ht="12.75" customHeight="1" x14ac:dyDescent="0.25">
      <c r="A83" s="34"/>
      <c r="B83" s="34"/>
      <c r="C83" s="105" t="str">
        <f t="shared" ref="C83:AG83" si="17">C45</f>
        <v>W</v>
      </c>
      <c r="D83" s="105" t="str">
        <f t="shared" si="17"/>
        <v>R</v>
      </c>
      <c r="E83" s="105" t="str">
        <f t="shared" si="17"/>
        <v>F</v>
      </c>
      <c r="F83" s="105" t="str">
        <f t="shared" si="17"/>
        <v>S</v>
      </c>
      <c r="G83" s="105" t="str">
        <f t="shared" si="17"/>
        <v>S</v>
      </c>
      <c r="H83" s="105" t="str">
        <f t="shared" si="17"/>
        <v>M</v>
      </c>
      <c r="I83" s="105" t="str">
        <f t="shared" si="17"/>
        <v>T</v>
      </c>
      <c r="J83" s="105" t="str">
        <f t="shared" si="17"/>
        <v>W</v>
      </c>
      <c r="K83" s="105" t="str">
        <f t="shared" si="17"/>
        <v>R</v>
      </c>
      <c r="L83" s="105" t="str">
        <f t="shared" si="17"/>
        <v>F</v>
      </c>
      <c r="M83" s="105" t="str">
        <f t="shared" si="17"/>
        <v>S</v>
      </c>
      <c r="N83" s="105" t="str">
        <f t="shared" si="17"/>
        <v>S</v>
      </c>
      <c r="O83" s="105" t="str">
        <f t="shared" si="17"/>
        <v>M</v>
      </c>
      <c r="P83" s="105" t="str">
        <f t="shared" si="17"/>
        <v>T</v>
      </c>
      <c r="Q83" s="105" t="str">
        <f t="shared" si="17"/>
        <v>W</v>
      </c>
      <c r="R83" s="105" t="str">
        <f t="shared" si="17"/>
        <v>R</v>
      </c>
      <c r="S83" s="105" t="str">
        <f t="shared" si="17"/>
        <v>F</v>
      </c>
      <c r="T83" s="105" t="str">
        <f t="shared" si="17"/>
        <v>S</v>
      </c>
      <c r="U83" s="105" t="str">
        <f t="shared" si="17"/>
        <v>S</v>
      </c>
      <c r="V83" s="105" t="str">
        <f t="shared" si="17"/>
        <v>M</v>
      </c>
      <c r="W83" s="105" t="str">
        <f t="shared" si="17"/>
        <v>T</v>
      </c>
      <c r="X83" s="105" t="str">
        <f t="shared" si="17"/>
        <v>W</v>
      </c>
      <c r="Y83" s="105" t="str">
        <f t="shared" si="17"/>
        <v>R</v>
      </c>
      <c r="Z83" s="105" t="str">
        <f t="shared" si="17"/>
        <v>F</v>
      </c>
      <c r="AA83" s="105" t="str">
        <f t="shared" si="17"/>
        <v>S</v>
      </c>
      <c r="AB83" s="105" t="str">
        <f t="shared" si="17"/>
        <v>S</v>
      </c>
      <c r="AC83" s="105" t="str">
        <f t="shared" si="17"/>
        <v>M</v>
      </c>
      <c r="AD83" s="105" t="str">
        <f t="shared" si="17"/>
        <v>T</v>
      </c>
      <c r="AE83" s="105" t="str">
        <f t="shared" si="17"/>
        <v>W</v>
      </c>
      <c r="AF83" s="105" t="str">
        <f t="shared" si="17"/>
        <v>R</v>
      </c>
      <c r="AG83" s="105" t="str">
        <f t="shared" si="17"/>
        <v>F</v>
      </c>
      <c r="AH83" s="1"/>
      <c r="AI83" s="117"/>
      <c r="AJ83" s="118"/>
      <c r="AK83" s="1"/>
      <c r="AL83" s="24"/>
      <c r="AN83" s="1"/>
      <c r="AO83" s="1"/>
      <c r="AP83" s="1"/>
      <c r="AQ83" s="1"/>
      <c r="AR83" s="1"/>
      <c r="AS83" s="1"/>
    </row>
    <row r="84" spans="1:45" ht="12.75" customHeight="1" thickBot="1" x14ac:dyDescent="0.3">
      <c r="A84" s="217"/>
      <c r="B84" s="35" t="s">
        <v>167</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200</v>
      </c>
      <c r="B85" s="39">
        <f t="shared" ref="B85:B97" si="18">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201</v>
      </c>
      <c r="B86" s="39">
        <f t="shared" si="18"/>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202</v>
      </c>
      <c r="B87" s="39">
        <f t="shared" si="18"/>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203</v>
      </c>
      <c r="B88" s="39">
        <f t="shared" si="18"/>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204</v>
      </c>
      <c r="B89" s="39">
        <f t="shared" si="18"/>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205</v>
      </c>
      <c r="B90" s="39">
        <f t="shared" si="18"/>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206</v>
      </c>
      <c r="B91" s="39">
        <f t="shared" si="18"/>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207</v>
      </c>
      <c r="B92" s="39">
        <f t="shared" si="18"/>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208</v>
      </c>
      <c r="B93" s="39">
        <f t="shared" si="18"/>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209</v>
      </c>
      <c r="B94" s="39">
        <f t="shared" si="18"/>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210</v>
      </c>
      <c r="B95" s="39">
        <f t="shared" si="18"/>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211</v>
      </c>
      <c r="B96" s="39">
        <f t="shared" si="18"/>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212</v>
      </c>
      <c r="B97" s="39">
        <f t="shared" si="18"/>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19" t="s">
        <v>213</v>
      </c>
      <c r="B102" s="51">
        <f>SUM(B87:B101)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161</v>
      </c>
      <c r="C104" s="32">
        <f t="shared" ref="C104:L104" si="19">SUM(C108:C117)</f>
        <v>0</v>
      </c>
      <c r="D104" s="32">
        <f t="shared" si="19"/>
        <v>0</v>
      </c>
      <c r="E104" s="32">
        <f t="shared" si="19"/>
        <v>0</v>
      </c>
      <c r="F104" s="32">
        <f t="shared" si="19"/>
        <v>0</v>
      </c>
      <c r="G104" s="32">
        <f t="shared" si="19"/>
        <v>0</v>
      </c>
      <c r="H104" s="32">
        <f t="shared" si="19"/>
        <v>0</v>
      </c>
      <c r="I104" s="32">
        <f t="shared" si="19"/>
        <v>0</v>
      </c>
      <c r="J104" s="32">
        <f t="shared" si="19"/>
        <v>0</v>
      </c>
      <c r="K104" s="32">
        <f t="shared" si="19"/>
        <v>0</v>
      </c>
      <c r="L104" s="32">
        <f t="shared" si="19"/>
        <v>0</v>
      </c>
      <c r="M104" s="32">
        <f t="shared" ref="M104:V104" si="20">SUM(M108:M117)</f>
        <v>0</v>
      </c>
      <c r="N104" s="32">
        <f t="shared" si="20"/>
        <v>0</v>
      </c>
      <c r="O104" s="32">
        <f t="shared" si="20"/>
        <v>0</v>
      </c>
      <c r="P104" s="32">
        <f t="shared" si="20"/>
        <v>0</v>
      </c>
      <c r="Q104" s="32">
        <f t="shared" si="20"/>
        <v>0</v>
      </c>
      <c r="R104" s="32">
        <f t="shared" si="20"/>
        <v>0</v>
      </c>
      <c r="S104" s="32">
        <f t="shared" si="20"/>
        <v>0</v>
      </c>
      <c r="T104" s="32">
        <f t="shared" si="20"/>
        <v>0</v>
      </c>
      <c r="U104" s="32">
        <f t="shared" si="20"/>
        <v>0</v>
      </c>
      <c r="V104" s="32">
        <f t="shared" si="20"/>
        <v>0</v>
      </c>
      <c r="W104" s="32">
        <f t="shared" ref="W104:AG104" si="21">SUM(W108:W117)</f>
        <v>0</v>
      </c>
      <c r="X104" s="32">
        <f t="shared" si="21"/>
        <v>0</v>
      </c>
      <c r="Y104" s="32">
        <f t="shared" si="21"/>
        <v>0</v>
      </c>
      <c r="Z104" s="32">
        <f t="shared" si="21"/>
        <v>0</v>
      </c>
      <c r="AA104" s="32">
        <f t="shared" si="21"/>
        <v>0</v>
      </c>
      <c r="AB104" s="32">
        <f t="shared" si="21"/>
        <v>0</v>
      </c>
      <c r="AC104" s="32">
        <f t="shared" si="21"/>
        <v>0</v>
      </c>
      <c r="AD104" s="32">
        <f t="shared" si="21"/>
        <v>0</v>
      </c>
      <c r="AE104" s="32">
        <f t="shared" si="21"/>
        <v>0</v>
      </c>
      <c r="AF104" s="32">
        <f t="shared" si="21"/>
        <v>0</v>
      </c>
      <c r="AG104" s="32">
        <f t="shared" si="21"/>
        <v>0</v>
      </c>
      <c r="AH104" s="1"/>
      <c r="AI104" s="117"/>
      <c r="AJ104" s="118"/>
      <c r="AK104" s="1"/>
      <c r="AL104" s="33"/>
      <c r="AN104" s="1"/>
      <c r="AO104" s="1"/>
      <c r="AP104" s="1"/>
      <c r="AQ104" s="1"/>
      <c r="AR104" s="1"/>
      <c r="AS104" s="1"/>
    </row>
    <row r="105" spans="1:45" s="99" customFormat="1" ht="12.75" customHeight="1" x14ac:dyDescent="0.25">
      <c r="A105" s="216" t="s">
        <v>214</v>
      </c>
      <c r="B105" s="116">
        <f t="shared" ref="B105:AG105" si="22">B44</f>
        <v>36831</v>
      </c>
      <c r="C105" s="104">
        <f t="shared" si="22"/>
        <v>36831</v>
      </c>
      <c r="D105" s="104">
        <f t="shared" si="22"/>
        <v>36832</v>
      </c>
      <c r="E105" s="104">
        <f t="shared" si="22"/>
        <v>36833</v>
      </c>
      <c r="F105" s="104">
        <f t="shared" si="22"/>
        <v>36834</v>
      </c>
      <c r="G105" s="104">
        <f t="shared" si="22"/>
        <v>36835</v>
      </c>
      <c r="H105" s="104">
        <f t="shared" si="22"/>
        <v>36836</v>
      </c>
      <c r="I105" s="104">
        <f t="shared" si="22"/>
        <v>36837</v>
      </c>
      <c r="J105" s="104">
        <f t="shared" si="22"/>
        <v>36838</v>
      </c>
      <c r="K105" s="104">
        <f t="shared" si="22"/>
        <v>36839</v>
      </c>
      <c r="L105" s="104">
        <f t="shared" si="22"/>
        <v>36840</v>
      </c>
      <c r="M105" s="104">
        <f t="shared" si="22"/>
        <v>36841</v>
      </c>
      <c r="N105" s="104">
        <f t="shared" si="22"/>
        <v>36842</v>
      </c>
      <c r="O105" s="104">
        <f t="shared" si="22"/>
        <v>36843</v>
      </c>
      <c r="P105" s="104">
        <f t="shared" si="22"/>
        <v>36844</v>
      </c>
      <c r="Q105" s="104">
        <f t="shared" si="22"/>
        <v>36845</v>
      </c>
      <c r="R105" s="104">
        <f t="shared" si="22"/>
        <v>36846</v>
      </c>
      <c r="S105" s="104">
        <f t="shared" si="22"/>
        <v>36847</v>
      </c>
      <c r="T105" s="104">
        <f t="shared" si="22"/>
        <v>36848</v>
      </c>
      <c r="U105" s="104">
        <f t="shared" si="22"/>
        <v>36849</v>
      </c>
      <c r="V105" s="104">
        <f t="shared" si="22"/>
        <v>36850</v>
      </c>
      <c r="W105" s="104">
        <f t="shared" si="22"/>
        <v>36851</v>
      </c>
      <c r="X105" s="104">
        <f t="shared" si="22"/>
        <v>36852</v>
      </c>
      <c r="Y105" s="104">
        <f t="shared" si="22"/>
        <v>36853</v>
      </c>
      <c r="Z105" s="104">
        <f t="shared" si="22"/>
        <v>36854</v>
      </c>
      <c r="AA105" s="104">
        <f t="shared" si="22"/>
        <v>36855</v>
      </c>
      <c r="AB105" s="104">
        <f t="shared" si="22"/>
        <v>36856</v>
      </c>
      <c r="AC105" s="104">
        <f t="shared" si="22"/>
        <v>36857</v>
      </c>
      <c r="AD105" s="104">
        <f t="shared" si="22"/>
        <v>36858</v>
      </c>
      <c r="AE105" s="104">
        <f t="shared" si="22"/>
        <v>36859</v>
      </c>
      <c r="AF105" s="104">
        <f t="shared" si="22"/>
        <v>36860</v>
      </c>
      <c r="AG105" s="104">
        <f t="shared" si="22"/>
        <v>36861</v>
      </c>
      <c r="AI105" s="117"/>
      <c r="AJ105" s="119"/>
      <c r="AL105" s="100"/>
    </row>
    <row r="106" spans="1:45" ht="12.75" customHeight="1" x14ac:dyDescent="0.25">
      <c r="A106" s="34"/>
      <c r="B106" s="34"/>
      <c r="C106" s="105" t="str">
        <f t="shared" ref="C106:AG106" si="23">C45</f>
        <v>W</v>
      </c>
      <c r="D106" s="105" t="str">
        <f t="shared" si="23"/>
        <v>R</v>
      </c>
      <c r="E106" s="105" t="str">
        <f t="shared" si="23"/>
        <v>F</v>
      </c>
      <c r="F106" s="105" t="str">
        <f t="shared" si="23"/>
        <v>S</v>
      </c>
      <c r="G106" s="105" t="str">
        <f t="shared" si="23"/>
        <v>S</v>
      </c>
      <c r="H106" s="105" t="str">
        <f t="shared" si="23"/>
        <v>M</v>
      </c>
      <c r="I106" s="105" t="str">
        <f t="shared" si="23"/>
        <v>T</v>
      </c>
      <c r="J106" s="105" t="str">
        <f t="shared" si="23"/>
        <v>W</v>
      </c>
      <c r="K106" s="105" t="str">
        <f t="shared" si="23"/>
        <v>R</v>
      </c>
      <c r="L106" s="105" t="str">
        <f t="shared" si="23"/>
        <v>F</v>
      </c>
      <c r="M106" s="105" t="str">
        <f t="shared" si="23"/>
        <v>S</v>
      </c>
      <c r="N106" s="105" t="str">
        <f t="shared" si="23"/>
        <v>S</v>
      </c>
      <c r="O106" s="105" t="str">
        <f t="shared" si="23"/>
        <v>M</v>
      </c>
      <c r="P106" s="105" t="str">
        <f t="shared" si="23"/>
        <v>T</v>
      </c>
      <c r="Q106" s="105" t="str">
        <f t="shared" si="23"/>
        <v>W</v>
      </c>
      <c r="R106" s="105" t="str">
        <f t="shared" si="23"/>
        <v>R</v>
      </c>
      <c r="S106" s="105" t="str">
        <f t="shared" si="23"/>
        <v>F</v>
      </c>
      <c r="T106" s="105" t="str">
        <f t="shared" si="23"/>
        <v>S</v>
      </c>
      <c r="U106" s="105" t="str">
        <f t="shared" si="23"/>
        <v>S</v>
      </c>
      <c r="V106" s="105" t="str">
        <f t="shared" si="23"/>
        <v>M</v>
      </c>
      <c r="W106" s="105" t="str">
        <f t="shared" si="23"/>
        <v>T</v>
      </c>
      <c r="X106" s="105" t="str">
        <f t="shared" si="23"/>
        <v>W</v>
      </c>
      <c r="Y106" s="105" t="str">
        <f t="shared" si="23"/>
        <v>R</v>
      </c>
      <c r="Z106" s="105" t="str">
        <f t="shared" si="23"/>
        <v>F</v>
      </c>
      <c r="AA106" s="105" t="str">
        <f t="shared" si="23"/>
        <v>S</v>
      </c>
      <c r="AB106" s="105" t="str">
        <f t="shared" si="23"/>
        <v>S</v>
      </c>
      <c r="AC106" s="105" t="str">
        <f t="shared" si="23"/>
        <v>M</v>
      </c>
      <c r="AD106" s="105" t="str">
        <f t="shared" si="23"/>
        <v>T</v>
      </c>
      <c r="AE106" s="105" t="str">
        <f t="shared" si="23"/>
        <v>W</v>
      </c>
      <c r="AF106" s="105" t="str">
        <f t="shared" si="23"/>
        <v>R</v>
      </c>
      <c r="AG106" s="105" t="str">
        <f t="shared" si="23"/>
        <v>F</v>
      </c>
      <c r="AH106" s="1"/>
      <c r="AI106" s="117"/>
      <c r="AJ106" s="118"/>
      <c r="AK106" s="1"/>
      <c r="AL106" s="24"/>
      <c r="AN106" s="1"/>
      <c r="AO106" s="1"/>
      <c r="AP106" s="1"/>
      <c r="AQ106" s="1"/>
      <c r="AR106" s="1"/>
      <c r="AS106" s="1"/>
    </row>
    <row r="107" spans="1:45" ht="12.75" customHeight="1" thickBot="1" x14ac:dyDescent="0.3">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205</v>
      </c>
      <c r="B108" s="39">
        <f t="shared" ref="B108:B113" si="24">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207</v>
      </c>
      <c r="B109" s="39">
        <f t="shared" si="24"/>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208</v>
      </c>
      <c r="B110" s="39">
        <f t="shared" si="24"/>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209</v>
      </c>
      <c r="B111" s="39">
        <f t="shared" si="24"/>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210</v>
      </c>
      <c r="B112" s="39">
        <f t="shared" si="24"/>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212</v>
      </c>
      <c r="B113" s="39">
        <f t="shared" si="24"/>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216</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217</v>
      </c>
      <c r="B124" s="76"/>
      <c r="C124" s="77"/>
      <c r="D124" s="77"/>
      <c r="E124" s="78"/>
      <c r="G124" s="75" t="s">
        <v>218</v>
      </c>
      <c r="H124" s="75"/>
      <c r="I124" s="76"/>
      <c r="J124" s="77"/>
      <c r="K124" s="77"/>
      <c r="L124" s="78"/>
      <c r="M124" s="9"/>
      <c r="N124" s="9"/>
      <c r="O124" s="1"/>
      <c r="P124" s="1"/>
    </row>
    <row r="125" spans="1:39" ht="12.75" customHeight="1" thickTop="1" x14ac:dyDescent="0.2">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
      <c r="A126" s="152" t="s">
        <v>279</v>
      </c>
      <c r="B126" s="24" t="s">
        <v>254</v>
      </c>
      <c r="C126" s="24"/>
      <c r="D126" s="38"/>
      <c r="E126" s="141">
        <v>-4555</v>
      </c>
      <c r="G126" s="79"/>
      <c r="H126" s="80"/>
      <c r="I126" s="24"/>
      <c r="J126" s="1"/>
      <c r="K126" s="149"/>
      <c r="L126" s="141"/>
      <c r="M126" s="1"/>
      <c r="N126" s="1"/>
      <c r="O126" s="1"/>
      <c r="P126" s="1"/>
    </row>
    <row r="127" spans="1:39" ht="12.75" customHeight="1" x14ac:dyDescent="0.2">
      <c r="A127" s="436" t="s">
        <v>222</v>
      </c>
      <c r="B127" s="24" t="s">
        <v>223</v>
      </c>
      <c r="C127" s="1"/>
      <c r="D127" s="49"/>
      <c r="E127" s="141">
        <v>-647298</v>
      </c>
      <c r="G127" s="81"/>
      <c r="H127" s="9"/>
      <c r="I127" s="82"/>
      <c r="J127" s="1"/>
      <c r="K127" s="149"/>
      <c r="L127" s="141"/>
      <c r="M127" s="1"/>
      <c r="N127" s="1"/>
      <c r="O127" s="1"/>
      <c r="P127" s="1"/>
    </row>
    <row r="128" spans="1:39" ht="12.75" customHeight="1" x14ac:dyDescent="0.2">
      <c r="A128" s="436" t="s">
        <v>224</v>
      </c>
      <c r="B128" s="24" t="s">
        <v>225</v>
      </c>
      <c r="C128" s="1"/>
      <c r="D128" s="49"/>
      <c r="E128" s="141">
        <v>-2256151</v>
      </c>
      <c r="G128" s="81"/>
      <c r="H128" s="24"/>
      <c r="I128" s="1"/>
      <c r="J128" s="1"/>
      <c r="K128" s="149"/>
      <c r="L128" s="141"/>
      <c r="M128" s="1"/>
      <c r="N128" s="1"/>
      <c r="O128" s="1"/>
      <c r="P128" s="1"/>
    </row>
    <row r="129" spans="1:16" ht="12.75" customHeight="1" x14ac:dyDescent="0.2">
      <c r="A129" s="153">
        <v>36161</v>
      </c>
      <c r="B129" s="24" t="s">
        <v>280</v>
      </c>
      <c r="C129" s="1"/>
      <c r="D129" s="38"/>
      <c r="E129" s="141">
        <f>12965-131508</f>
        <v>-118543</v>
      </c>
      <c r="G129" s="81"/>
      <c r="H129" s="24"/>
      <c r="I129" s="1"/>
      <c r="J129" s="1"/>
      <c r="K129" s="38"/>
      <c r="L129" s="142"/>
      <c r="M129" s="1"/>
      <c r="N129" s="1"/>
      <c r="O129" s="1"/>
      <c r="P129" s="1"/>
    </row>
    <row r="130" spans="1:16" ht="12.75" customHeight="1" x14ac:dyDescent="0.2">
      <c r="A130" s="153">
        <v>36192</v>
      </c>
      <c r="B130" s="24" t="s">
        <v>281</v>
      </c>
      <c r="C130" s="1"/>
      <c r="D130" s="38"/>
      <c r="E130" s="141">
        <f>648438-142105</f>
        <v>506333</v>
      </c>
      <c r="G130" s="81"/>
      <c r="H130" s="24"/>
      <c r="I130" s="1"/>
      <c r="J130" s="1"/>
      <c r="K130" s="38"/>
      <c r="L130" s="141"/>
      <c r="M130" s="1"/>
      <c r="N130" s="1"/>
      <c r="O130" s="1"/>
      <c r="P130" s="1"/>
    </row>
    <row r="131" spans="1:16" ht="12.75" customHeight="1" x14ac:dyDescent="0.2">
      <c r="A131" s="153">
        <v>36220</v>
      </c>
      <c r="B131" s="24" t="s">
        <v>282</v>
      </c>
      <c r="C131" s="24"/>
      <c r="D131" s="38"/>
      <c r="E131" s="141">
        <f>-485713-177173</f>
        <v>-662886</v>
      </c>
      <c r="G131" s="81"/>
      <c r="H131" s="24"/>
      <c r="I131" s="1"/>
      <c r="J131" s="1"/>
      <c r="K131" s="38"/>
      <c r="L131" s="141"/>
      <c r="M131" s="1"/>
      <c r="N131" s="1"/>
      <c r="O131" s="1"/>
      <c r="P131" s="1"/>
    </row>
    <row r="132" spans="1:16" ht="12.75" customHeight="1" x14ac:dyDescent="0.2">
      <c r="A132" s="153">
        <v>36251</v>
      </c>
      <c r="B132" s="24" t="s">
        <v>283</v>
      </c>
      <c r="C132" s="24"/>
      <c r="D132" s="38"/>
      <c r="E132" s="141">
        <f>58667-150398</f>
        <v>-91731</v>
      </c>
      <c r="G132" s="81"/>
      <c r="H132" s="1"/>
      <c r="I132" s="1"/>
      <c r="J132" s="1"/>
      <c r="K132" s="149"/>
      <c r="L132" s="142"/>
      <c r="M132" s="1"/>
      <c r="N132" s="1"/>
      <c r="O132" s="1"/>
      <c r="P132" s="1"/>
    </row>
    <row r="133" spans="1:16" ht="12.75" customHeight="1" x14ac:dyDescent="0.2">
      <c r="A133" s="153">
        <v>36281</v>
      </c>
      <c r="B133" s="24" t="s">
        <v>284</v>
      </c>
      <c r="C133" s="24"/>
      <c r="D133" s="38"/>
      <c r="E133" s="141">
        <f>488267-143949</f>
        <v>344318</v>
      </c>
      <c r="G133" s="81"/>
      <c r="H133" s="24"/>
      <c r="I133" s="1"/>
      <c r="J133" s="1"/>
      <c r="K133" s="38"/>
      <c r="L133" s="142"/>
      <c r="M133" s="1"/>
      <c r="N133" s="1"/>
      <c r="O133" s="1"/>
      <c r="P133" s="1"/>
    </row>
    <row r="134" spans="1:16" ht="12.75" customHeight="1" x14ac:dyDescent="0.2">
      <c r="A134" s="153">
        <v>36312</v>
      </c>
      <c r="B134" s="24" t="s">
        <v>285</v>
      </c>
      <c r="C134" s="24"/>
      <c r="D134" s="38"/>
      <c r="E134" s="141">
        <f>87913-184282</f>
        <v>-96369</v>
      </c>
      <c r="G134" s="81"/>
      <c r="H134" s="24"/>
      <c r="I134" s="1"/>
      <c r="J134" s="1"/>
      <c r="K134" s="38"/>
      <c r="L134" s="141"/>
      <c r="M134" s="43"/>
      <c r="N134" s="42"/>
      <c r="O134" s="1"/>
      <c r="P134" s="1"/>
    </row>
    <row r="135" spans="1:16" ht="12.75" customHeight="1" x14ac:dyDescent="0.2">
      <c r="A135" s="153">
        <v>36342</v>
      </c>
      <c r="B135" s="24" t="s">
        <v>286</v>
      </c>
      <c r="C135" s="24"/>
      <c r="D135" s="38"/>
      <c r="E135" s="141">
        <f>367655-167378</f>
        <v>200277</v>
      </c>
      <c r="G135" s="81"/>
      <c r="H135" s="24"/>
      <c r="I135" s="1"/>
      <c r="J135" s="1"/>
      <c r="K135" s="38"/>
      <c r="L135" s="141"/>
      <c r="M135" s="43"/>
      <c r="N135" s="1"/>
      <c r="O135" s="1"/>
      <c r="P135" s="1"/>
    </row>
    <row r="136" spans="1:16" ht="12.75" customHeight="1" x14ac:dyDescent="0.2">
      <c r="A136" s="153">
        <v>36373</v>
      </c>
      <c r="B136" s="24" t="s">
        <v>287</v>
      </c>
      <c r="C136" s="24"/>
      <c r="D136" s="38"/>
      <c r="E136" s="141">
        <f>19139-183346</f>
        <v>-164207</v>
      </c>
      <c r="G136" s="81"/>
      <c r="H136" s="24"/>
      <c r="I136" s="1"/>
      <c r="J136" s="1"/>
      <c r="K136" s="38"/>
      <c r="L136" s="141"/>
      <c r="M136" s="1"/>
      <c r="N136" s="43"/>
      <c r="O136" s="1"/>
      <c r="P136" s="1"/>
    </row>
    <row r="137" spans="1:16" ht="12.75" customHeight="1" x14ac:dyDescent="0.2">
      <c r="A137" s="153">
        <v>36404</v>
      </c>
      <c r="B137" s="24" t="s">
        <v>288</v>
      </c>
      <c r="C137" s="24"/>
      <c r="D137" s="38"/>
      <c r="E137" s="141">
        <f>-159433-164621</f>
        <v>-324054</v>
      </c>
      <c r="G137" s="81"/>
      <c r="H137" s="24"/>
      <c r="I137" s="1"/>
      <c r="J137" s="1"/>
      <c r="K137" s="38"/>
      <c r="L137" s="141"/>
      <c r="M137" s="1"/>
      <c r="N137" s="43"/>
      <c r="O137" s="1"/>
      <c r="P137" s="1"/>
    </row>
    <row r="138" spans="1:16" ht="12.75" customHeight="1" x14ac:dyDescent="0.2">
      <c r="A138" s="153">
        <v>36434</v>
      </c>
      <c r="B138" s="24" t="s">
        <v>235</v>
      </c>
      <c r="C138" s="24"/>
      <c r="D138" s="38"/>
      <c r="E138" s="141">
        <f>272193-165557</f>
        <v>106636</v>
      </c>
      <c r="G138" s="81"/>
      <c r="H138" s="24"/>
      <c r="I138" s="1"/>
      <c r="J138" s="1"/>
      <c r="K138" s="38"/>
      <c r="L138" s="141"/>
      <c r="M138" s="1"/>
      <c r="N138" s="1"/>
      <c r="O138" s="1"/>
      <c r="P138" s="1"/>
    </row>
    <row r="139" spans="1:16" ht="12.75" customHeight="1" x14ac:dyDescent="0.2">
      <c r="A139" s="153">
        <v>36465</v>
      </c>
      <c r="B139" s="24" t="s">
        <v>236</v>
      </c>
      <c r="C139" s="24"/>
      <c r="D139" s="38"/>
      <c r="E139" s="141">
        <v>-81309</v>
      </c>
      <c r="G139" s="81"/>
      <c r="H139" s="24"/>
      <c r="I139" s="1"/>
      <c r="J139" s="1"/>
      <c r="K139" s="38"/>
      <c r="L139" s="141"/>
      <c r="M139" s="1"/>
      <c r="N139" s="1"/>
      <c r="O139" s="1"/>
      <c r="P139" s="1"/>
    </row>
    <row r="140" spans="1:16" ht="12.75" customHeight="1" x14ac:dyDescent="0.2">
      <c r="A140" s="153">
        <v>36495</v>
      </c>
      <c r="B140" s="24" t="s">
        <v>237</v>
      </c>
      <c r="C140" s="24"/>
      <c r="D140" s="38"/>
      <c r="E140" s="141">
        <v>-139175</v>
      </c>
      <c r="G140" s="81"/>
      <c r="H140" s="24"/>
      <c r="I140" s="1"/>
      <c r="J140" s="1"/>
      <c r="K140" s="38"/>
      <c r="L140" s="141"/>
      <c r="M140" s="1"/>
      <c r="N140" s="1"/>
      <c r="O140" s="1"/>
      <c r="P140" s="1"/>
    </row>
    <row r="141" spans="1:16" ht="12.75" customHeight="1" x14ac:dyDescent="0.2">
      <c r="A141" s="153">
        <v>36526</v>
      </c>
      <c r="B141" s="24" t="s">
        <v>238</v>
      </c>
      <c r="C141" s="24"/>
      <c r="D141" s="38"/>
      <c r="E141" s="141">
        <v>196045</v>
      </c>
      <c r="G141" s="81"/>
      <c r="H141" s="24"/>
      <c r="I141" s="1"/>
      <c r="J141" s="1"/>
      <c r="K141" s="38"/>
      <c r="L141" s="141"/>
      <c r="M141" s="1"/>
      <c r="N141" s="1"/>
      <c r="O141" s="1"/>
      <c r="P141" s="1"/>
    </row>
    <row r="142" spans="1:16" ht="12.75" customHeight="1" x14ac:dyDescent="0.2">
      <c r="A142" s="153">
        <v>36557</v>
      </c>
      <c r="B142" s="24" t="s">
        <v>239</v>
      </c>
      <c r="C142" s="24"/>
      <c r="D142" s="38"/>
      <c r="E142" s="141">
        <v>-546912</v>
      </c>
      <c r="G142" s="81"/>
      <c r="H142" s="24"/>
      <c r="I142" s="1"/>
      <c r="J142" s="1"/>
      <c r="K142" s="38"/>
      <c r="L142" s="141"/>
      <c r="M142" s="1"/>
      <c r="N142" s="1"/>
      <c r="O142" s="1"/>
      <c r="P142" s="1"/>
    </row>
    <row r="143" spans="1:16" ht="12.75" customHeight="1" x14ac:dyDescent="0.2">
      <c r="A143" s="153">
        <v>36586</v>
      </c>
      <c r="B143" s="24" t="s">
        <v>240</v>
      </c>
      <c r="C143" s="24"/>
      <c r="D143" s="38"/>
      <c r="E143" s="141">
        <v>-220907</v>
      </c>
      <c r="G143" s="81"/>
      <c r="H143" s="24"/>
      <c r="I143" s="1"/>
      <c r="J143" s="1"/>
      <c r="K143" s="38"/>
      <c r="L143" s="141"/>
      <c r="M143" s="1"/>
      <c r="N143" s="1"/>
      <c r="O143" s="1"/>
      <c r="P143" s="1"/>
    </row>
    <row r="144" spans="1:16" ht="12.75" customHeight="1" x14ac:dyDescent="0.2">
      <c r="A144" s="153" t="s">
        <v>468</v>
      </c>
      <c r="B144" s="24"/>
      <c r="C144" s="24"/>
      <c r="D144" s="38"/>
      <c r="E144" s="141">
        <v>-222</v>
      </c>
      <c r="G144" s="81"/>
      <c r="H144" s="24"/>
      <c r="I144" s="1"/>
      <c r="J144" s="1"/>
      <c r="K144" s="38"/>
      <c r="L144" s="141"/>
      <c r="M144" s="1"/>
      <c r="N144" s="1"/>
      <c r="O144" s="1"/>
      <c r="P144" s="1"/>
    </row>
    <row r="145" spans="1:16" ht="12.75" customHeight="1" x14ac:dyDescent="0.2">
      <c r="A145" s="153">
        <v>36617</v>
      </c>
      <c r="B145" s="24" t="s">
        <v>479</v>
      </c>
      <c r="C145" s="24"/>
      <c r="D145" s="38"/>
      <c r="E145" s="141">
        <v>-36407</v>
      </c>
      <c r="G145" s="81"/>
      <c r="H145" s="24"/>
      <c r="I145" s="1"/>
      <c r="J145" s="1"/>
      <c r="K145" s="38"/>
      <c r="L145" s="141"/>
      <c r="M145" s="1"/>
      <c r="N145" s="1"/>
      <c r="O145" s="1"/>
      <c r="P145" s="1"/>
    </row>
    <row r="146" spans="1:16" ht="12.75" customHeight="1" x14ac:dyDescent="0.2">
      <c r="A146" s="153">
        <v>36647</v>
      </c>
      <c r="B146" s="24" t="s">
        <v>487</v>
      </c>
      <c r="C146" s="24"/>
      <c r="D146" s="38"/>
      <c r="E146" s="141">
        <v>-191871</v>
      </c>
      <c r="G146" s="81"/>
      <c r="H146" s="24"/>
      <c r="I146" s="1"/>
      <c r="J146" s="1"/>
      <c r="K146" s="38"/>
      <c r="L146" s="141"/>
      <c r="M146" s="1"/>
      <c r="N146" s="1"/>
      <c r="O146" s="1"/>
      <c r="P146" s="1"/>
    </row>
    <row r="147" spans="1:16" ht="12.75" customHeight="1" x14ac:dyDescent="0.2">
      <c r="A147" s="153">
        <v>36678</v>
      </c>
      <c r="B147" s="24" t="s">
        <v>493</v>
      </c>
      <c r="C147" s="24"/>
      <c r="D147" s="38"/>
      <c r="E147" s="141">
        <v>-330586</v>
      </c>
      <c r="G147" s="81"/>
      <c r="H147" s="24"/>
      <c r="I147" s="1"/>
      <c r="J147" s="1"/>
      <c r="K147" s="38"/>
      <c r="L147" s="141"/>
      <c r="M147" s="1"/>
      <c r="N147" s="1"/>
      <c r="O147" s="1"/>
      <c r="P147" s="1"/>
    </row>
    <row r="148" spans="1:16" ht="12.75" customHeight="1" x14ac:dyDescent="0.2">
      <c r="A148" s="153">
        <v>36708</v>
      </c>
      <c r="B148" s="24" t="s">
        <v>494</v>
      </c>
      <c r="C148" s="24"/>
      <c r="D148" s="38"/>
      <c r="E148" s="141">
        <v>-108386</v>
      </c>
      <c r="G148" s="81"/>
      <c r="H148" s="24"/>
      <c r="I148" s="1"/>
      <c r="J148" s="1"/>
      <c r="K148" s="38"/>
      <c r="L148" s="141"/>
      <c r="M148" s="1"/>
      <c r="N148" s="1"/>
      <c r="O148" s="1"/>
      <c r="P148" s="1"/>
    </row>
    <row r="149" spans="1:16" ht="12.75" customHeight="1" x14ac:dyDescent="0.2">
      <c r="A149" s="153">
        <v>36739</v>
      </c>
      <c r="B149" s="24" t="s">
        <v>499</v>
      </c>
      <c r="C149" s="24"/>
      <c r="D149" s="38"/>
      <c r="E149" s="141">
        <v>-313220</v>
      </c>
      <c r="G149" s="81"/>
      <c r="H149" s="24"/>
      <c r="I149" s="1"/>
      <c r="J149" s="1"/>
      <c r="K149" s="38"/>
      <c r="L149" s="141"/>
      <c r="M149" s="1"/>
      <c r="N149" s="1"/>
      <c r="O149" s="1"/>
      <c r="P149" s="1"/>
    </row>
    <row r="150" spans="1:16" ht="12.75" customHeight="1" x14ac:dyDescent="0.2">
      <c r="A150" s="153">
        <v>36770</v>
      </c>
      <c r="B150" s="24" t="s">
        <v>510</v>
      </c>
      <c r="C150" s="24"/>
      <c r="D150" s="38"/>
      <c r="E150" s="141">
        <v>-188759</v>
      </c>
      <c r="G150" s="81"/>
      <c r="H150" s="24"/>
      <c r="I150" s="1"/>
      <c r="J150" s="1"/>
      <c r="K150" s="38"/>
      <c r="L150" s="141"/>
      <c r="M150" s="1"/>
      <c r="N150" s="1"/>
      <c r="O150" s="1"/>
      <c r="P150" s="1"/>
    </row>
    <row r="151" spans="1:16" ht="12.75" customHeight="1" x14ac:dyDescent="0.2">
      <c r="A151" s="153">
        <v>36800</v>
      </c>
      <c r="B151" s="24" t="s">
        <v>519</v>
      </c>
      <c r="C151" s="24"/>
      <c r="D151" s="38"/>
      <c r="E151" s="141">
        <v>-48392</v>
      </c>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3"/>
      <c r="M158" s="1"/>
      <c r="N158" s="1"/>
      <c r="O158" s="1"/>
      <c r="P158" s="1"/>
    </row>
    <row r="159" spans="1:16" ht="12.75" customHeight="1" thickBot="1" x14ac:dyDescent="0.25">
      <c r="A159" s="63"/>
      <c r="B159" s="24"/>
      <c r="C159" s="24"/>
      <c r="D159" s="145" t="s">
        <v>241</v>
      </c>
      <c r="E159" s="144">
        <f>SUM(E126:E158)</f>
        <v>-5218331</v>
      </c>
      <c r="G159" s="63"/>
      <c r="H159" s="24"/>
      <c r="I159" s="1"/>
      <c r="J159" s="1"/>
      <c r="K159" s="145" t="s">
        <v>242</v>
      </c>
      <c r="L159" s="144">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243</v>
      </c>
      <c r="B163" s="77"/>
      <c r="C163" s="77"/>
      <c r="D163" s="77"/>
      <c r="E163" s="78"/>
      <c r="AJ163" s="1"/>
      <c r="AK163" s="1"/>
      <c r="AL163" s="1"/>
      <c r="AM163" s="1"/>
    </row>
    <row r="164" spans="1:39" ht="12.75" customHeight="1" thickTop="1" x14ac:dyDescent="0.2">
      <c r="A164" s="136" t="s">
        <v>219</v>
      </c>
      <c r="B164" s="137" t="s">
        <v>220</v>
      </c>
      <c r="C164" s="138"/>
      <c r="D164" s="139"/>
      <c r="E164" s="210" t="s">
        <v>221</v>
      </c>
      <c r="AJ164" s="1"/>
      <c r="AK164" s="1"/>
      <c r="AL164" s="1"/>
      <c r="AM164" s="1"/>
    </row>
    <row r="165" spans="1:39" ht="12.75" customHeight="1" x14ac:dyDescent="0.2">
      <c r="A165" s="221"/>
      <c r="B165" s="24"/>
      <c r="C165" s="24"/>
      <c r="D165" s="38"/>
      <c r="E165" s="141"/>
      <c r="AJ165" s="1"/>
      <c r="AK165" s="1"/>
      <c r="AL165" s="1"/>
      <c r="AM165" s="1"/>
    </row>
    <row r="166" spans="1:39" ht="12.75" customHeight="1" x14ac:dyDescent="0.2">
      <c r="A166" s="221"/>
      <c r="B166" s="24"/>
      <c r="C166" s="24"/>
      <c r="D166" s="38"/>
      <c r="E166" s="141"/>
      <c r="AJ166" s="1"/>
      <c r="AK166" s="1"/>
      <c r="AL166" s="1"/>
      <c r="AM166" s="1"/>
    </row>
    <row r="167" spans="1:39" ht="12.75" customHeight="1" x14ac:dyDescent="0.2">
      <c r="A167" s="221"/>
      <c r="B167" s="24"/>
      <c r="C167" s="24"/>
      <c r="D167" s="38"/>
      <c r="E167" s="141"/>
      <c r="AJ167" s="1"/>
      <c r="AK167" s="1"/>
      <c r="AL167" s="1"/>
      <c r="AM167" s="1"/>
    </row>
    <row r="168" spans="1:39" ht="12.75" customHeight="1" x14ac:dyDescent="0.2">
      <c r="A168" s="221"/>
      <c r="B168" s="24"/>
      <c r="C168" s="24"/>
      <c r="D168" s="38"/>
      <c r="E168" s="142"/>
      <c r="AJ168" s="1"/>
      <c r="AK168" s="1"/>
      <c r="AL168" s="1"/>
      <c r="AM168" s="1"/>
    </row>
    <row r="169" spans="1:39" ht="12.75" customHeight="1" x14ac:dyDescent="0.2">
      <c r="A169" s="221"/>
      <c r="B169" s="24"/>
      <c r="C169" s="24"/>
      <c r="D169" s="38"/>
      <c r="E169" s="141"/>
      <c r="AJ169" s="1"/>
      <c r="AK169" s="1"/>
      <c r="AL169" s="1"/>
      <c r="AM169" s="1"/>
    </row>
    <row r="170" spans="1:39" ht="12.75" customHeight="1" x14ac:dyDescent="0.2">
      <c r="A170" s="221"/>
      <c r="B170" s="24"/>
      <c r="C170" s="24"/>
      <c r="D170" s="38"/>
      <c r="E170" s="141"/>
      <c r="AJ170" s="1"/>
      <c r="AK170" s="1"/>
      <c r="AL170" s="1"/>
      <c r="AM170" s="1"/>
    </row>
    <row r="171" spans="1:39" ht="12.75" customHeight="1" x14ac:dyDescent="0.2">
      <c r="A171" s="221"/>
      <c r="B171" s="24"/>
      <c r="C171" s="82"/>
      <c r="D171" s="140"/>
      <c r="E171" s="142"/>
      <c r="AJ171" s="1"/>
      <c r="AK171" s="1"/>
      <c r="AL171" s="1"/>
      <c r="AM171" s="1"/>
    </row>
    <row r="172" spans="1:39" ht="12.75" customHeight="1" x14ac:dyDescent="0.2">
      <c r="A172" s="221"/>
      <c r="B172" s="80"/>
      <c r="C172" s="82"/>
      <c r="D172" s="140"/>
      <c r="E172" s="142"/>
      <c r="AJ172" s="1"/>
      <c r="AK172" s="1"/>
      <c r="AL172" s="1"/>
      <c r="AM172" s="1"/>
    </row>
    <row r="173" spans="1:39" ht="12.75" customHeight="1" x14ac:dyDescent="0.2">
      <c r="A173" s="221"/>
      <c r="B173" s="80"/>
      <c r="C173" s="24"/>
      <c r="D173" s="38"/>
      <c r="E173" s="141"/>
      <c r="AJ173" s="1"/>
      <c r="AK173" s="1"/>
      <c r="AL173" s="1"/>
      <c r="AM173" s="1"/>
    </row>
    <row r="174" spans="1:39" ht="12.75" customHeight="1" x14ac:dyDescent="0.2">
      <c r="A174" s="221"/>
      <c r="B174" s="24"/>
      <c r="C174" s="24"/>
      <c r="D174" s="38"/>
      <c r="E174" s="141"/>
      <c r="AJ174" s="1"/>
      <c r="AK174" s="1"/>
      <c r="AL174" s="1"/>
      <c r="AM174" s="1"/>
    </row>
    <row r="175" spans="1:39" ht="12.75" customHeight="1" x14ac:dyDescent="0.2">
      <c r="A175" s="221"/>
      <c r="B175" s="24"/>
      <c r="C175" s="24"/>
      <c r="D175" s="38"/>
      <c r="E175" s="142"/>
      <c r="AJ175" s="1"/>
      <c r="AK175" s="1"/>
      <c r="AL175" s="1"/>
      <c r="AM175" s="1"/>
    </row>
    <row r="176" spans="1:39" ht="12.75" customHeight="1" x14ac:dyDescent="0.2">
      <c r="A176" s="221"/>
      <c r="B176" s="24"/>
      <c r="C176" s="24"/>
      <c r="D176" s="38"/>
      <c r="E176" s="141"/>
      <c r="AJ176" s="1"/>
      <c r="AK176" s="1"/>
      <c r="AL176" s="1"/>
      <c r="AM176" s="1"/>
    </row>
    <row r="177" spans="1:39" ht="12.75" customHeight="1" x14ac:dyDescent="0.2">
      <c r="A177" s="221"/>
      <c r="B177" s="24"/>
      <c r="C177" s="24"/>
      <c r="D177" s="38"/>
      <c r="E177" s="141"/>
      <c r="AJ177" s="1"/>
      <c r="AK177" s="1"/>
      <c r="AL177" s="1"/>
      <c r="AM177" s="1"/>
    </row>
    <row r="178" spans="1:39" ht="12.75" customHeight="1" x14ac:dyDescent="0.2">
      <c r="A178" s="221"/>
      <c r="B178" s="9"/>
      <c r="C178" s="82"/>
      <c r="D178" s="140"/>
      <c r="E178" s="142"/>
      <c r="AJ178" s="1"/>
      <c r="AK178" s="1"/>
      <c r="AL178" s="1"/>
      <c r="AM178" s="1"/>
    </row>
    <row r="179" spans="1:39" ht="12.75" customHeight="1" x14ac:dyDescent="0.2">
      <c r="A179" s="221"/>
      <c r="B179" s="9"/>
      <c r="C179" s="82"/>
      <c r="D179" s="140"/>
      <c r="E179" s="142"/>
      <c r="AJ179" s="1"/>
      <c r="AK179" s="1"/>
      <c r="AL179" s="1"/>
      <c r="AM179" s="1"/>
    </row>
    <row r="180" spans="1:39" ht="12.75" customHeight="1" x14ac:dyDescent="0.2">
      <c r="A180" s="221"/>
      <c r="B180" s="9"/>
      <c r="C180" s="82"/>
      <c r="D180" s="140"/>
      <c r="E180" s="141"/>
      <c r="AJ180" s="1"/>
      <c r="AK180" s="1"/>
      <c r="AL180" s="1"/>
      <c r="AM180" s="1"/>
    </row>
    <row r="181" spans="1:39" ht="12.75" customHeight="1" x14ac:dyDescent="0.2">
      <c r="A181" s="221"/>
      <c r="B181" s="24"/>
      <c r="C181" s="24"/>
      <c r="D181" s="38"/>
      <c r="E181" s="141"/>
      <c r="AJ181" s="1"/>
      <c r="AK181" s="1"/>
      <c r="AL181" s="1"/>
      <c r="AM181" s="1"/>
    </row>
    <row r="182" spans="1:39" ht="12.75" customHeight="1" x14ac:dyDescent="0.2">
      <c r="A182" s="221"/>
      <c r="B182" s="24"/>
      <c r="C182" s="24"/>
      <c r="D182" s="38"/>
      <c r="E182" s="141"/>
      <c r="AJ182" s="1"/>
      <c r="AK182" s="1"/>
      <c r="AL182" s="1"/>
      <c r="AM182" s="1"/>
    </row>
    <row r="183" spans="1:39" ht="12.75" customHeight="1" x14ac:dyDescent="0.2">
      <c r="A183" s="221"/>
      <c r="B183" s="24"/>
      <c r="C183" s="24"/>
      <c r="D183" s="38"/>
      <c r="E183" s="141"/>
      <c r="AJ183" s="1"/>
      <c r="AK183" s="1"/>
      <c r="AL183" s="1"/>
      <c r="AM183" s="1"/>
    </row>
    <row r="184" spans="1:39" ht="12.75" customHeight="1" x14ac:dyDescent="0.2">
      <c r="A184" s="221"/>
      <c r="B184" s="24"/>
      <c r="C184" s="24"/>
      <c r="D184" s="38"/>
      <c r="E184" s="143"/>
      <c r="AJ184" s="1"/>
      <c r="AK184" s="1"/>
      <c r="AL184" s="1"/>
      <c r="AM184" s="1"/>
    </row>
    <row r="185" spans="1:39" ht="12.75" customHeight="1" thickBot="1" x14ac:dyDescent="0.25">
      <c r="A185" s="222"/>
      <c r="B185" s="24"/>
      <c r="C185" s="24"/>
      <c r="D185" s="145" t="s">
        <v>244</v>
      </c>
      <c r="E185" s="144">
        <f>SUM(E165:E184)</f>
        <v>0</v>
      </c>
      <c r="AJ185" s="1"/>
      <c r="AK185" s="1"/>
      <c r="AL185" s="1"/>
      <c r="AM185" s="1"/>
    </row>
    <row r="186" spans="1:39" ht="12.75" customHeight="1" thickTop="1" thickBot="1" x14ac:dyDescent="0.25">
      <c r="A186" s="220"/>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245</v>
      </c>
      <c r="B189" s="59"/>
      <c r="C189" s="59"/>
      <c r="D189" s="59"/>
      <c r="E189" s="59"/>
      <c r="F189" s="59"/>
      <c r="G189" s="59"/>
      <c r="H189" s="59"/>
      <c r="I189" s="59"/>
      <c r="J189" s="59"/>
      <c r="K189" s="59"/>
      <c r="L189" s="59"/>
      <c r="M189" s="60"/>
      <c r="O189" s="1"/>
      <c r="P189" s="1"/>
      <c r="Q189" s="1"/>
      <c r="R189" s="1"/>
    </row>
    <row r="190" spans="1:39" ht="12.75" customHeight="1" x14ac:dyDescent="0.2">
      <c r="A190" s="85" t="s">
        <v>246</v>
      </c>
      <c r="B190" s="86" t="s">
        <v>219</v>
      </c>
      <c r="C190" s="87" t="s">
        <v>247</v>
      </c>
      <c r="D190" s="88" t="s">
        <v>248</v>
      </c>
      <c r="E190" s="135" t="s">
        <v>220</v>
      </c>
      <c r="F190" s="89"/>
      <c r="G190" s="89"/>
      <c r="H190" s="89"/>
      <c r="I190" s="89"/>
      <c r="J190" s="89"/>
      <c r="K190" s="89"/>
      <c r="L190" s="89"/>
      <c r="M190" s="211" t="s">
        <v>221</v>
      </c>
      <c r="O190" s="1"/>
      <c r="P190" s="1"/>
      <c r="Q190" s="1"/>
      <c r="R190" s="1"/>
    </row>
    <row r="191" spans="1:39" ht="12.75" customHeight="1" x14ac:dyDescent="0.2">
      <c r="A191" s="227"/>
      <c r="B191" s="134"/>
      <c r="C191" s="224"/>
      <c r="D191" s="38"/>
      <c r="E191" s="24"/>
      <c r="F191" s="24"/>
      <c r="G191" s="24"/>
      <c r="H191" s="24"/>
      <c r="I191" s="24"/>
      <c r="J191" s="24"/>
      <c r="K191" s="24"/>
      <c r="L191" s="24"/>
      <c r="M191" s="91"/>
      <c r="O191" s="1"/>
      <c r="P191" s="1"/>
      <c r="Q191" s="1"/>
      <c r="R191" s="1"/>
    </row>
    <row r="192" spans="1:39" ht="12.75" customHeight="1" x14ac:dyDescent="0.2">
      <c r="A192" s="227"/>
      <c r="B192" s="134"/>
      <c r="C192" s="224"/>
      <c r="D192" s="38"/>
      <c r="E192" s="24"/>
      <c r="F192" s="24"/>
      <c r="G192" s="24"/>
      <c r="H192" s="24"/>
      <c r="I192" s="24"/>
      <c r="J192" s="24"/>
      <c r="K192" s="24"/>
      <c r="L192" s="24"/>
      <c r="M192" s="91"/>
      <c r="O192" s="1"/>
      <c r="P192" s="1"/>
      <c r="Q192" s="1"/>
      <c r="R192" s="1"/>
    </row>
    <row r="193" spans="1:18" ht="12.75" customHeight="1" x14ac:dyDescent="0.2">
      <c r="A193" s="227"/>
      <c r="B193" s="134"/>
      <c r="C193" s="224"/>
      <c r="D193" s="38"/>
      <c r="E193" s="24"/>
      <c r="F193" s="24"/>
      <c r="G193" s="24"/>
      <c r="H193" s="24"/>
      <c r="I193" s="24"/>
      <c r="J193" s="24"/>
      <c r="K193" s="24"/>
      <c r="L193" s="24"/>
      <c r="M193" s="91"/>
      <c r="O193" s="1"/>
      <c r="P193" s="1"/>
      <c r="Q193" s="1"/>
      <c r="R193" s="1"/>
    </row>
    <row r="194" spans="1:18" ht="12.75" customHeight="1" x14ac:dyDescent="0.2">
      <c r="A194" s="227"/>
      <c r="B194" s="134"/>
      <c r="C194" s="224"/>
      <c r="D194" s="38"/>
      <c r="E194" s="24"/>
      <c r="F194" s="24"/>
      <c r="G194" s="24"/>
      <c r="H194" s="24"/>
      <c r="I194" s="24"/>
      <c r="J194" s="24"/>
      <c r="K194" s="24"/>
      <c r="L194" s="24"/>
      <c r="M194" s="91"/>
      <c r="O194" s="1"/>
      <c r="P194" s="1"/>
      <c r="Q194" s="1"/>
      <c r="R194" s="1"/>
    </row>
    <row r="195" spans="1:18" ht="12.75" customHeight="1" x14ac:dyDescent="0.2">
      <c r="A195" s="227"/>
      <c r="B195" s="134"/>
      <c r="C195" s="224"/>
      <c r="D195" s="38"/>
      <c r="E195" s="24"/>
      <c r="F195" s="24"/>
      <c r="G195" s="24"/>
      <c r="H195" s="24"/>
      <c r="I195" s="24"/>
      <c r="J195" s="24"/>
      <c r="K195" s="24"/>
      <c r="L195" s="24"/>
      <c r="M195" s="91"/>
      <c r="O195" s="1"/>
      <c r="P195" s="1"/>
      <c r="Q195" s="1"/>
      <c r="R195" s="1"/>
    </row>
    <row r="196" spans="1:18" ht="12.75" customHeight="1" x14ac:dyDescent="0.2">
      <c r="A196" s="227"/>
      <c r="B196" s="134"/>
      <c r="C196" s="224"/>
      <c r="D196" s="38"/>
      <c r="E196" s="24"/>
      <c r="F196" s="24"/>
      <c r="G196" s="24"/>
      <c r="H196" s="24"/>
      <c r="I196" s="24"/>
      <c r="J196" s="24"/>
      <c r="K196" s="24"/>
      <c r="L196" s="24"/>
      <c r="M196" s="91"/>
    </row>
    <row r="197" spans="1:18" ht="12.75" customHeight="1" x14ac:dyDescent="0.2">
      <c r="A197" s="227"/>
      <c r="B197" s="134"/>
      <c r="C197" s="224"/>
      <c r="D197" s="38"/>
      <c r="E197" s="24"/>
      <c r="F197" s="24"/>
      <c r="G197" s="24"/>
      <c r="H197" s="24"/>
      <c r="I197" s="24"/>
      <c r="J197" s="24"/>
      <c r="K197" s="24"/>
      <c r="L197" s="24"/>
      <c r="M197" s="91"/>
    </row>
    <row r="198" spans="1:18" ht="12.75" customHeight="1" x14ac:dyDescent="0.2">
      <c r="A198" s="227"/>
      <c r="B198" s="134"/>
      <c r="C198" s="224"/>
      <c r="D198" s="38"/>
      <c r="E198" s="24"/>
      <c r="F198" s="24"/>
      <c r="G198" s="24"/>
      <c r="H198" s="24"/>
      <c r="I198" s="24"/>
      <c r="J198" s="24"/>
      <c r="K198" s="24"/>
      <c r="L198" s="24"/>
      <c r="M198" s="91"/>
    </row>
    <row r="199" spans="1:18" ht="12.75" customHeight="1" x14ac:dyDescent="0.2">
      <c r="A199" s="227"/>
      <c r="B199" s="134"/>
      <c r="C199" s="224"/>
      <c r="D199" s="38"/>
      <c r="E199" s="24"/>
      <c r="F199" s="24"/>
      <c r="G199" s="24"/>
      <c r="H199" s="24"/>
      <c r="I199" s="24"/>
      <c r="J199" s="24"/>
      <c r="K199" s="24"/>
      <c r="L199" s="24"/>
      <c r="M199" s="91"/>
    </row>
    <row r="200" spans="1:18" ht="12.75" customHeight="1" x14ac:dyDescent="0.2">
      <c r="A200" s="227"/>
      <c r="B200" s="134"/>
      <c r="C200" s="224"/>
      <c r="D200" s="38"/>
      <c r="E200" s="24"/>
      <c r="F200" s="24"/>
      <c r="G200" s="24"/>
      <c r="H200" s="24"/>
      <c r="I200" s="24"/>
      <c r="J200" s="24"/>
      <c r="K200" s="24"/>
      <c r="L200" s="24"/>
      <c r="M200" s="91"/>
    </row>
    <row r="201" spans="1:18" ht="12.75" customHeight="1" x14ac:dyDescent="0.2">
      <c r="A201" s="90"/>
      <c r="B201" s="134"/>
      <c r="C201" s="224"/>
      <c r="D201" s="38"/>
      <c r="E201" s="24"/>
      <c r="F201" s="24"/>
      <c r="G201" s="24"/>
      <c r="H201" s="24"/>
      <c r="I201" s="24"/>
      <c r="J201" s="24"/>
      <c r="K201" s="24"/>
      <c r="L201" s="24"/>
      <c r="M201" s="91"/>
    </row>
    <row r="202" spans="1:18" ht="12.75" customHeight="1" x14ac:dyDescent="0.2">
      <c r="A202" s="90"/>
      <c r="B202" s="134"/>
      <c r="C202" s="224"/>
      <c r="D202" s="38"/>
      <c r="E202" s="24"/>
      <c r="F202" s="24"/>
      <c r="G202" s="24"/>
      <c r="H202" s="24"/>
      <c r="I202" s="24"/>
      <c r="J202" s="24"/>
      <c r="K202" s="24"/>
      <c r="L202" s="24"/>
      <c r="M202" s="91"/>
    </row>
    <row r="203" spans="1:18" ht="12.75" customHeight="1" x14ac:dyDescent="0.2">
      <c r="A203" s="90"/>
      <c r="B203" s="134"/>
      <c r="C203" s="224"/>
      <c r="D203" s="38"/>
      <c r="E203" s="24"/>
      <c r="F203" s="24"/>
      <c r="G203" s="24"/>
      <c r="H203" s="24"/>
      <c r="I203" s="24"/>
      <c r="J203" s="24"/>
      <c r="K203" s="24"/>
      <c r="L203" s="24"/>
      <c r="M203" s="91"/>
    </row>
    <row r="204" spans="1:18" ht="12.75" customHeight="1" x14ac:dyDescent="0.2">
      <c r="A204" s="90"/>
      <c r="B204" s="134"/>
      <c r="C204" s="224"/>
      <c r="D204" s="38"/>
      <c r="E204" s="24"/>
      <c r="F204" s="24"/>
      <c r="G204" s="24"/>
      <c r="H204" s="24"/>
      <c r="I204" s="24"/>
      <c r="J204" s="24"/>
      <c r="K204" s="24"/>
      <c r="L204" s="24"/>
      <c r="M204" s="91"/>
    </row>
    <row r="205" spans="1:18" ht="12.75" customHeight="1" x14ac:dyDescent="0.2">
      <c r="A205" s="90"/>
      <c r="B205" s="134"/>
      <c r="C205" s="226"/>
      <c r="D205" s="38"/>
      <c r="E205" s="24"/>
      <c r="F205" s="24"/>
      <c r="G205" s="24"/>
      <c r="H205" s="24"/>
      <c r="I205" s="24"/>
      <c r="J205" s="24"/>
      <c r="K205" s="24"/>
      <c r="L205" s="24"/>
      <c r="M205" s="91"/>
    </row>
    <row r="206" spans="1:18" ht="12.75" customHeight="1" x14ac:dyDescent="0.2">
      <c r="A206" s="90"/>
      <c r="B206" s="134"/>
      <c r="C206" s="226"/>
      <c r="D206" s="38"/>
      <c r="E206" s="24"/>
      <c r="F206" s="24"/>
      <c r="G206" s="24"/>
      <c r="H206" s="24"/>
      <c r="I206" s="24"/>
      <c r="J206" s="24"/>
      <c r="K206" s="24"/>
      <c r="L206" s="24"/>
      <c r="M206" s="91"/>
    </row>
    <row r="207" spans="1:18" ht="12.75" customHeight="1" x14ac:dyDescent="0.2">
      <c r="A207" s="90"/>
      <c r="B207" s="134"/>
      <c r="C207" s="226"/>
      <c r="D207" s="38"/>
      <c r="E207" s="24"/>
      <c r="F207" s="24"/>
      <c r="G207" s="24"/>
      <c r="H207" s="24"/>
      <c r="I207" s="24"/>
      <c r="J207" s="24"/>
      <c r="K207" s="24"/>
      <c r="L207" s="24"/>
      <c r="M207" s="91"/>
    </row>
    <row r="208" spans="1:18" ht="12.75" customHeight="1" x14ac:dyDescent="0.2">
      <c r="A208" s="90"/>
      <c r="B208" s="134"/>
      <c r="C208" s="225"/>
      <c r="D208" s="38"/>
      <c r="E208" s="24"/>
      <c r="F208" s="24"/>
      <c r="G208" s="24"/>
      <c r="H208" s="24"/>
      <c r="I208" s="24"/>
      <c r="J208" s="24"/>
      <c r="K208" s="24"/>
      <c r="L208" s="24"/>
      <c r="M208" s="91"/>
    </row>
    <row r="209" spans="1:14" ht="12.75" customHeight="1" x14ac:dyDescent="0.2">
      <c r="A209" s="90"/>
      <c r="B209" s="134"/>
      <c r="C209" s="225"/>
      <c r="D209" s="38"/>
      <c r="E209" s="24"/>
      <c r="F209" s="24"/>
      <c r="G209" s="24"/>
      <c r="H209" s="24"/>
      <c r="I209" s="24"/>
      <c r="J209" s="24"/>
      <c r="K209" s="24"/>
      <c r="L209" s="24"/>
      <c r="M209" s="91"/>
    </row>
    <row r="210" spans="1:14" ht="12.75" customHeight="1" x14ac:dyDescent="0.2">
      <c r="A210" s="90"/>
      <c r="B210" s="134"/>
      <c r="C210" s="225"/>
      <c r="D210" s="38"/>
      <c r="E210" s="24"/>
      <c r="F210" s="24"/>
      <c r="G210" s="24"/>
      <c r="H210" s="24"/>
      <c r="I210" s="24"/>
      <c r="J210" s="24"/>
      <c r="K210" s="24"/>
      <c r="L210" s="24"/>
      <c r="M210" s="91"/>
    </row>
    <row r="211" spans="1:14" ht="12.75" customHeight="1" x14ac:dyDescent="0.2">
      <c r="A211" s="90"/>
      <c r="B211" s="134"/>
      <c r="C211" s="225"/>
      <c r="D211" s="38"/>
      <c r="E211" s="24"/>
      <c r="F211" s="24"/>
      <c r="G211" s="24"/>
      <c r="H211" s="24"/>
      <c r="I211" s="24"/>
      <c r="J211" s="24"/>
      <c r="K211" s="24"/>
      <c r="L211" s="24"/>
      <c r="M211" s="91"/>
    </row>
    <row r="212" spans="1:14" ht="12.75" customHeight="1" x14ac:dyDescent="0.2">
      <c r="A212" s="90"/>
      <c r="B212" s="134"/>
      <c r="C212" s="225"/>
      <c r="D212" s="38"/>
      <c r="E212" s="24"/>
      <c r="F212" s="24"/>
      <c r="G212" s="24"/>
      <c r="H212" s="24"/>
      <c r="I212" s="24"/>
      <c r="J212" s="24"/>
      <c r="K212" s="24"/>
      <c r="L212" s="24"/>
      <c r="M212" s="91"/>
    </row>
    <row r="213" spans="1:14" ht="12.75" customHeight="1" x14ac:dyDescent="0.2">
      <c r="A213" s="90"/>
      <c r="B213" s="134"/>
      <c r="C213" s="225"/>
      <c r="D213" s="38"/>
      <c r="E213" s="24"/>
      <c r="F213" s="24"/>
      <c r="G213" s="24"/>
      <c r="H213" s="24"/>
      <c r="I213" s="24"/>
      <c r="J213" s="24"/>
      <c r="K213" s="24"/>
      <c r="L213" s="24"/>
      <c r="M213" s="91"/>
    </row>
    <row r="214" spans="1:14" ht="12.75" customHeight="1" thickBot="1" x14ac:dyDescent="0.25">
      <c r="A214" s="90"/>
      <c r="B214" s="134"/>
      <c r="C214" s="223"/>
      <c r="D214" s="38"/>
      <c r="E214" s="24"/>
      <c r="F214" s="24"/>
      <c r="G214" s="24"/>
      <c r="H214" s="24"/>
      <c r="I214" s="24"/>
      <c r="J214" s="24"/>
      <c r="K214" s="24"/>
      <c r="L214" s="145" t="s">
        <v>249</v>
      </c>
      <c r="M214" s="92">
        <f>SUM(M191:M213)</f>
        <v>0</v>
      </c>
    </row>
    <row r="215" spans="1:14" ht="12.75" customHeight="1" thickTop="1" thickBot="1" x14ac:dyDescent="0.25">
      <c r="A215" s="93"/>
      <c r="B215" s="151"/>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5" t="s">
        <v>250</v>
      </c>
      <c r="B218" s="154"/>
      <c r="C218" s="154"/>
      <c r="D218" s="154"/>
      <c r="E218" s="154"/>
      <c r="F218" s="157"/>
      <c r="G218" s="94"/>
      <c r="H218" s="94"/>
      <c r="I218" s="94"/>
      <c r="J218" s="94"/>
      <c r="K218" s="94"/>
      <c r="L218" s="94"/>
      <c r="M218" s="94"/>
      <c r="N218" s="94"/>
    </row>
    <row r="219" spans="1:14" ht="12.75" customHeight="1" thickBot="1" x14ac:dyDescent="0.25">
      <c r="A219" s="156" t="s">
        <v>246</v>
      </c>
      <c r="B219" s="95" t="s">
        <v>219</v>
      </c>
      <c r="C219" s="96" t="s">
        <v>247</v>
      </c>
      <c r="D219" s="165" t="s">
        <v>248</v>
      </c>
      <c r="E219" s="166"/>
      <c r="F219" s="158" t="s">
        <v>221</v>
      </c>
      <c r="G219" s="94"/>
      <c r="H219" s="94"/>
      <c r="I219" s="94"/>
      <c r="J219" s="94"/>
      <c r="K219" s="94"/>
      <c r="L219" s="94"/>
      <c r="M219" s="94"/>
      <c r="N219" s="94"/>
    </row>
    <row r="220" spans="1:14" ht="12.75" customHeight="1" x14ac:dyDescent="0.2">
      <c r="A220" s="231"/>
      <c r="B220" s="134"/>
      <c r="C220" s="97"/>
      <c r="D220" s="24"/>
      <c r="E220" s="167"/>
      <c r="F220" s="232"/>
      <c r="G220" s="98"/>
      <c r="H220" s="98"/>
      <c r="I220" s="98"/>
      <c r="J220" s="98"/>
      <c r="K220" s="98"/>
      <c r="L220" s="98"/>
      <c r="M220" s="98"/>
      <c r="N220" s="98"/>
    </row>
    <row r="221" spans="1:14" ht="12.75" customHeight="1" x14ac:dyDescent="0.2">
      <c r="A221" s="231"/>
      <c r="B221" s="134"/>
      <c r="C221" s="94"/>
      <c r="D221" s="233"/>
      <c r="E221" s="167"/>
      <c r="F221" s="159"/>
      <c r="G221" s="98"/>
      <c r="H221" s="98"/>
      <c r="I221" s="98"/>
      <c r="J221" s="98"/>
      <c r="K221" s="98"/>
      <c r="L221" s="98"/>
      <c r="M221" s="98"/>
      <c r="N221" s="98"/>
    </row>
    <row r="222" spans="1:14" ht="12.75" customHeight="1" x14ac:dyDescent="0.2">
      <c r="A222" s="231"/>
      <c r="B222" s="134"/>
      <c r="C222" s="94"/>
      <c r="D222" s="233"/>
      <c r="E222" s="167"/>
      <c r="F222" s="160"/>
      <c r="G222" s="94"/>
      <c r="H222" s="94"/>
      <c r="I222" s="94"/>
      <c r="J222" s="94"/>
      <c r="K222" s="94"/>
      <c r="L222" s="94"/>
      <c r="M222" s="94"/>
      <c r="N222" s="94"/>
    </row>
    <row r="223" spans="1:14" ht="12.75" customHeight="1" x14ac:dyDescent="0.2">
      <c r="A223" s="231"/>
      <c r="B223" s="134"/>
      <c r="C223" s="94"/>
      <c r="D223" s="233"/>
      <c r="E223" s="167"/>
      <c r="F223" s="160"/>
      <c r="G223" s="94"/>
      <c r="H223" s="94"/>
      <c r="I223" s="94"/>
      <c r="J223" s="94"/>
      <c r="K223" s="94"/>
      <c r="L223" s="94"/>
      <c r="M223" s="94"/>
      <c r="N223" s="94"/>
    </row>
    <row r="224" spans="1:14" ht="12.75" customHeight="1" x14ac:dyDescent="0.2">
      <c r="A224" s="231"/>
      <c r="B224" s="134"/>
      <c r="C224" s="94"/>
      <c r="D224" s="233"/>
      <c r="E224" s="167"/>
      <c r="F224" s="160"/>
      <c r="G224" s="94"/>
      <c r="H224" s="94"/>
      <c r="I224" s="94"/>
      <c r="J224" s="94"/>
      <c r="K224" s="94"/>
      <c r="L224" s="94"/>
      <c r="M224" s="94"/>
      <c r="N224" s="94"/>
    </row>
    <row r="225" spans="1:14" ht="12.75" customHeight="1" x14ac:dyDescent="0.2">
      <c r="A225" s="231"/>
      <c r="B225" s="134"/>
      <c r="C225" s="94"/>
      <c r="D225" s="233"/>
      <c r="E225" s="167"/>
      <c r="F225" s="160"/>
      <c r="G225" s="94"/>
      <c r="H225" s="94"/>
      <c r="I225" s="94"/>
      <c r="J225" s="94"/>
      <c r="K225" s="94"/>
      <c r="L225" s="94"/>
      <c r="M225" s="94"/>
      <c r="N225" s="94"/>
    </row>
    <row r="226" spans="1:14" ht="12.75" customHeight="1" x14ac:dyDescent="0.2">
      <c r="A226" s="231"/>
      <c r="B226" s="134"/>
      <c r="C226" s="94"/>
      <c r="D226" s="233"/>
      <c r="E226" s="167"/>
      <c r="F226" s="160"/>
      <c r="G226" s="94"/>
      <c r="H226" s="94"/>
      <c r="I226" s="94"/>
      <c r="J226" s="94"/>
      <c r="K226" s="94"/>
      <c r="L226" s="94"/>
      <c r="M226" s="94"/>
      <c r="N226" s="94"/>
    </row>
    <row r="227" spans="1:14" ht="12.75" customHeight="1" x14ac:dyDescent="0.2">
      <c r="A227" s="231"/>
      <c r="B227" s="134"/>
      <c r="C227" s="94"/>
      <c r="D227" s="233"/>
      <c r="E227" s="167"/>
      <c r="F227" s="160"/>
      <c r="G227" s="94"/>
      <c r="H227" s="94"/>
      <c r="I227" s="94"/>
      <c r="J227" s="94"/>
      <c r="K227" s="94"/>
      <c r="L227" s="94"/>
      <c r="M227" s="94"/>
      <c r="N227" s="94"/>
    </row>
    <row r="228" spans="1:14" ht="12.75" customHeight="1" x14ac:dyDescent="0.2">
      <c r="A228" s="231"/>
      <c r="B228" s="134"/>
      <c r="C228" s="94"/>
      <c r="D228" s="233"/>
      <c r="E228" s="167"/>
      <c r="F228" s="160"/>
      <c r="G228" s="94"/>
      <c r="H228" s="94"/>
      <c r="I228" s="94"/>
      <c r="J228" s="94"/>
      <c r="K228" s="94"/>
      <c r="L228" s="94"/>
      <c r="M228" s="94"/>
      <c r="N228" s="94"/>
    </row>
    <row r="229" spans="1:14" ht="12.75" customHeight="1" x14ac:dyDescent="0.2">
      <c r="A229" s="231"/>
      <c r="B229" s="134"/>
      <c r="C229" s="94"/>
      <c r="D229" s="233"/>
      <c r="E229" s="167"/>
      <c r="F229" s="160"/>
      <c r="G229" s="94"/>
      <c r="H229" s="94"/>
      <c r="I229" s="94"/>
      <c r="J229" s="94"/>
      <c r="K229" s="94"/>
      <c r="L229" s="94"/>
      <c r="M229" s="94"/>
      <c r="N229" s="94"/>
    </row>
    <row r="230" spans="1:14" ht="12.75" customHeight="1" x14ac:dyDescent="0.2">
      <c r="A230" s="231"/>
      <c r="B230" s="134"/>
      <c r="C230" s="94"/>
      <c r="D230" s="233"/>
      <c r="E230" s="167"/>
      <c r="F230" s="160"/>
      <c r="G230" s="94"/>
      <c r="H230" s="94"/>
      <c r="I230" s="94"/>
      <c r="J230" s="94"/>
      <c r="K230" s="94"/>
      <c r="L230" s="94"/>
      <c r="M230" s="94"/>
      <c r="N230" s="94"/>
    </row>
    <row r="231" spans="1:14" ht="12.75" customHeight="1" x14ac:dyDescent="0.2">
      <c r="A231" s="231"/>
      <c r="B231" s="134"/>
      <c r="C231" s="94"/>
      <c r="D231" s="233"/>
      <c r="E231" s="167"/>
      <c r="F231" s="160"/>
      <c r="G231" s="94"/>
      <c r="H231" s="94"/>
      <c r="I231" s="94"/>
      <c r="J231" s="94"/>
      <c r="K231" s="94"/>
      <c r="L231" s="94"/>
      <c r="M231" s="94"/>
      <c r="N231" s="94"/>
    </row>
    <row r="232" spans="1:14" ht="12.75" customHeight="1" x14ac:dyDescent="0.2">
      <c r="A232" s="231"/>
      <c r="B232" s="134"/>
      <c r="C232" s="94"/>
      <c r="D232" s="233"/>
      <c r="E232" s="167"/>
      <c r="F232" s="160"/>
      <c r="G232" s="94"/>
      <c r="H232" s="94"/>
      <c r="I232" s="94"/>
      <c r="J232" s="94"/>
      <c r="K232" s="94"/>
      <c r="L232" s="94"/>
      <c r="M232" s="94"/>
      <c r="N232" s="94"/>
    </row>
    <row r="233" spans="1:14" ht="12.75" customHeight="1" x14ac:dyDescent="0.2">
      <c r="A233" s="231"/>
      <c r="B233" s="134"/>
      <c r="C233" s="94"/>
      <c r="D233" s="233"/>
      <c r="E233" s="167"/>
      <c r="F233" s="160"/>
      <c r="G233" s="94"/>
      <c r="H233" s="94"/>
      <c r="I233" s="94"/>
      <c r="J233" s="94"/>
      <c r="K233" s="94"/>
      <c r="L233" s="94"/>
      <c r="M233" s="94"/>
      <c r="N233" s="94"/>
    </row>
    <row r="234" spans="1:14" ht="12.75" customHeight="1" x14ac:dyDescent="0.2">
      <c r="A234" s="231"/>
      <c r="B234" s="134"/>
      <c r="C234" s="94"/>
      <c r="D234" s="233"/>
      <c r="E234" s="167"/>
      <c r="F234" s="160"/>
      <c r="G234" s="94"/>
      <c r="H234" s="94"/>
      <c r="I234" s="94"/>
      <c r="J234" s="94"/>
      <c r="K234" s="94"/>
      <c r="L234" s="94"/>
      <c r="M234" s="94"/>
      <c r="N234" s="94"/>
    </row>
    <row r="235" spans="1:14" ht="12.75" customHeight="1" x14ac:dyDescent="0.2">
      <c r="A235" s="231"/>
      <c r="B235" s="134"/>
      <c r="C235" s="94"/>
      <c r="D235" s="233"/>
      <c r="E235" s="167"/>
      <c r="F235" s="160"/>
      <c r="G235" s="94"/>
      <c r="H235" s="94"/>
      <c r="I235" s="94"/>
      <c r="J235" s="94"/>
      <c r="K235" s="94"/>
      <c r="L235" s="94"/>
      <c r="M235" s="94"/>
      <c r="N235" s="94"/>
    </row>
    <row r="236" spans="1:14" ht="12.75" customHeight="1" x14ac:dyDescent="0.2">
      <c r="A236" s="231"/>
      <c r="B236" s="134"/>
      <c r="C236" s="94"/>
      <c r="D236" s="233"/>
      <c r="E236" s="167"/>
      <c r="F236" s="160"/>
      <c r="G236" s="94"/>
      <c r="H236" s="94"/>
      <c r="I236" s="94"/>
      <c r="J236" s="94"/>
      <c r="K236" s="94"/>
      <c r="L236" s="94"/>
      <c r="M236" s="94"/>
      <c r="N236" s="94"/>
    </row>
    <row r="237" spans="1:14" ht="12.75" customHeight="1" x14ac:dyDescent="0.2">
      <c r="A237" s="231"/>
      <c r="B237" s="134"/>
      <c r="C237" s="94"/>
      <c r="D237" s="233"/>
      <c r="E237" s="167"/>
      <c r="F237" s="160"/>
      <c r="G237" s="94"/>
      <c r="H237" s="94"/>
      <c r="I237" s="94"/>
      <c r="J237" s="94"/>
      <c r="K237" s="94"/>
      <c r="L237" s="94"/>
      <c r="M237" s="94"/>
      <c r="N237" s="94"/>
    </row>
    <row r="238" spans="1:14" ht="12.75" customHeight="1" thickBot="1" x14ac:dyDescent="0.25">
      <c r="A238" s="231"/>
      <c r="B238" s="134"/>
      <c r="C238" s="94"/>
      <c r="D238" s="94"/>
      <c r="E238" s="145" t="s">
        <v>251</v>
      </c>
      <c r="F238" s="168">
        <f>SUM(F219:F237)</f>
        <v>0</v>
      </c>
      <c r="G238" s="94"/>
      <c r="H238" s="94"/>
      <c r="I238" s="94"/>
      <c r="J238" s="94"/>
      <c r="K238" s="94"/>
      <c r="L238" s="94"/>
      <c r="M238" s="94"/>
      <c r="N238" s="94"/>
    </row>
    <row r="239" spans="1:14" ht="12.75" customHeight="1" thickTop="1" thickBot="1" x14ac:dyDescent="0.25">
      <c r="A239" s="161"/>
      <c r="B239" s="162"/>
      <c r="C239" s="163"/>
      <c r="D239" s="163"/>
      <c r="E239" s="212"/>
      <c r="F239" s="164"/>
      <c r="G239" s="94"/>
      <c r="H239" s="94"/>
      <c r="I239" s="94"/>
      <c r="J239" s="94"/>
      <c r="K239" s="94"/>
      <c r="L239" s="94"/>
      <c r="M239" s="94"/>
      <c r="N239" s="94"/>
    </row>
    <row r="240" spans="1:14" ht="12.75" customHeight="1" thickTop="1" x14ac:dyDescent="0.2"/>
  </sheetData>
  <customSheetViews>
    <customSheetView guid="{535643CE-B9EE-11D2-A857-00805F2505DF}" scale="75" fitToPage="1" showRuler="0" topLeftCell="A120">
      <selection activeCell="A121" sqref="A121:M239"/>
      <pageMargins left="0.25" right="0.25" top="0.25" bottom="0.25" header="0.25" footer="0.25"/>
      <printOptions horizontalCentered="1"/>
      <pageSetup paperSize="5"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5-B9EE-11D2-A857-00805F2505DF}" scale="75" fitToPage="1" showRuler="0" topLeftCell="A40">
      <selection activeCell="A41" sqref="A41:AG118"/>
      <pageMargins left="0.25" right="0.25" top="0.25" bottom="0.25" header="0.25" footer="0.25"/>
      <printOptions horizontalCentered="1"/>
      <pageSetup paperSize="5"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BC-B9EE-11D2-A857-00805F2505DF}" scale="75" fitToPage="1" showRuler="0" topLeftCell="O18">
      <selection activeCell="A6" sqref="A6:R40"/>
      <pageMargins left="0.25" right="0.25" top="0.25" bottom="0.25" header="0.25" footer="0.25"/>
      <printOptions horizontalCentered="1"/>
      <pageSetup paperSize="5"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scale="19" orientation="landscape" horizontalDpi="4294967292" verticalDpi="4294967292" r:id="rId4"/>
  <headerFooter alignWithMargins="0">
    <oddFooter>&amp;L&amp;"Times New Roman,Italic"&amp;F/&amp;A&amp;R&amp;"Times New Roman,Italic"&amp;D &amp;T</oddFooter>
  </headerFooter>
  <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pageSetUpPr fitToPage="1"/>
  </sheetPr>
  <dimension ref="A1:AX240"/>
  <sheetViews>
    <sheetView zoomScale="75" workbookViewId="0">
      <pane xSplit="2" ySplit="6" topLeftCell="C41" activePane="bottomRight" state="frozen"/>
      <selection activeCell="D9" sqref="D9:D13"/>
      <selection pane="topRight" activeCell="D9" sqref="D9:D13"/>
      <selection pane="bottomLeft" activeCell="D9" sqref="D9:D13"/>
      <selection pane="bottomRight" activeCell="S54" sqref="S54"/>
    </sheetView>
  </sheetViews>
  <sheetFormatPr defaultRowHeight="12.75" x14ac:dyDescent="0.2"/>
  <cols>
    <col min="1" max="1" width="23.85546875" style="13" customWidth="1"/>
    <col min="2" max="2" width="24.140625" style="13" customWidth="1"/>
    <col min="3" max="3" width="14.42578125" style="13" customWidth="1"/>
    <col min="4" max="4" width="13.5703125" style="13" customWidth="1"/>
    <col min="5"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12" style="13" customWidth="1"/>
    <col min="39" max="39" width="13.28515625" style="13" customWidth="1"/>
    <col min="40" max="40" width="11.5703125" style="13" customWidth="1"/>
    <col min="41" max="41" width="14.5703125" style="13" customWidth="1"/>
    <col min="42" max="16384" width="9.140625" style="13"/>
  </cols>
  <sheetData>
    <row r="1" spans="1:37" ht="12.75" customHeight="1" x14ac:dyDescent="0.2">
      <c r="B1" s="816">
        <f>M38</f>
        <v>0</v>
      </c>
      <c r="D1" s="321"/>
      <c r="E1" s="321"/>
      <c r="F1" s="325"/>
      <c r="G1" s="329" t="s">
        <v>252</v>
      </c>
      <c r="H1" s="1"/>
      <c r="I1" s="1"/>
      <c r="J1" s="1"/>
      <c r="K1" s="1"/>
      <c r="L1" s="1"/>
      <c r="M1" s="1"/>
      <c r="N1" s="1"/>
      <c r="O1" s="1"/>
    </row>
    <row r="2" spans="1:37" ht="12.75" customHeight="1" thickBot="1" x14ac:dyDescent="0.3">
      <c r="A2" s="101" t="s">
        <v>75</v>
      </c>
      <c r="C2" s="46"/>
      <c r="D2" s="1"/>
      <c r="E2" s="321"/>
      <c r="F2" s="325"/>
      <c r="G2" s="330">
        <v>32097078</v>
      </c>
      <c r="H2" s="1"/>
      <c r="I2" s="1"/>
      <c r="J2" s="1"/>
      <c r="K2" s="1"/>
      <c r="L2" s="1"/>
      <c r="M2" s="1"/>
      <c r="N2" s="1"/>
      <c r="O2" s="1"/>
    </row>
    <row r="3" spans="1:37" ht="12.75" customHeight="1" x14ac:dyDescent="0.25">
      <c r="A3" s="257" t="s">
        <v>76</v>
      </c>
      <c r="B3" s="322" t="s">
        <v>511</v>
      </c>
      <c r="C3" s="568" t="s">
        <v>78</v>
      </c>
      <c r="D3" s="331"/>
      <c r="E3" s="566"/>
      <c r="F3" s="567"/>
      <c r="G3" s="41"/>
      <c r="H3" s="1"/>
      <c r="I3" s="1"/>
      <c r="J3" s="1"/>
      <c r="K3" s="1"/>
      <c r="L3" s="1"/>
      <c r="M3" s="42"/>
      <c r="N3" s="1"/>
      <c r="O3" s="1"/>
    </row>
    <row r="4" spans="1:37" ht="12.75" customHeight="1" x14ac:dyDescent="0.25">
      <c r="A4" s="257" t="s">
        <v>79</v>
      </c>
      <c r="B4" s="323">
        <f>Front!B4</f>
        <v>36831</v>
      </c>
      <c r="C4" s="46"/>
      <c r="D4" s="331"/>
      <c r="E4" s="566"/>
      <c r="F4" s="567"/>
      <c r="G4" s="41"/>
      <c r="H4" s="1"/>
      <c r="I4" s="1"/>
      <c r="J4" s="1"/>
      <c r="K4" s="1"/>
      <c r="L4" s="1"/>
      <c r="M4" s="1"/>
      <c r="N4" s="1"/>
      <c r="O4" s="1"/>
    </row>
    <row r="5" spans="1:37" ht="18" customHeight="1" thickBot="1" x14ac:dyDescent="0.3">
      <c r="A5" s="257" t="s">
        <v>80</v>
      </c>
      <c r="B5" s="570">
        <f>Front!B5</f>
        <v>36847</v>
      </c>
      <c r="C5" s="569"/>
      <c r="D5" s="331"/>
      <c r="E5" s="46"/>
      <c r="F5" s="46"/>
      <c r="G5" s="46"/>
      <c r="V5" s="24"/>
      <c r="W5" s="24"/>
      <c r="X5" s="24"/>
      <c r="Y5" s="24"/>
      <c r="Z5" s="24"/>
      <c r="AA5" s="24"/>
    </row>
    <row r="6" spans="1:37" ht="12.75" customHeight="1" x14ac:dyDescent="0.25">
      <c r="A6" s="257" t="s">
        <v>81</v>
      </c>
      <c r="B6" s="776">
        <f>Front!$D$12</f>
        <v>949837</v>
      </c>
      <c r="C6" s="569"/>
      <c r="D6" s="331"/>
      <c r="E6" s="46"/>
      <c r="F6" s="46"/>
      <c r="G6" s="46"/>
      <c r="K6" s="123" t="s">
        <v>82</v>
      </c>
      <c r="L6" s="62"/>
      <c r="M6" s="62"/>
      <c r="N6" s="62"/>
      <c r="O6" s="62"/>
      <c r="P6" s="62"/>
      <c r="Q6" s="62"/>
      <c r="R6" s="7"/>
      <c r="S6" s="102" t="s">
        <v>83</v>
      </c>
      <c r="T6" s="102"/>
      <c r="V6" s="123" t="s">
        <v>84</v>
      </c>
      <c r="W6" s="62"/>
      <c r="X6" s="62"/>
      <c r="Y6" s="62"/>
      <c r="Z6" s="62"/>
      <c r="AA6" s="7"/>
    </row>
    <row r="7" spans="1:37" ht="12.75" customHeight="1" x14ac:dyDescent="0.2">
      <c r="C7" s="46"/>
      <c r="D7" s="331"/>
      <c r="K7" s="64"/>
      <c r="L7" s="65" t="s">
        <v>85</v>
      </c>
      <c r="M7" s="65" t="s">
        <v>86</v>
      </c>
      <c r="N7" s="335" t="s">
        <v>87</v>
      </c>
      <c r="O7" s="65"/>
      <c r="P7" s="65" t="s">
        <v>88</v>
      </c>
      <c r="Q7" s="65" t="s">
        <v>88</v>
      </c>
      <c r="R7" s="66" t="s">
        <v>4</v>
      </c>
      <c r="S7" s="103" t="s">
        <v>89</v>
      </c>
      <c r="T7" s="103" t="s">
        <v>90</v>
      </c>
      <c r="V7" s="67" t="s">
        <v>91</v>
      </c>
      <c r="W7" s="24"/>
      <c r="X7" s="24"/>
      <c r="Y7" s="24"/>
      <c r="Z7" s="24"/>
      <c r="AA7" s="68"/>
    </row>
    <row r="8" spans="1:37" ht="12.75" customHeight="1" x14ac:dyDescent="0.2">
      <c r="A8" s="16" t="s">
        <v>92</v>
      </c>
      <c r="C8" s="46"/>
      <c r="D8" s="433" t="s">
        <v>93</v>
      </c>
      <c r="E8" s="433" t="s">
        <v>94</v>
      </c>
      <c r="G8" s="17" t="s">
        <v>95</v>
      </c>
      <c r="H8" s="17"/>
      <c r="K8" s="124" t="s">
        <v>96</v>
      </c>
      <c r="L8" s="24"/>
      <c r="M8" s="24"/>
      <c r="N8" s="24"/>
      <c r="O8" s="24"/>
      <c r="P8" s="24"/>
      <c r="Q8" s="9"/>
      <c r="R8" s="68"/>
      <c r="V8" s="67" t="s">
        <v>97</v>
      </c>
      <c r="W8" s="24"/>
      <c r="X8" s="24"/>
      <c r="Y8" s="24"/>
      <c r="Z8" s="24"/>
      <c r="AA8" s="68"/>
    </row>
    <row r="9" spans="1:37" ht="12.75" customHeight="1" x14ac:dyDescent="0.2">
      <c r="A9" s="13" t="s">
        <v>98</v>
      </c>
      <c r="C9" s="46"/>
      <c r="D9" s="21">
        <v>-5897137</v>
      </c>
      <c r="E9" s="21">
        <v>-8271410</v>
      </c>
      <c r="F9" s="1" t="s">
        <v>99</v>
      </c>
      <c r="G9" s="19" t="s">
        <v>100</v>
      </c>
      <c r="H9" s="19"/>
      <c r="I9" s="13">
        <v>95161869</v>
      </c>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
      <c r="A10" s="13" t="s">
        <v>102</v>
      </c>
      <c r="C10" s="46"/>
      <c r="D10" s="21"/>
      <c r="E10" s="21"/>
      <c r="F10" s="1" t="s">
        <v>99</v>
      </c>
      <c r="G10" s="19" t="s">
        <v>100</v>
      </c>
      <c r="H10" s="19"/>
      <c r="I10" s="13">
        <v>1117818</v>
      </c>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
      <c r="A11" s="13" t="s">
        <v>105</v>
      </c>
      <c r="D11" s="21"/>
      <c r="E11" s="21"/>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
      <c r="A12" s="13" t="s">
        <v>109</v>
      </c>
      <c r="D12" s="21">
        <v>0</v>
      </c>
      <c r="E12" s="21">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
      <c r="A13" s="13" t="s">
        <v>112</v>
      </c>
      <c r="D13" s="346">
        <v>0</v>
      </c>
      <c r="E13" s="346">
        <v>0</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25">
      <c r="A14" s="13" t="s">
        <v>115</v>
      </c>
      <c r="E14" s="22">
        <f>+E159</f>
        <v>3731</v>
      </c>
      <c r="F14" s="13" t="s">
        <v>116</v>
      </c>
      <c r="K14" s="67" t="s">
        <v>117</v>
      </c>
      <c r="L14" s="121">
        <f>SUM(L9:L13)/100</f>
        <v>0</v>
      </c>
      <c r="M14" s="121">
        <f>SUM(M9:M13)/100</f>
        <v>0</v>
      </c>
      <c r="N14" s="121">
        <f>SUM(N9:N13)/1000000</f>
        <v>0</v>
      </c>
      <c r="O14" s="121">
        <f>SUM(O9:O13)/1000000</f>
        <v>0</v>
      </c>
      <c r="P14" s="121">
        <f>SUM(P9:P13)/1000000</f>
        <v>0</v>
      </c>
      <c r="Q14" s="121">
        <f>SUM(Q9:Q13)/1000000</f>
        <v>0</v>
      </c>
      <c r="R14" s="125">
        <f>SUM(R9:R12)/1000000</f>
        <v>0</v>
      </c>
      <c r="S14" s="121">
        <f>SUM(S9:S13)</f>
        <v>0</v>
      </c>
      <c r="T14" s="121">
        <f>SUM(T9:T13)</f>
        <v>0</v>
      </c>
      <c r="V14" s="67"/>
      <c r="W14" s="24"/>
      <c r="X14" s="24"/>
      <c r="Y14" s="33" t="s">
        <v>118</v>
      </c>
      <c r="Z14" s="24"/>
      <c r="AA14" s="68"/>
    </row>
    <row r="15" spans="1:37" ht="12.75" customHeight="1" thickTop="1" x14ac:dyDescent="0.2">
      <c r="A15" s="13" t="s">
        <v>119</v>
      </c>
      <c r="D15" s="572"/>
      <c r="E15" s="22">
        <f>+L158</f>
        <v>19119</v>
      </c>
      <c r="F15" s="13" t="s">
        <v>116</v>
      </c>
      <c r="K15" s="67" t="s">
        <v>120</v>
      </c>
      <c r="L15" s="249">
        <v>0</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3">
      <c r="A16" s="13" t="s">
        <v>124</v>
      </c>
      <c r="D16" s="560"/>
      <c r="E16" s="22">
        <f>+E185</f>
        <v>-1500000</v>
      </c>
      <c r="F16" s="13" t="s">
        <v>116</v>
      </c>
      <c r="I16" s="23"/>
      <c r="J16" s="23"/>
      <c r="K16" s="67" t="s">
        <v>125</v>
      </c>
      <c r="L16" s="424">
        <v>0</v>
      </c>
      <c r="M16" s="424">
        <v>0</v>
      </c>
      <c r="N16" s="395">
        <v>0</v>
      </c>
      <c r="O16" s="248">
        <v>0</v>
      </c>
      <c r="P16" s="248">
        <v>0</v>
      </c>
      <c r="Q16" s="248">
        <v>0</v>
      </c>
      <c r="R16" s="259">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D17" s="561"/>
      <c r="E17" s="22"/>
      <c r="I17" s="23"/>
      <c r="J17" s="23"/>
      <c r="K17" s="252"/>
      <c r="L17" s="122">
        <f t="shared" ref="L17:Q17" si="0">SUM(L15*L16)</f>
        <v>0</v>
      </c>
      <c r="M17" s="122">
        <f t="shared" si="0"/>
        <v>0</v>
      </c>
      <c r="N17" s="122">
        <f t="shared" si="0"/>
        <v>0</v>
      </c>
      <c r="O17" s="122">
        <f t="shared" si="0"/>
        <v>0</v>
      </c>
      <c r="P17" s="122">
        <f t="shared" si="0"/>
        <v>0</v>
      </c>
      <c r="Q17" s="122">
        <f t="shared" si="0"/>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
      <c r="D18"/>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D19"/>
      <c r="E19" s="228">
        <f>SUM(E9:E16)</f>
        <v>-9748560</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426"/>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SUM(E19)-SUM(B58+B59+B64+B65)</f>
        <v>-9740423</v>
      </c>
      <c r="AA20" s="68"/>
      <c r="AB20" s="24"/>
      <c r="AC20" s="24"/>
      <c r="AD20" s="24"/>
      <c r="AE20" s="24"/>
      <c r="AF20" s="24"/>
      <c r="AG20" s="24"/>
      <c r="AH20" s="24"/>
      <c r="AI20" s="26"/>
      <c r="AJ20" s="24"/>
      <c r="AK20" s="24"/>
    </row>
    <row r="21" spans="1:37" ht="12.75" customHeight="1" thickBot="1" x14ac:dyDescent="0.25">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75" customHeight="1" x14ac:dyDescent="0.2">
      <c r="A22" s="13" t="s">
        <v>132</v>
      </c>
      <c r="E22" s="22">
        <v>0</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133</v>
      </c>
      <c r="E23" s="22">
        <f>+B63</f>
        <v>0</v>
      </c>
      <c r="F23" s="13" t="s">
        <v>116</v>
      </c>
      <c r="G23" s="24"/>
      <c r="H23" s="427"/>
      <c r="I23" s="428"/>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134</v>
      </c>
      <c r="E24" s="229">
        <f>E22+E23</f>
        <v>0</v>
      </c>
      <c r="F24" s="13" t="s">
        <v>116</v>
      </c>
      <c r="I24" s="24"/>
      <c r="J24" s="24"/>
      <c r="K24" s="67" t="s">
        <v>117</v>
      </c>
      <c r="L24" s="121">
        <f t="shared" ref="L24:Q24" si="1">SUM(L19:L23)/1000000</f>
        <v>0</v>
      </c>
      <c r="M24" s="121">
        <f t="shared" si="1"/>
        <v>0</v>
      </c>
      <c r="N24" s="121">
        <f t="shared" si="1"/>
        <v>0</v>
      </c>
      <c r="O24" s="121">
        <f t="shared" si="1"/>
        <v>0</v>
      </c>
      <c r="P24" s="121">
        <f t="shared" si="1"/>
        <v>0</v>
      </c>
      <c r="Q24" s="121">
        <f t="shared" si="1"/>
        <v>0</v>
      </c>
      <c r="R24" s="125">
        <f>SUM(R19:R22)/1000000</f>
        <v>0</v>
      </c>
      <c r="S24" s="121">
        <f>SUM(S19:S23)</f>
        <v>0</v>
      </c>
      <c r="T24" s="121">
        <f>SUM(T19:T23)</f>
        <v>0</v>
      </c>
      <c r="U24" s="9"/>
      <c r="V24" s="9"/>
      <c r="W24" s="9"/>
      <c r="X24" s="9"/>
      <c r="Y24" s="24"/>
      <c r="Z24" s="9"/>
      <c r="AA24" s="9"/>
      <c r="AB24" s="9"/>
      <c r="AC24" s="9"/>
      <c r="AD24" s="9"/>
      <c r="AE24" s="9"/>
      <c r="AF24" s="9"/>
      <c r="AG24" s="9"/>
      <c r="AH24" s="9"/>
      <c r="AI24" s="27"/>
      <c r="AJ24" s="24"/>
      <c r="AK24" s="24"/>
    </row>
    <row r="25" spans="1:37" ht="12.75" customHeight="1" thickTop="1" thickBot="1" x14ac:dyDescent="0.25">
      <c r="A25" s="13" t="s">
        <v>135</v>
      </c>
      <c r="E25" s="22">
        <f>-M213</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136</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141</v>
      </c>
      <c r="E29" s="18">
        <v>0</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143</v>
      </c>
      <c r="E30" s="29">
        <f>B61</f>
        <v>0</v>
      </c>
      <c r="F30" s="13" t="s">
        <v>144</v>
      </c>
      <c r="H30" s="427"/>
      <c r="I30" s="428"/>
      <c r="J30" s="24"/>
      <c r="K30" s="67" t="s">
        <v>145</v>
      </c>
      <c r="L30" s="24"/>
      <c r="M30" s="26">
        <v>-2182705</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146</v>
      </c>
      <c r="E31" s="22">
        <f>B102</f>
        <v>0</v>
      </c>
      <c r="F31" s="13" t="s">
        <v>144</v>
      </c>
      <c r="I31" s="24"/>
      <c r="J31" s="24"/>
      <c r="K31" s="67" t="s">
        <v>147</v>
      </c>
      <c r="L31" s="24"/>
      <c r="M31" s="26">
        <v>0</v>
      </c>
      <c r="N31" s="27">
        <f>M31</f>
        <v>0</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148</v>
      </c>
      <c r="E32" s="29">
        <f>B118</f>
        <v>0</v>
      </c>
      <c r="F32" s="13" t="s">
        <v>144</v>
      </c>
      <c r="G32" s="19"/>
      <c r="K32" s="67" t="s">
        <v>149</v>
      </c>
      <c r="L32" s="24"/>
      <c r="M32" s="26">
        <v>0</v>
      </c>
      <c r="N32" s="27"/>
      <c r="O32" s="24" t="s">
        <v>142</v>
      </c>
      <c r="P32" s="24"/>
      <c r="Q32" s="24"/>
      <c r="R32" s="68"/>
      <c r="AI32" s="1"/>
    </row>
    <row r="33" spans="1:47" ht="12.75" customHeight="1" x14ac:dyDescent="0.2">
      <c r="A33" s="13" t="s">
        <v>150</v>
      </c>
      <c r="E33" s="22">
        <f>+B67</f>
        <v>0</v>
      </c>
      <c r="F33" s="13" t="s">
        <v>144</v>
      </c>
      <c r="K33" s="67"/>
      <c r="L33" s="9"/>
      <c r="M33" s="27"/>
      <c r="N33" s="27"/>
      <c r="O33" s="24"/>
      <c r="P33" s="24"/>
      <c r="Q33" s="24"/>
      <c r="R33" s="68"/>
    </row>
    <row r="34" spans="1:47" ht="12.75" customHeight="1" x14ac:dyDescent="0.2">
      <c r="A34" s="13" t="s">
        <v>151</v>
      </c>
      <c r="E34" s="22">
        <f>B69</f>
        <v>0</v>
      </c>
      <c r="F34" s="13" t="s">
        <v>144</v>
      </c>
      <c r="K34" s="67" t="s">
        <v>152</v>
      </c>
      <c r="L34" s="24"/>
      <c r="M34" s="27">
        <f>B76</f>
        <v>-7565855</v>
      </c>
      <c r="N34" s="27">
        <f>B63</f>
        <v>0</v>
      </c>
      <c r="O34" s="24" t="s">
        <v>153</v>
      </c>
      <c r="P34" s="24"/>
      <c r="Q34" s="24"/>
      <c r="R34" s="68"/>
    </row>
    <row r="35" spans="1:47" ht="12.75" customHeight="1" x14ac:dyDescent="0.2">
      <c r="A35" s="13" t="s">
        <v>154</v>
      </c>
      <c r="E35" s="22">
        <f>F237</f>
        <v>0</v>
      </c>
      <c r="F35" s="13" t="s">
        <v>144</v>
      </c>
      <c r="K35" s="67"/>
      <c r="L35" s="24"/>
      <c r="M35" s="27"/>
      <c r="N35" s="27"/>
      <c r="O35" s="24"/>
      <c r="P35" s="24"/>
      <c r="Q35" s="24"/>
      <c r="R35" s="68"/>
    </row>
    <row r="36" spans="1:47" ht="12.75" customHeight="1" thickBot="1" x14ac:dyDescent="0.25">
      <c r="A36" s="17" t="s">
        <v>155</v>
      </c>
      <c r="E36" s="228">
        <f>SUM(E29:E35)</f>
        <v>0</v>
      </c>
      <c r="K36" s="67" t="s">
        <v>156</v>
      </c>
      <c r="L36" s="9"/>
      <c r="M36" s="27">
        <f>SUM(M30:M34)</f>
        <v>-9748560</v>
      </c>
      <c r="N36" s="27">
        <f>SUM(N30:N34)</f>
        <v>0</v>
      </c>
      <c r="O36" s="24"/>
      <c r="P36" s="24"/>
      <c r="Q36" s="24"/>
      <c r="R36" s="68"/>
    </row>
    <row r="37" spans="1:47" ht="12.75" customHeight="1" thickTop="1" x14ac:dyDescent="0.2">
      <c r="K37" s="206"/>
      <c r="L37" s="9"/>
      <c r="M37" s="9"/>
      <c r="N37" s="9"/>
      <c r="O37" s="24"/>
      <c r="P37" s="24"/>
      <c r="Q37" s="24"/>
      <c r="R37" s="68"/>
    </row>
    <row r="38" spans="1:47" ht="12.75" customHeight="1" thickBot="1" x14ac:dyDescent="0.3">
      <c r="A38" s="16" t="s">
        <v>157</v>
      </c>
      <c r="C38" s="20"/>
      <c r="E38" s="228">
        <f>+E36+E26+E19</f>
        <v>-9748560</v>
      </c>
      <c r="K38" s="67"/>
      <c r="L38" s="207" t="s">
        <v>158</v>
      </c>
      <c r="M38" s="208">
        <f>M36-E38</f>
        <v>0</v>
      </c>
      <c r="N38" s="209">
        <f>+N36-E26</f>
        <v>0</v>
      </c>
      <c r="O38" s="24"/>
      <c r="P38" s="24"/>
      <c r="Q38" s="24"/>
      <c r="R38" s="68"/>
      <c r="AN38" s="1"/>
      <c r="AO38" s="1"/>
      <c r="AP38" s="1"/>
      <c r="AQ38" s="1"/>
      <c r="AR38" s="1"/>
      <c r="AS38" s="1"/>
    </row>
    <row r="39" spans="1:47" ht="12.75" customHeight="1" thickTop="1" thickBot="1" x14ac:dyDescent="0.25">
      <c r="K39" s="74"/>
      <c r="L39" s="131"/>
      <c r="M39" s="131"/>
      <c r="N39" s="133"/>
      <c r="O39" s="131"/>
      <c r="P39" s="131"/>
      <c r="Q39" s="131"/>
      <c r="R39" s="132"/>
      <c r="AJ39" s="1"/>
      <c r="AK39" s="1"/>
      <c r="AN39" s="1"/>
      <c r="AO39" s="1"/>
      <c r="AP39" s="1"/>
      <c r="AQ39" s="1"/>
      <c r="AR39" s="1"/>
      <c r="AS39" s="1"/>
    </row>
    <row r="40" spans="1:47" ht="12.75" customHeight="1" x14ac:dyDescent="0.2">
      <c r="K40" s="24"/>
      <c r="L40" s="24"/>
      <c r="M40" s="24"/>
      <c r="N40" s="24"/>
      <c r="O40" s="24"/>
      <c r="P40" s="24"/>
      <c r="AJ40" s="1"/>
      <c r="AK40" s="1"/>
      <c r="AN40" s="1"/>
      <c r="AO40" s="1"/>
      <c r="AP40" s="1"/>
      <c r="AQ40" s="1"/>
      <c r="AR40" s="1"/>
      <c r="AS40" s="1"/>
    </row>
    <row r="41" spans="1:47" ht="12.75" customHeight="1" x14ac:dyDescent="0.25">
      <c r="A41" s="56" t="s">
        <v>159</v>
      </c>
      <c r="B41" s="57"/>
      <c r="K41" s="1"/>
      <c r="L41" s="1"/>
      <c r="M41" s="43"/>
      <c r="N41" s="1"/>
      <c r="O41" s="1"/>
      <c r="P41" s="1"/>
      <c r="AJ41" s="1"/>
      <c r="AK41" s="1"/>
      <c r="AN41" s="1"/>
      <c r="AO41" s="1"/>
      <c r="AP41" s="1"/>
      <c r="AQ41" s="1"/>
      <c r="AR41" s="1"/>
      <c r="AS41" s="1"/>
    </row>
    <row r="42" spans="1:47" ht="12.75" customHeight="1" x14ac:dyDescent="0.2">
      <c r="B42" s="1"/>
      <c r="C42" s="19"/>
      <c r="AI42" s="106" t="s">
        <v>160</v>
      </c>
      <c r="AJ42" s="107"/>
      <c r="AK42" s="1"/>
      <c r="AN42" s="1"/>
      <c r="AO42" s="1"/>
      <c r="AP42" s="1"/>
      <c r="AQ42" s="1"/>
      <c r="AR42" s="1"/>
      <c r="AS42" s="1"/>
    </row>
    <row r="43" spans="1:47" ht="12.75" customHeight="1" x14ac:dyDescent="0.2">
      <c r="A43" s="30"/>
      <c r="B43" s="31" t="s">
        <v>161</v>
      </c>
      <c r="C43" s="32">
        <f t="shared" ref="C43:H43" si="2">SUM(C47:C76)-C61-C68-C69</f>
        <v>2042967</v>
      </c>
      <c r="D43" s="32">
        <f t="shared" si="2"/>
        <v>-2866173</v>
      </c>
      <c r="E43" s="32">
        <f t="shared" si="2"/>
        <v>-1750</v>
      </c>
      <c r="F43" s="32">
        <f t="shared" si="2"/>
        <v>0</v>
      </c>
      <c r="G43" s="32">
        <f t="shared" si="2"/>
        <v>0</v>
      </c>
      <c r="H43" s="32">
        <f t="shared" si="2"/>
        <v>-1114873</v>
      </c>
      <c r="I43" s="32">
        <f>SUM(I47:I76)-N61-I68-I69</f>
        <v>-970913</v>
      </c>
      <c r="J43" s="32">
        <f t="shared" ref="J43:AA43" si="3">SUM(J47:J76)-J61-J68-J69</f>
        <v>-1580797</v>
      </c>
      <c r="K43" s="32">
        <f t="shared" si="3"/>
        <v>-362168</v>
      </c>
      <c r="L43" s="32">
        <f t="shared" si="3"/>
        <v>194499</v>
      </c>
      <c r="M43" s="32">
        <f t="shared" si="3"/>
        <v>0</v>
      </c>
      <c r="N43" s="32">
        <f t="shared" si="3"/>
        <v>0</v>
      </c>
      <c r="O43" s="32">
        <f t="shared" si="3"/>
        <v>-544356</v>
      </c>
      <c r="P43" s="32">
        <f t="shared" si="3"/>
        <v>419308</v>
      </c>
      <c r="Q43" s="32">
        <f t="shared" si="3"/>
        <v>-1146924</v>
      </c>
      <c r="R43" s="32">
        <f t="shared" si="3"/>
        <v>720479</v>
      </c>
      <c r="S43" s="32">
        <f t="shared" si="3"/>
        <v>-2355154</v>
      </c>
      <c r="T43" s="32">
        <f t="shared" si="3"/>
        <v>0</v>
      </c>
      <c r="U43" s="32">
        <f t="shared" si="3"/>
        <v>0</v>
      </c>
      <c r="V43" s="32">
        <f t="shared" si="3"/>
        <v>0</v>
      </c>
      <c r="W43" s="32">
        <f t="shared" si="3"/>
        <v>0</v>
      </c>
      <c r="X43" s="32">
        <f t="shared" si="3"/>
        <v>0</v>
      </c>
      <c r="Y43" s="32">
        <f t="shared" si="3"/>
        <v>0</v>
      </c>
      <c r="Z43" s="32">
        <f t="shared" si="3"/>
        <v>0</v>
      </c>
      <c r="AA43" s="32">
        <f t="shared" si="3"/>
        <v>0</v>
      </c>
      <c r="AB43" s="32">
        <f>SUM(AB47:AB76)-AB60-AB68-AB69</f>
        <v>0</v>
      </c>
      <c r="AC43" s="32">
        <f>SUM(AC47:AC76)-AC61-AC68-AC69</f>
        <v>0</v>
      </c>
      <c r="AD43" s="32">
        <f>SUM(AD47:AD76)-AD61-AD68-AD69</f>
        <v>0</v>
      </c>
      <c r="AE43" s="32">
        <f>SUM(AE47:AE76)-AE60-AE68-AE69</f>
        <v>0</v>
      </c>
      <c r="AF43" s="32">
        <f>SUM(AF47:AF76)-AF61-AF68-AF69</f>
        <v>0</v>
      </c>
      <c r="AG43" s="32">
        <f>SUM(AG47:AG76)-AG61-AG68-AG69</f>
        <v>0</v>
      </c>
      <c r="AH43" s="1"/>
      <c r="AI43" s="108" t="s">
        <v>162</v>
      </c>
      <c r="AJ43" s="109" t="s">
        <v>163</v>
      </c>
      <c r="AK43" s="1"/>
      <c r="AL43" s="33"/>
      <c r="AN43" s="1"/>
      <c r="AO43" s="1"/>
      <c r="AP43" s="1"/>
      <c r="AQ43" s="1"/>
      <c r="AR43" s="1"/>
      <c r="AS43" s="1"/>
    </row>
    <row r="44" spans="1:47" s="99" customFormat="1" ht="15.75" customHeight="1" x14ac:dyDescent="0.25">
      <c r="A44" s="216" t="s">
        <v>164</v>
      </c>
      <c r="B44" s="116">
        <f>B4</f>
        <v>36831</v>
      </c>
      <c r="C44" s="104">
        <f>B44</f>
        <v>36831</v>
      </c>
      <c r="D44" s="104">
        <f t="shared" ref="D44:AG44" si="4">C44+1</f>
        <v>36832</v>
      </c>
      <c r="E44" s="104">
        <f t="shared" si="4"/>
        <v>36833</v>
      </c>
      <c r="F44" s="104">
        <f t="shared" si="4"/>
        <v>36834</v>
      </c>
      <c r="G44" s="104">
        <f t="shared" si="4"/>
        <v>36835</v>
      </c>
      <c r="H44" s="104">
        <f t="shared" si="4"/>
        <v>36836</v>
      </c>
      <c r="I44" s="104">
        <f t="shared" si="4"/>
        <v>36837</v>
      </c>
      <c r="J44" s="104">
        <f t="shared" si="4"/>
        <v>36838</v>
      </c>
      <c r="K44" s="104">
        <f t="shared" si="4"/>
        <v>36839</v>
      </c>
      <c r="L44" s="104">
        <f t="shared" si="4"/>
        <v>36840</v>
      </c>
      <c r="M44" s="104">
        <f t="shared" si="4"/>
        <v>36841</v>
      </c>
      <c r="N44" s="104">
        <f t="shared" si="4"/>
        <v>36842</v>
      </c>
      <c r="O44" s="104">
        <f t="shared" si="4"/>
        <v>36843</v>
      </c>
      <c r="P44" s="104">
        <f t="shared" si="4"/>
        <v>36844</v>
      </c>
      <c r="Q44" s="104">
        <f t="shared" si="4"/>
        <v>36845</v>
      </c>
      <c r="R44" s="104">
        <f t="shared" si="4"/>
        <v>36846</v>
      </c>
      <c r="S44" s="104">
        <f t="shared" si="4"/>
        <v>36847</v>
      </c>
      <c r="T44" s="104">
        <f t="shared" si="4"/>
        <v>36848</v>
      </c>
      <c r="U44" s="104">
        <f t="shared" si="4"/>
        <v>36849</v>
      </c>
      <c r="V44" s="104">
        <f t="shared" si="4"/>
        <v>36850</v>
      </c>
      <c r="W44" s="104">
        <f t="shared" si="4"/>
        <v>36851</v>
      </c>
      <c r="X44" s="104">
        <f t="shared" si="4"/>
        <v>36852</v>
      </c>
      <c r="Y44" s="104">
        <f t="shared" si="4"/>
        <v>36853</v>
      </c>
      <c r="Z44" s="104">
        <f t="shared" si="4"/>
        <v>36854</v>
      </c>
      <c r="AA44" s="104">
        <f t="shared" si="4"/>
        <v>36855</v>
      </c>
      <c r="AB44" s="104">
        <f t="shared" si="4"/>
        <v>36856</v>
      </c>
      <c r="AC44" s="104">
        <f t="shared" si="4"/>
        <v>36857</v>
      </c>
      <c r="AD44" s="104">
        <f t="shared" si="4"/>
        <v>36858</v>
      </c>
      <c r="AE44" s="104">
        <f t="shared" si="4"/>
        <v>36859</v>
      </c>
      <c r="AF44" s="104">
        <f t="shared" si="4"/>
        <v>36860</v>
      </c>
      <c r="AG44" s="104">
        <f t="shared" si="4"/>
        <v>36861</v>
      </c>
      <c r="AI44" s="110">
        <v>1</v>
      </c>
      <c r="AJ44" s="111" t="s">
        <v>165</v>
      </c>
      <c r="AL44" s="100"/>
    </row>
    <row r="45" spans="1:47" ht="12.75" customHeight="1" x14ac:dyDescent="0.25">
      <c r="A45" s="34"/>
      <c r="B45" s="34"/>
      <c r="C45" s="105" t="str">
        <f t="shared" ref="C45:AG45" si="5">LOOKUP((WEEKDAY(C44,1)),$AI$44:$AI$50,$AJ$44:$AJ$50)</f>
        <v>W</v>
      </c>
      <c r="D45" s="105" t="str">
        <f t="shared" si="5"/>
        <v>R</v>
      </c>
      <c r="E45" s="105" t="str">
        <f t="shared" si="5"/>
        <v>F</v>
      </c>
      <c r="F45" s="105" t="str">
        <f t="shared" si="5"/>
        <v>S</v>
      </c>
      <c r="G45" s="105" t="str">
        <f t="shared" si="5"/>
        <v>S</v>
      </c>
      <c r="H45" s="105" t="str">
        <f t="shared" si="5"/>
        <v>M</v>
      </c>
      <c r="I45" s="105" t="str">
        <f t="shared" si="5"/>
        <v>T</v>
      </c>
      <c r="J45" s="105" t="str">
        <f t="shared" si="5"/>
        <v>W</v>
      </c>
      <c r="K45" s="105" t="str">
        <f t="shared" si="5"/>
        <v>R</v>
      </c>
      <c r="L45" s="105" t="str">
        <f t="shared" si="5"/>
        <v>F</v>
      </c>
      <c r="M45" s="105" t="str">
        <f t="shared" si="5"/>
        <v>S</v>
      </c>
      <c r="N45" s="105" t="str">
        <f t="shared" si="5"/>
        <v>S</v>
      </c>
      <c r="O45" s="105" t="str">
        <f t="shared" si="5"/>
        <v>M</v>
      </c>
      <c r="P45" s="105" t="str">
        <f t="shared" si="5"/>
        <v>T</v>
      </c>
      <c r="Q45" s="105" t="str">
        <f t="shared" si="5"/>
        <v>W</v>
      </c>
      <c r="R45" s="105" t="str">
        <f t="shared" si="5"/>
        <v>R</v>
      </c>
      <c r="S45" s="105" t="str">
        <f t="shared" si="5"/>
        <v>F</v>
      </c>
      <c r="T45" s="105" t="str">
        <f t="shared" si="5"/>
        <v>S</v>
      </c>
      <c r="U45" s="105" t="str">
        <f t="shared" si="5"/>
        <v>S</v>
      </c>
      <c r="V45" s="105" t="str">
        <f t="shared" si="5"/>
        <v>M</v>
      </c>
      <c r="W45" s="105" t="str">
        <f t="shared" si="5"/>
        <v>T</v>
      </c>
      <c r="X45" s="105" t="str">
        <f t="shared" si="5"/>
        <v>W</v>
      </c>
      <c r="Y45" s="105" t="str">
        <f t="shared" si="5"/>
        <v>R</v>
      </c>
      <c r="Z45" s="105" t="str">
        <f t="shared" si="5"/>
        <v>F</v>
      </c>
      <c r="AA45" s="105" t="str">
        <f t="shared" si="5"/>
        <v>S</v>
      </c>
      <c r="AB45" s="105" t="str">
        <f t="shared" si="5"/>
        <v>S</v>
      </c>
      <c r="AC45" s="105" t="str">
        <f t="shared" si="5"/>
        <v>M</v>
      </c>
      <c r="AD45" s="105" t="str">
        <f t="shared" si="5"/>
        <v>T</v>
      </c>
      <c r="AE45" s="105" t="str">
        <f t="shared" si="5"/>
        <v>W</v>
      </c>
      <c r="AF45" s="105" t="str">
        <f t="shared" si="5"/>
        <v>R</v>
      </c>
      <c r="AG45" s="105" t="str">
        <f t="shared" si="5"/>
        <v>F</v>
      </c>
      <c r="AH45" s="1"/>
      <c r="AI45" s="112">
        <v>2</v>
      </c>
      <c r="AJ45" s="113" t="s">
        <v>166</v>
      </c>
      <c r="AK45" s="1"/>
      <c r="AL45" s="24"/>
      <c r="AN45" s="1"/>
      <c r="AO45" s="1"/>
      <c r="AP45" s="1"/>
      <c r="AQ45" s="1"/>
      <c r="AR45" s="1"/>
      <c r="AS45" s="1"/>
    </row>
    <row r="46" spans="1:47" ht="12.75" customHeight="1" thickBot="1" x14ac:dyDescent="0.25">
      <c r="A46" s="217"/>
      <c r="B46" s="35" t="s">
        <v>167</v>
      </c>
      <c r="C46" s="824"/>
      <c r="D46" s="438"/>
      <c r="E46" s="280"/>
      <c r="F46" s="280"/>
      <c r="G46" s="280"/>
      <c r="H46" s="280"/>
      <c r="I46" s="280"/>
      <c r="J46" s="280"/>
      <c r="K46" s="280"/>
      <c r="L46" s="280"/>
      <c r="M46" s="280"/>
      <c r="N46" s="280"/>
      <c r="O46" s="280"/>
      <c r="P46" s="280"/>
      <c r="Q46" s="280"/>
      <c r="R46" s="280"/>
      <c r="S46" s="280"/>
      <c r="T46" s="824"/>
      <c r="U46" s="280"/>
      <c r="V46" s="280"/>
      <c r="W46" s="280"/>
      <c r="X46" s="280"/>
      <c r="Y46" s="280"/>
      <c r="Z46" s="365"/>
      <c r="AA46" s="280"/>
      <c r="AB46" s="280"/>
      <c r="AC46" s="365"/>
      <c r="AD46" s="280"/>
      <c r="AE46" s="365"/>
      <c r="AF46" s="280"/>
      <c r="AG46" s="365"/>
      <c r="AH46" s="1"/>
      <c r="AI46" s="112">
        <v>3</v>
      </c>
      <c r="AJ46" s="113" t="s">
        <v>168</v>
      </c>
      <c r="AK46" s="1"/>
      <c r="AL46" s="24"/>
      <c r="AN46" s="1"/>
      <c r="AO46" s="1"/>
      <c r="AP46" s="1"/>
      <c r="AQ46" s="1"/>
      <c r="AR46" s="1"/>
      <c r="AS46" s="1"/>
    </row>
    <row r="47" spans="1:47" ht="12.75" customHeight="1" thickTop="1" x14ac:dyDescent="0.2">
      <c r="A47" s="22" t="s">
        <v>169</v>
      </c>
      <c r="B47" s="39">
        <f>SUM(C47:AG47)</f>
        <v>-3144036</v>
      </c>
      <c r="C47" s="45">
        <f>27+652348</f>
        <v>652375</v>
      </c>
      <c r="D47" s="20">
        <f>12-2858727</f>
        <v>-2858715</v>
      </c>
      <c r="E47" s="20">
        <v>22</v>
      </c>
      <c r="F47" s="20"/>
      <c r="G47" s="20"/>
      <c r="H47" s="20">
        <v>-9</v>
      </c>
      <c r="I47" s="20">
        <v>-219039</v>
      </c>
      <c r="J47" s="20">
        <v>-243198</v>
      </c>
      <c r="K47" s="20">
        <v>-101724</v>
      </c>
      <c r="L47" s="20">
        <v>-10518</v>
      </c>
      <c r="M47" s="20"/>
      <c r="N47" s="20"/>
      <c r="O47" s="20">
        <v>-230331</v>
      </c>
      <c r="P47" s="20">
        <f>-303197+171194</f>
        <v>-132003</v>
      </c>
      <c r="Q47" s="20">
        <v>-475385</v>
      </c>
      <c r="R47" s="20">
        <v>1345000</v>
      </c>
      <c r="S47" s="20">
        <v>-870511</v>
      </c>
      <c r="T47" s="45"/>
      <c r="U47" s="20"/>
      <c r="V47" s="20"/>
      <c r="W47" s="20"/>
      <c r="X47" s="20"/>
      <c r="Y47" s="20"/>
      <c r="Z47" s="20"/>
      <c r="AA47" s="20"/>
      <c r="AB47" s="20"/>
      <c r="AC47" s="20"/>
      <c r="AD47" s="20"/>
      <c r="AE47" s="20"/>
      <c r="AF47" s="20"/>
      <c r="AG47" s="20"/>
      <c r="AH47" s="1"/>
      <c r="AI47" s="112">
        <v>4</v>
      </c>
      <c r="AJ47" s="113" t="s">
        <v>170</v>
      </c>
      <c r="AK47" s="1"/>
      <c r="AL47" s="41"/>
      <c r="AM47" s="42"/>
      <c r="AN47" s="43"/>
      <c r="AO47" s="1"/>
      <c r="AP47" s="1"/>
      <c r="AQ47" s="1"/>
      <c r="AR47" s="1"/>
      <c r="AS47" s="1"/>
    </row>
    <row r="48" spans="1:47" ht="12.75" customHeight="1" x14ac:dyDescent="0.2">
      <c r="A48" s="44" t="s">
        <v>171</v>
      </c>
      <c r="B48" s="39">
        <f>SUM(C48:AG48)</f>
        <v>-4703036</v>
      </c>
      <c r="C48" s="45">
        <v>1365642</v>
      </c>
      <c r="D48" s="20">
        <v>-242893</v>
      </c>
      <c r="E48" s="20">
        <v>5398</v>
      </c>
      <c r="F48" s="20"/>
      <c r="G48" s="20"/>
      <c r="H48" s="20">
        <v>-1116296</v>
      </c>
      <c r="I48" s="20">
        <v>-740114</v>
      </c>
      <c r="J48" s="20">
        <v>-1320780</v>
      </c>
      <c r="K48" s="20">
        <v>-136944</v>
      </c>
      <c r="L48" s="20">
        <v>140240</v>
      </c>
      <c r="M48" s="20"/>
      <c r="N48" s="20"/>
      <c r="O48" s="20">
        <v>-313397</v>
      </c>
      <c r="P48" s="20">
        <v>199030</v>
      </c>
      <c r="Q48" s="20">
        <v>-397597</v>
      </c>
      <c r="R48" s="20">
        <v>-612061</v>
      </c>
      <c r="S48" s="20">
        <v>-1533264</v>
      </c>
      <c r="T48" s="45"/>
      <c r="U48" s="20"/>
      <c r="V48" s="20"/>
      <c r="W48" s="20"/>
      <c r="X48" s="20"/>
      <c r="Y48" s="20"/>
      <c r="Z48" s="20"/>
      <c r="AA48" s="20"/>
      <c r="AB48" s="20"/>
      <c r="AC48" s="20"/>
      <c r="AD48" s="20"/>
      <c r="AE48" s="20"/>
      <c r="AF48" s="20"/>
      <c r="AG48" s="20"/>
      <c r="AH48" s="1"/>
      <c r="AI48" s="112">
        <v>5</v>
      </c>
      <c r="AJ48" s="113" t="s">
        <v>172</v>
      </c>
      <c r="AK48" s="1"/>
      <c r="AL48" s="41"/>
      <c r="AM48" s="45"/>
      <c r="AN48" s="47"/>
      <c r="AO48" s="41"/>
      <c r="AP48" s="41"/>
      <c r="AQ48" s="41"/>
      <c r="AR48" s="41"/>
      <c r="AS48" s="41"/>
      <c r="AT48" s="46"/>
      <c r="AU48" s="46"/>
    </row>
    <row r="49" spans="1:50" ht="12.75" hidden="1" customHeight="1" x14ac:dyDescent="0.2">
      <c r="A49" s="44" t="s">
        <v>173</v>
      </c>
      <c r="B49" s="39">
        <f>SUM(C49:AG49)</f>
        <v>0</v>
      </c>
      <c r="C49" s="45"/>
      <c r="D49" s="20"/>
      <c r="E49" s="20"/>
      <c r="F49" s="20"/>
      <c r="G49" s="20"/>
      <c r="H49" s="20"/>
      <c r="I49" s="20"/>
      <c r="J49" s="20"/>
      <c r="K49" s="20"/>
      <c r="L49" s="20"/>
      <c r="M49" s="20"/>
      <c r="N49" s="20"/>
      <c r="O49" s="20"/>
      <c r="P49" s="20"/>
      <c r="Q49" s="20"/>
      <c r="R49" s="20"/>
      <c r="S49" s="20"/>
      <c r="T49" s="45"/>
      <c r="U49" s="20"/>
      <c r="V49" s="20"/>
      <c r="W49" s="20"/>
      <c r="X49" s="20"/>
      <c r="Y49" s="20"/>
      <c r="Z49" s="20"/>
      <c r="AA49" s="20"/>
      <c r="AB49" s="20"/>
      <c r="AC49" s="20"/>
      <c r="AD49" s="20"/>
      <c r="AE49" s="20"/>
      <c r="AF49" s="20"/>
      <c r="AG49" s="20"/>
      <c r="AH49" s="1"/>
      <c r="AI49" s="112">
        <v>6</v>
      </c>
      <c r="AJ49" s="113" t="s">
        <v>174</v>
      </c>
      <c r="AK49" s="1"/>
      <c r="AL49" s="41"/>
      <c r="AM49" s="45"/>
      <c r="AN49" s="47"/>
      <c r="AO49" s="41"/>
      <c r="AP49" s="41"/>
      <c r="AQ49" s="41"/>
      <c r="AR49" s="41"/>
      <c r="AS49" s="41"/>
      <c r="AT49" s="46"/>
      <c r="AU49" s="46"/>
    </row>
    <row r="50" spans="1:50" ht="12.75" hidden="1" customHeight="1" x14ac:dyDescent="0.2">
      <c r="A50" s="44" t="s">
        <v>175</v>
      </c>
      <c r="B50" s="39">
        <f>SUM(C50:AG50)</f>
        <v>0</v>
      </c>
      <c r="C50" s="45"/>
      <c r="D50" s="20"/>
      <c r="E50" s="20"/>
      <c r="F50" s="20"/>
      <c r="G50" s="20"/>
      <c r="H50" s="20"/>
      <c r="I50" s="20"/>
      <c r="J50" s="20"/>
      <c r="K50" s="20"/>
      <c r="L50" s="20"/>
      <c r="M50" s="20"/>
      <c r="N50" s="20"/>
      <c r="O50" s="20"/>
      <c r="P50" s="20"/>
      <c r="Q50" s="20"/>
      <c r="R50" s="20"/>
      <c r="S50" s="20"/>
      <c r="T50" s="45"/>
      <c r="U50" s="20"/>
      <c r="V50" s="20"/>
      <c r="W50" s="20"/>
      <c r="X50" s="20"/>
      <c r="Y50" s="20"/>
      <c r="Z50" s="20"/>
      <c r="AA50" s="20"/>
      <c r="AB50" s="20"/>
      <c r="AC50" s="20"/>
      <c r="AD50" s="20"/>
      <c r="AE50" s="20"/>
      <c r="AF50" s="20"/>
      <c r="AG50" s="20"/>
      <c r="AH50" s="1"/>
      <c r="AI50" s="114">
        <v>7</v>
      </c>
      <c r="AJ50" s="115" t="s">
        <v>165</v>
      </c>
      <c r="AK50" s="1"/>
      <c r="AL50" s="48"/>
      <c r="AM50" s="48"/>
      <c r="AN50" s="47"/>
      <c r="AO50" s="41"/>
      <c r="AP50" s="41"/>
      <c r="AQ50" s="41"/>
      <c r="AR50" s="41"/>
      <c r="AS50" s="41"/>
      <c r="AT50" s="46"/>
      <c r="AU50" s="46"/>
    </row>
    <row r="51" spans="1:50" ht="12.75" customHeight="1" x14ac:dyDescent="0.2">
      <c r="A51" s="44" t="s">
        <v>176</v>
      </c>
      <c r="B51" s="39">
        <f>SUM(C51:AG51)+'[1]Price - East '!B51</f>
        <v>-66338</v>
      </c>
      <c r="C51" s="45">
        <v>400</v>
      </c>
      <c r="D51" s="45">
        <v>-15</v>
      </c>
      <c r="E51" s="45">
        <v>-20</v>
      </c>
      <c r="F51" s="20"/>
      <c r="G51" s="20"/>
      <c r="H51" s="20">
        <v>-43</v>
      </c>
      <c r="I51" s="20">
        <v>-2484</v>
      </c>
      <c r="J51" s="20">
        <v>-9272</v>
      </c>
      <c r="K51" s="20">
        <v>-19269</v>
      </c>
      <c r="L51" s="20">
        <v>17612</v>
      </c>
      <c r="M51" s="20"/>
      <c r="N51" s="20"/>
      <c r="O51" s="20">
        <v>-5165</v>
      </c>
      <c r="P51" s="20">
        <v>-4820</v>
      </c>
      <c r="Q51" s="20">
        <v>-24991</v>
      </c>
      <c r="R51" s="20">
        <v>-3969</v>
      </c>
      <c r="S51" s="20">
        <v>-14302</v>
      </c>
      <c r="T51" s="45"/>
      <c r="U51" s="20"/>
      <c r="V51" s="20"/>
      <c r="W51" s="20"/>
      <c r="X51" s="20"/>
      <c r="Y51" s="20"/>
      <c r="Z51" s="20"/>
      <c r="AA51" s="20"/>
      <c r="AB51" s="20"/>
      <c r="AC51" s="20"/>
      <c r="AD51" s="20"/>
      <c r="AE51" s="20"/>
      <c r="AF51" s="20"/>
      <c r="AG51" s="20"/>
      <c r="AH51" s="1"/>
      <c r="AI51" s="46"/>
      <c r="AJ51" s="1"/>
      <c r="AK51" s="1"/>
      <c r="AL51" s="48"/>
      <c r="AM51" s="42"/>
      <c r="AN51" s="43"/>
      <c r="AO51" s="1"/>
      <c r="AP51" s="1"/>
      <c r="AQ51" s="1"/>
      <c r="AR51" s="1"/>
      <c r="AS51" s="1"/>
    </row>
    <row r="52" spans="1:50" ht="12.75" hidden="1" customHeight="1" x14ac:dyDescent="0.2">
      <c r="A52" s="44" t="s">
        <v>177</v>
      </c>
      <c r="B52" s="39">
        <f t="shared" ref="B52:B57" si="6">SUM(C52:AG52)</f>
        <v>0</v>
      </c>
      <c r="C52" s="45"/>
      <c r="D52" s="20"/>
      <c r="E52" s="20"/>
      <c r="F52" s="20"/>
      <c r="G52" s="20"/>
      <c r="H52" s="20"/>
      <c r="I52" s="20"/>
      <c r="J52" s="20"/>
      <c r="K52" s="20"/>
      <c r="L52" s="20"/>
      <c r="M52" s="20"/>
      <c r="N52" s="20"/>
      <c r="O52" s="20"/>
      <c r="P52" s="20"/>
      <c r="Q52" s="20"/>
      <c r="R52" s="20"/>
      <c r="S52" s="20"/>
      <c r="T52" s="45"/>
      <c r="U52" s="20"/>
      <c r="V52" s="20"/>
      <c r="W52" s="20"/>
      <c r="X52" s="20"/>
      <c r="Y52" s="20"/>
      <c r="Z52" s="20"/>
      <c r="AA52" s="20"/>
      <c r="AB52" s="20"/>
      <c r="AC52" s="20"/>
      <c r="AD52" s="20"/>
      <c r="AE52" s="20"/>
      <c r="AF52" s="20"/>
      <c r="AG52" s="20"/>
      <c r="AH52" s="1"/>
      <c r="AI52" s="46"/>
      <c r="AJ52" s="1"/>
      <c r="AK52" s="1"/>
      <c r="AL52" s="48"/>
      <c r="AM52" s="42"/>
      <c r="AN52" s="43"/>
      <c r="AO52" s="1"/>
      <c r="AP52" s="1"/>
      <c r="AQ52" s="1"/>
      <c r="AR52" s="1"/>
      <c r="AS52" s="1"/>
    </row>
    <row r="53" spans="1:50" ht="12.75" customHeight="1" x14ac:dyDescent="0.2">
      <c r="A53" s="22" t="s">
        <v>178</v>
      </c>
      <c r="B53" s="39">
        <f t="shared" si="6"/>
        <v>223885</v>
      </c>
      <c r="C53" s="45">
        <v>14360</v>
      </c>
      <c r="D53" s="20">
        <v>235076</v>
      </c>
      <c r="E53" s="20">
        <v>-7087</v>
      </c>
      <c r="F53" s="20"/>
      <c r="G53" s="20"/>
      <c r="H53" s="20">
        <v>944</v>
      </c>
      <c r="I53" s="20">
        <v>-6704</v>
      </c>
      <c r="J53" s="20">
        <v>0</v>
      </c>
      <c r="K53" s="20">
        <v>-102233</v>
      </c>
      <c r="L53" s="20">
        <v>48397</v>
      </c>
      <c r="M53" s="20"/>
      <c r="N53" s="20"/>
      <c r="O53" s="20"/>
      <c r="P53" s="20">
        <v>271113</v>
      </c>
      <c r="Q53" s="20">
        <v>-239053</v>
      </c>
      <c r="R53" s="20"/>
      <c r="S53" s="20">
        <v>9072</v>
      </c>
      <c r="T53" s="45"/>
      <c r="U53" s="20"/>
      <c r="V53" s="20"/>
      <c r="W53" s="20"/>
      <c r="X53" s="20"/>
      <c r="Y53" s="20"/>
      <c r="Z53" s="20"/>
      <c r="AA53" s="20"/>
      <c r="AB53" s="20"/>
      <c r="AC53" s="20"/>
      <c r="AD53" s="20"/>
      <c r="AE53" s="20"/>
      <c r="AF53" s="20"/>
      <c r="AG53" s="20"/>
      <c r="AH53" s="1"/>
      <c r="AJ53" s="1"/>
      <c r="AK53" s="1"/>
      <c r="AL53" s="41"/>
      <c r="AM53" s="42"/>
      <c r="AN53" s="43"/>
      <c r="AO53" s="1"/>
      <c r="AP53" s="1"/>
      <c r="AQ53" s="1"/>
      <c r="AR53" s="1"/>
      <c r="AS53" s="1"/>
    </row>
    <row r="54" spans="1:50" ht="12.75" customHeight="1" x14ac:dyDescent="0.2">
      <c r="A54" s="22" t="s">
        <v>179</v>
      </c>
      <c r="B54" s="39">
        <f t="shared" si="6"/>
        <v>0</v>
      </c>
      <c r="C54" s="45"/>
      <c r="D54" s="20"/>
      <c r="E54" s="45"/>
      <c r="F54" s="20"/>
      <c r="G54" s="20"/>
      <c r="H54" s="20"/>
      <c r="I54" s="20"/>
      <c r="J54" s="20"/>
      <c r="K54" s="20"/>
      <c r="L54" s="20"/>
      <c r="M54" s="20"/>
      <c r="N54" s="20"/>
      <c r="O54" s="20"/>
      <c r="P54" s="20"/>
      <c r="Q54" s="20"/>
      <c r="R54" s="20"/>
      <c r="S54" s="20"/>
      <c r="T54" s="45"/>
      <c r="U54" s="20"/>
      <c r="V54" s="20"/>
      <c r="W54" s="20"/>
      <c r="X54" s="20"/>
      <c r="Y54" s="20"/>
      <c r="Z54" s="20"/>
      <c r="AA54" s="20"/>
      <c r="AB54" s="20"/>
      <c r="AC54" s="20"/>
      <c r="AD54" s="20"/>
      <c r="AE54" s="20"/>
      <c r="AF54" s="20"/>
      <c r="AG54" s="20"/>
      <c r="AH54" s="1"/>
      <c r="AJ54" s="1"/>
      <c r="AK54" s="1"/>
      <c r="AL54" s="41"/>
      <c r="AM54" s="42"/>
      <c r="AN54" s="43"/>
      <c r="AO54" s="1"/>
      <c r="AP54" s="1"/>
      <c r="AQ54" s="1"/>
      <c r="AR54" s="1"/>
      <c r="AS54" s="1"/>
    </row>
    <row r="55" spans="1:50" ht="12.75" customHeight="1" x14ac:dyDescent="0.2">
      <c r="A55" s="22" t="s">
        <v>180</v>
      </c>
      <c r="B55" s="39">
        <f t="shared" si="6"/>
        <v>19119</v>
      </c>
      <c r="C55" s="45"/>
      <c r="D55" s="20"/>
      <c r="E55" s="20"/>
      <c r="F55" s="20"/>
      <c r="G55" s="20"/>
      <c r="H55" s="20"/>
      <c r="I55" s="20"/>
      <c r="J55" s="20"/>
      <c r="K55" s="20"/>
      <c r="L55" s="20"/>
      <c r="M55" s="20"/>
      <c r="N55" s="20"/>
      <c r="O55" s="20"/>
      <c r="P55" s="20"/>
      <c r="Q55" s="20"/>
      <c r="R55" s="20"/>
      <c r="S55" s="20">
        <f>19119</f>
        <v>19119</v>
      </c>
      <c r="T55" s="45"/>
      <c r="U55" s="20"/>
      <c r="V55" s="20"/>
      <c r="W55" s="20"/>
      <c r="X55" s="20"/>
      <c r="Y55" s="20"/>
      <c r="Z55" s="20"/>
      <c r="AA55" s="20"/>
      <c r="AB55" s="20"/>
      <c r="AC55" s="20"/>
      <c r="AD55" s="20"/>
      <c r="AE55" s="20"/>
      <c r="AF55" s="20"/>
      <c r="AG55" s="20"/>
      <c r="AH55" s="1"/>
      <c r="AJ55" s="1"/>
      <c r="AK55" s="1"/>
      <c r="AL55" s="41"/>
      <c r="AM55" s="42"/>
      <c r="AN55" s="43"/>
      <c r="AO55" s="1"/>
      <c r="AP55" s="1"/>
      <c r="AQ55" s="1"/>
      <c r="AR55" s="1"/>
      <c r="AS55" s="1"/>
    </row>
    <row r="56" spans="1:50" ht="12.75" customHeight="1" x14ac:dyDescent="0.2">
      <c r="A56" s="22" t="s">
        <v>181</v>
      </c>
      <c r="B56" s="39">
        <f t="shared" si="6"/>
        <v>0</v>
      </c>
      <c r="C56" s="45"/>
      <c r="D56" s="20"/>
      <c r="E56" s="20"/>
      <c r="F56" s="20"/>
      <c r="G56" s="20"/>
      <c r="H56" s="20"/>
      <c r="I56" s="20"/>
      <c r="J56" s="20"/>
      <c r="K56" s="20"/>
      <c r="L56" s="20"/>
      <c r="M56" s="20"/>
      <c r="N56" s="20"/>
      <c r="O56" s="20"/>
      <c r="P56" s="20"/>
      <c r="Q56" s="20"/>
      <c r="R56" s="20"/>
      <c r="S56" s="20"/>
      <c r="T56" s="45"/>
      <c r="U56" s="20"/>
      <c r="V56" s="20"/>
      <c r="W56" s="20"/>
      <c r="X56" s="20"/>
      <c r="Y56" s="20"/>
      <c r="Z56" s="20"/>
      <c r="AA56" s="20"/>
      <c r="AB56" s="20"/>
      <c r="AC56" s="20"/>
      <c r="AD56" s="20"/>
      <c r="AE56" s="20"/>
      <c r="AF56" s="20"/>
      <c r="AG56" s="20"/>
      <c r="AH56" s="1"/>
      <c r="AI56" s="46"/>
      <c r="AJ56" s="1"/>
      <c r="AK56" s="1"/>
      <c r="AL56" s="41"/>
      <c r="AM56" s="42"/>
      <c r="AN56" s="43"/>
      <c r="AO56" s="1"/>
      <c r="AP56" s="1"/>
      <c r="AQ56" s="1"/>
      <c r="AR56" s="1"/>
      <c r="AS56" s="1"/>
    </row>
    <row r="57" spans="1:50" ht="12.75" customHeight="1" x14ac:dyDescent="0.2">
      <c r="A57" s="44" t="s">
        <v>182</v>
      </c>
      <c r="B57" s="39">
        <f t="shared" si="6"/>
        <v>0</v>
      </c>
      <c r="C57" s="45"/>
      <c r="D57" s="20"/>
      <c r="E57" s="20"/>
      <c r="F57" s="20"/>
      <c r="G57" s="20"/>
      <c r="H57" s="20"/>
      <c r="I57" s="20"/>
      <c r="J57" s="20"/>
      <c r="K57" s="20"/>
      <c r="L57" s="20"/>
      <c r="M57" s="20"/>
      <c r="N57" s="20"/>
      <c r="O57" s="20"/>
      <c r="P57" s="20"/>
      <c r="Q57" s="20"/>
      <c r="R57" s="20"/>
      <c r="S57" s="20"/>
      <c r="T57" s="45"/>
      <c r="U57" s="20"/>
      <c r="V57" s="20"/>
      <c r="W57" s="20"/>
      <c r="X57" s="20"/>
      <c r="Y57" s="20"/>
      <c r="Z57" s="20"/>
      <c r="AA57" s="20"/>
      <c r="AB57" s="20"/>
      <c r="AC57" s="20"/>
      <c r="AD57" s="20"/>
      <c r="AE57" s="20"/>
      <c r="AF57" s="20"/>
      <c r="AG57" s="20"/>
      <c r="AH57" s="1"/>
      <c r="AI57" s="46"/>
      <c r="AJ57" s="1"/>
      <c r="AK57" s="1"/>
      <c r="AL57" s="41"/>
      <c r="AM57" s="42"/>
      <c r="AN57" s="43"/>
      <c r="AO57" s="1"/>
      <c r="AP57" s="1"/>
      <c r="AQ57" s="1"/>
      <c r="AR57" s="1"/>
      <c r="AS57" s="1"/>
    </row>
    <row r="58" spans="1:50" ht="12.75" customHeight="1" x14ac:dyDescent="0.2">
      <c r="A58" s="44" t="s">
        <v>183</v>
      </c>
      <c r="B58" s="39">
        <f>SUM(C58:AG58)+'[1]Price - East '!B58</f>
        <v>350</v>
      </c>
      <c r="C58" s="45">
        <v>-114</v>
      </c>
      <c r="D58" s="20">
        <v>199</v>
      </c>
      <c r="E58" s="20">
        <v>55</v>
      </c>
      <c r="F58" s="20"/>
      <c r="G58" s="20"/>
      <c r="H58" s="20">
        <v>51</v>
      </c>
      <c r="I58" s="20">
        <v>-86</v>
      </c>
      <c r="J58" s="20">
        <v>135</v>
      </c>
      <c r="K58" s="20">
        <v>9</v>
      </c>
      <c r="L58" s="20">
        <v>79</v>
      </c>
      <c r="M58" s="20"/>
      <c r="N58" s="20"/>
      <c r="O58" s="20">
        <v>-5</v>
      </c>
      <c r="P58" s="20">
        <v>-50</v>
      </c>
      <c r="Q58" s="20">
        <v>-25</v>
      </c>
      <c r="R58" s="20">
        <v>-15</v>
      </c>
      <c r="S58" s="20">
        <v>117</v>
      </c>
      <c r="T58" s="45"/>
      <c r="U58" s="20"/>
      <c r="V58" s="20"/>
      <c r="W58" s="20"/>
      <c r="X58" s="20"/>
      <c r="Y58" s="20"/>
      <c r="Z58" s="20"/>
      <c r="AA58" s="20"/>
      <c r="AB58" s="20"/>
      <c r="AC58" s="20"/>
      <c r="AD58" s="20"/>
      <c r="AE58" s="20"/>
      <c r="AF58" s="20"/>
      <c r="AG58" s="20"/>
      <c r="AH58" s="1"/>
      <c r="AI58" s="46"/>
      <c r="AJ58" s="1"/>
      <c r="AK58" s="1"/>
      <c r="AL58" s="41"/>
      <c r="AM58" s="48"/>
      <c r="AN58" s="47"/>
      <c r="AO58" s="41"/>
      <c r="AP58" s="41"/>
      <c r="AQ58" s="41"/>
      <c r="AR58" s="41"/>
      <c r="AS58" s="41"/>
      <c r="AT58" s="46"/>
      <c r="AU58" s="46"/>
      <c r="AV58" s="46"/>
      <c r="AW58" s="46"/>
      <c r="AX58" s="46"/>
    </row>
    <row r="59" spans="1:50" ht="12.75" customHeight="1" x14ac:dyDescent="0.2">
      <c r="A59" s="44" t="s">
        <v>184</v>
      </c>
      <c r="B59" s="39">
        <f>SUM(C59:AG59)+'[1]Price - East '!B59</f>
        <v>-8487</v>
      </c>
      <c r="C59" s="45">
        <v>-4</v>
      </c>
      <c r="D59" s="20">
        <v>-121</v>
      </c>
      <c r="E59" s="20">
        <v>-122</v>
      </c>
      <c r="F59" s="20"/>
      <c r="G59" s="20"/>
      <c r="H59" s="20">
        <v>-369</v>
      </c>
      <c r="I59" s="20">
        <v>-301</v>
      </c>
      <c r="J59" s="20">
        <v>-455</v>
      </c>
      <c r="K59" s="20">
        <v>-709</v>
      </c>
      <c r="L59" s="20">
        <v>-768</v>
      </c>
      <c r="M59" s="20"/>
      <c r="N59" s="20"/>
      <c r="O59" s="20">
        <v>-2211</v>
      </c>
      <c r="P59" s="20">
        <v>-824</v>
      </c>
      <c r="Q59" s="20">
        <v>-783</v>
      </c>
      <c r="R59" s="20">
        <v>-967</v>
      </c>
      <c r="S59" s="20">
        <v>-853</v>
      </c>
      <c r="T59" s="45"/>
      <c r="U59" s="20"/>
      <c r="V59" s="20"/>
      <c r="W59" s="20"/>
      <c r="X59" s="20"/>
      <c r="Y59" s="20"/>
      <c r="Z59" s="20"/>
      <c r="AA59" s="20"/>
      <c r="AB59" s="20"/>
      <c r="AC59" s="20"/>
      <c r="AD59" s="20"/>
      <c r="AE59" s="20"/>
      <c r="AF59" s="20"/>
      <c r="AG59" s="20"/>
      <c r="AH59" s="1"/>
      <c r="AI59" s="46"/>
      <c r="AJ59" s="1"/>
      <c r="AK59" s="1"/>
      <c r="AL59" s="41"/>
      <c r="AM59" s="48"/>
      <c r="AN59" s="47"/>
      <c r="AO59" s="41"/>
      <c r="AP59" s="41"/>
      <c r="AQ59" s="41"/>
      <c r="AR59" s="41"/>
      <c r="AS59" s="41"/>
      <c r="AT59" s="46"/>
      <c r="AU59" s="46"/>
      <c r="AV59" s="46"/>
      <c r="AW59" s="46"/>
      <c r="AX59" s="46"/>
    </row>
    <row r="60" spans="1:50" ht="12.75" customHeight="1" x14ac:dyDescent="0.2">
      <c r="A60" s="44" t="s">
        <v>185</v>
      </c>
      <c r="B60" s="39">
        <f>SUM(C60:AG60)</f>
        <v>0</v>
      </c>
      <c r="C60" s="45"/>
      <c r="D60"/>
      <c r="E60"/>
      <c r="F60" s="20"/>
      <c r="G60" s="20"/>
      <c r="H60" s="20"/>
      <c r="I60" s="20"/>
      <c r="J60" s="20"/>
      <c r="K60" s="20"/>
      <c r="L60" s="20"/>
      <c r="M60" s="20"/>
      <c r="N60" s="20"/>
      <c r="O60" s="20"/>
      <c r="P60" s="20"/>
      <c r="Q60" s="20"/>
      <c r="R60" s="20"/>
      <c r="S60" s="20"/>
      <c r="T60" s="45"/>
      <c r="U60" s="20"/>
      <c r="V60" s="20"/>
      <c r="W60" s="20"/>
      <c r="X60" s="20"/>
      <c r="Y60" s="20"/>
      <c r="Z60" s="20"/>
      <c r="AA60" s="20"/>
      <c r="AB60" s="20"/>
      <c r="AC60" s="20"/>
      <c r="AD60" s="20"/>
      <c r="AE60" s="20"/>
      <c r="AF60" s="20"/>
      <c r="AG60" s="20"/>
      <c r="AH60" s="1"/>
      <c r="AI60" s="46"/>
      <c r="AJ60" s="1"/>
      <c r="AK60" s="1"/>
      <c r="AL60" s="41"/>
      <c r="AM60" s="48"/>
      <c r="AN60" s="47"/>
      <c r="AO60" s="41"/>
      <c r="AP60" s="41"/>
      <c r="AQ60" s="41"/>
      <c r="AR60" s="41"/>
      <c r="AS60" s="41"/>
      <c r="AT60" s="46"/>
      <c r="AU60" s="46"/>
      <c r="AV60" s="46"/>
      <c r="AW60" s="46"/>
      <c r="AX60" s="46"/>
    </row>
    <row r="61" spans="1:50" ht="12.75" customHeight="1" x14ac:dyDescent="0.2">
      <c r="A61" s="44" t="s">
        <v>186</v>
      </c>
      <c r="B61" s="39">
        <f>SUM(C61:AG61)</f>
        <v>0</v>
      </c>
      <c r="C61" s="45"/>
      <c r="D61" s="20"/>
      <c r="E61" s="20"/>
      <c r="F61" s="20"/>
      <c r="G61" s="20"/>
      <c r="H61" s="20"/>
      <c r="J61" s="20"/>
      <c r="K61" s="20"/>
      <c r="L61" s="20"/>
      <c r="M61" s="20"/>
      <c r="N61" s="20"/>
      <c r="O61" s="20"/>
      <c r="P61" s="20"/>
      <c r="Q61" s="20"/>
      <c r="R61" s="20"/>
      <c r="S61" s="20"/>
      <c r="T61" s="45"/>
      <c r="U61" s="20"/>
      <c r="V61" s="20"/>
      <c r="W61" s="20"/>
      <c r="X61" s="20"/>
      <c r="Y61" s="20"/>
      <c r="Z61" s="20"/>
      <c r="AA61" s="20"/>
      <c r="AB61" s="20"/>
      <c r="AC61" s="20"/>
      <c r="AD61" s="20"/>
      <c r="AE61" s="20"/>
      <c r="AF61" s="20"/>
      <c r="AG61" s="20"/>
      <c r="AH61" s="1"/>
      <c r="AJ61" s="1"/>
      <c r="AK61" s="1"/>
      <c r="AL61" s="41"/>
      <c r="AM61" s="42"/>
      <c r="AN61" s="43"/>
      <c r="AO61" s="1"/>
      <c r="AP61" s="1"/>
      <c r="AQ61" s="1"/>
      <c r="AR61" s="1"/>
      <c r="AS61" s="1"/>
    </row>
    <row r="62" spans="1:50" ht="12.75" customHeight="1" x14ac:dyDescent="0.2">
      <c r="A62" s="44" t="s">
        <v>187</v>
      </c>
      <c r="B62" s="39">
        <f>SUM(C62:AG62)+'[1]Price - East '!B62</f>
        <v>112688</v>
      </c>
      <c r="C62" s="45">
        <f>260+10049-1</f>
        <v>10308</v>
      </c>
      <c r="D62" s="20">
        <f>-35+331</f>
        <v>296</v>
      </c>
      <c r="E62" s="20">
        <f>4</f>
        <v>4</v>
      </c>
      <c r="F62" s="20"/>
      <c r="G62" s="20"/>
      <c r="H62" s="20">
        <f>-524+1375-2</f>
        <v>849</v>
      </c>
      <c r="I62" s="20">
        <f>-165-2019-1</f>
        <v>-2185</v>
      </c>
      <c r="J62" s="20">
        <f>-230-6997</f>
        <v>-7227</v>
      </c>
      <c r="K62" s="20">
        <f>-42-1256</f>
        <v>-1298</v>
      </c>
      <c r="L62" s="20">
        <f>21-563-1</f>
        <v>-543</v>
      </c>
      <c r="M62" s="20"/>
      <c r="N62" s="20"/>
      <c r="O62" s="20">
        <f>7423-671+1</f>
        <v>6753</v>
      </c>
      <c r="P62" s="20">
        <f>86958-95-1</f>
        <v>86862</v>
      </c>
      <c r="Q62" s="20">
        <f>-4264-4826</f>
        <v>-9090</v>
      </c>
      <c r="R62" s="20">
        <f>-8023+515-1</f>
        <v>-7509</v>
      </c>
      <c r="S62" s="20">
        <f>42485-7017</f>
        <v>35468</v>
      </c>
      <c r="T62" s="45"/>
      <c r="U62" s="20"/>
      <c r="V62" s="20"/>
      <c r="W62" s="20"/>
      <c r="X62" s="20"/>
      <c r="Y62" s="20"/>
      <c r="Z62" s="20"/>
      <c r="AA62" s="20"/>
      <c r="AB62" s="20"/>
      <c r="AC62" s="20"/>
      <c r="AD62" s="20"/>
      <c r="AE62" s="20"/>
      <c r="AF62" s="20"/>
      <c r="AG62" s="20"/>
      <c r="AH62" s="1"/>
      <c r="AJ62" s="1"/>
      <c r="AK62" s="1"/>
      <c r="AL62" s="41"/>
      <c r="AM62" s="42"/>
      <c r="AN62" s="43"/>
      <c r="AO62" s="43"/>
      <c r="AP62" s="1"/>
      <c r="AQ62" s="1"/>
      <c r="AR62" s="1"/>
      <c r="AS62" s="1"/>
    </row>
    <row r="63" spans="1:50" ht="12.75" customHeight="1" x14ac:dyDescent="0.2">
      <c r="A63" s="44" t="s">
        <v>140</v>
      </c>
      <c r="B63" s="39">
        <f t="shared" ref="B63:B70" si="7">SUM(C63:AG63)</f>
        <v>0</v>
      </c>
      <c r="C63" s="45"/>
      <c r="D63" s="20"/>
      <c r="E63" s="20"/>
      <c r="F63" s="20"/>
      <c r="G63" s="20"/>
      <c r="H63" s="20"/>
      <c r="I63" s="20"/>
      <c r="J63" s="20"/>
      <c r="K63" s="20"/>
      <c r="L63" s="20"/>
      <c r="M63" s="20"/>
      <c r="N63" s="20"/>
      <c r="O63" s="20"/>
      <c r="P63" s="20"/>
      <c r="Q63" s="20"/>
      <c r="R63" s="20"/>
      <c r="S63" s="20"/>
      <c r="T63" s="45"/>
      <c r="U63" s="20"/>
      <c r="V63" s="20"/>
      <c r="W63" s="20"/>
      <c r="X63" s="20"/>
      <c r="Y63" s="20"/>
      <c r="Z63" s="20"/>
      <c r="AA63" s="20"/>
      <c r="AB63" s="20"/>
      <c r="AC63" s="20"/>
      <c r="AD63" s="20"/>
      <c r="AE63" s="20"/>
      <c r="AF63" s="20"/>
      <c r="AG63" s="20"/>
      <c r="AH63" s="1"/>
      <c r="AI63" s="46"/>
      <c r="AJ63" s="1"/>
      <c r="AK63" s="1"/>
      <c r="AL63" s="41"/>
      <c r="AM63" s="42"/>
      <c r="AN63" s="43"/>
      <c r="AO63" s="1"/>
      <c r="AP63" s="1"/>
      <c r="AQ63" s="1"/>
      <c r="AR63" s="1"/>
      <c r="AS63" s="1"/>
    </row>
    <row r="64" spans="1:50" ht="12.75" customHeight="1" x14ac:dyDescent="0.2">
      <c r="A64" s="44" t="s">
        <v>188</v>
      </c>
      <c r="B64" s="39">
        <f t="shared" si="7"/>
        <v>0</v>
      </c>
      <c r="C64" s="45"/>
      <c r="D64" s="20"/>
      <c r="E64" s="20"/>
      <c r="F64" s="20"/>
      <c r="G64" s="20"/>
      <c r="H64" s="20"/>
      <c r="I64" s="20"/>
      <c r="J64" s="20"/>
      <c r="K64" s="20"/>
      <c r="L64" s="20"/>
      <c r="M64" s="20"/>
      <c r="N64" s="20"/>
      <c r="O64" s="20"/>
      <c r="P64" s="20"/>
      <c r="Q64" s="20"/>
      <c r="R64" s="20"/>
      <c r="S64" s="20"/>
      <c r="T64" s="45"/>
      <c r="U64" s="20"/>
      <c r="V64" s="20"/>
      <c r="W64" s="20"/>
      <c r="X64" s="20"/>
      <c r="Y64" s="20"/>
      <c r="Z64" s="20"/>
      <c r="AA64" s="20"/>
      <c r="AB64" s="20"/>
      <c r="AC64" s="20"/>
      <c r="AD64" s="20"/>
      <c r="AE64" s="20"/>
      <c r="AF64" s="20"/>
      <c r="AG64" s="20"/>
      <c r="AH64" s="1"/>
      <c r="AI64" s="46"/>
      <c r="AJ64" s="1"/>
      <c r="AK64" s="1"/>
      <c r="AL64" s="48"/>
      <c r="AM64" s="42"/>
      <c r="AN64" s="1"/>
      <c r="AO64" s="1"/>
      <c r="AP64" s="1"/>
      <c r="AQ64" s="1"/>
      <c r="AR64" s="1"/>
      <c r="AS64" s="1"/>
    </row>
    <row r="65" spans="1:45" ht="12.75" customHeight="1" x14ac:dyDescent="0.2">
      <c r="A65" s="22" t="s">
        <v>189</v>
      </c>
      <c r="B65" s="39">
        <f t="shared" si="7"/>
        <v>0</v>
      </c>
      <c r="C65" s="45"/>
      <c r="D65" s="20"/>
      <c r="E65" s="20"/>
      <c r="F65" s="20"/>
      <c r="G65" s="20"/>
      <c r="H65" s="20"/>
      <c r="I65" s="20"/>
      <c r="J65" s="20"/>
      <c r="K65" s="20"/>
      <c r="L65" s="20"/>
      <c r="M65" s="20"/>
      <c r="N65" s="20"/>
      <c r="O65" s="20"/>
      <c r="P65" s="20"/>
      <c r="Q65" s="20"/>
      <c r="R65" s="20"/>
      <c r="S65" s="20"/>
      <c r="T65" s="45"/>
      <c r="U65" s="20"/>
      <c r="V65" s="20"/>
      <c r="W65" s="20"/>
      <c r="X65" s="20"/>
      <c r="Y65" s="20"/>
      <c r="Z65" s="20"/>
      <c r="AA65" s="20"/>
      <c r="AB65" s="20"/>
      <c r="AC65" s="20"/>
      <c r="AD65" s="20"/>
      <c r="AE65" s="20"/>
      <c r="AF65" s="20"/>
      <c r="AG65" s="20"/>
      <c r="AH65" s="1"/>
      <c r="AJ65" s="1"/>
      <c r="AK65" s="1"/>
      <c r="AL65" s="41"/>
      <c r="AM65" s="42"/>
      <c r="AN65" s="1"/>
      <c r="AO65" s="1"/>
      <c r="AP65" s="1"/>
      <c r="AQ65" s="1"/>
      <c r="AR65" s="1"/>
      <c r="AS65" s="1"/>
    </row>
    <row r="66" spans="1:45" ht="12.75" hidden="1" customHeight="1" x14ac:dyDescent="0.2">
      <c r="A66" s="22" t="s">
        <v>190</v>
      </c>
      <c r="B66" s="39">
        <f t="shared" si="7"/>
        <v>0</v>
      </c>
      <c r="C66" s="45"/>
      <c r="D66" s="20"/>
      <c r="E66" s="20"/>
      <c r="F66" s="20"/>
      <c r="G66" s="20"/>
      <c r="H66" s="20"/>
      <c r="I66" s="20"/>
      <c r="J66" s="20"/>
      <c r="K66" s="20"/>
      <c r="L66" s="20"/>
      <c r="M66" s="20"/>
      <c r="N66" s="20"/>
      <c r="O66" s="20"/>
      <c r="P66" s="20"/>
      <c r="Q66" s="20"/>
      <c r="R66" s="20"/>
      <c r="S66" s="20"/>
      <c r="T66" s="45"/>
      <c r="U66" s="20"/>
      <c r="V66" s="20"/>
      <c r="W66" s="20"/>
      <c r="X66" s="20"/>
      <c r="Y66" s="20"/>
      <c r="Z66" s="20"/>
      <c r="AA66" s="20"/>
      <c r="AB66" s="20"/>
      <c r="AC66" s="20"/>
      <c r="AD66" s="20"/>
      <c r="AE66" s="20"/>
      <c r="AF66" s="20"/>
      <c r="AG66" s="20"/>
      <c r="AH66" s="1"/>
      <c r="AI66" s="46"/>
      <c r="AJ66" s="1"/>
      <c r="AK66" s="1"/>
      <c r="AL66" s="41"/>
      <c r="AM66" s="42"/>
      <c r="AN66" s="1"/>
      <c r="AO66" s="1"/>
      <c r="AP66" s="1"/>
      <c r="AQ66" s="1"/>
      <c r="AR66" s="1"/>
      <c r="AS66" s="1"/>
    </row>
    <row r="67" spans="1:45" ht="12.75" customHeight="1" x14ac:dyDescent="0.2">
      <c r="A67" s="22" t="s">
        <v>191</v>
      </c>
      <c r="B67" s="552">
        <f t="shared" si="7"/>
        <v>0</v>
      </c>
      <c r="C67" s="45"/>
      <c r="D67" s="20"/>
      <c r="E67" s="20"/>
      <c r="F67" s="20"/>
      <c r="G67" s="20"/>
      <c r="H67" s="20"/>
      <c r="I67" s="20"/>
      <c r="J67" s="20"/>
      <c r="K67" s="20"/>
      <c r="L67" s="20"/>
      <c r="M67" s="20"/>
      <c r="N67" s="20"/>
      <c r="O67" s="20"/>
      <c r="P67" s="20"/>
      <c r="Q67" s="20"/>
      <c r="R67" s="20"/>
      <c r="S67" s="20"/>
      <c r="T67" s="45"/>
      <c r="U67" s="20"/>
      <c r="V67" s="20"/>
      <c r="W67" s="20"/>
      <c r="X67" s="20"/>
      <c r="Y67" s="20"/>
      <c r="Z67" s="20"/>
      <c r="AA67" s="20"/>
      <c r="AB67" s="20"/>
      <c r="AC67" s="20"/>
      <c r="AD67" s="20"/>
      <c r="AE67" s="20"/>
      <c r="AF67" s="20"/>
      <c r="AG67" s="20"/>
      <c r="AH67" s="1"/>
      <c r="AI67" s="46"/>
      <c r="AJ67" s="1"/>
      <c r="AK67" s="1"/>
      <c r="AL67" s="41"/>
      <c r="AM67" s="42"/>
      <c r="AN67" s="1"/>
      <c r="AO67" s="1"/>
      <c r="AP67" s="1"/>
      <c r="AQ67" s="1"/>
      <c r="AR67" s="1"/>
      <c r="AS67" s="1"/>
    </row>
    <row r="68" spans="1:45" ht="12.75" customHeight="1" x14ac:dyDescent="0.2">
      <c r="A68" s="22" t="s">
        <v>192</v>
      </c>
      <c r="B68" s="39">
        <f t="shared" si="7"/>
        <v>0</v>
      </c>
      <c r="C68" s="45"/>
      <c r="D68" s="20"/>
      <c r="E68" s="20"/>
      <c r="F68" s="20"/>
      <c r="G68" s="20"/>
      <c r="H68" s="20"/>
      <c r="I68" s="20"/>
      <c r="J68" s="20"/>
      <c r="K68" s="20"/>
      <c r="L68" s="20"/>
      <c r="M68" s="20"/>
      <c r="N68" s="20"/>
      <c r="O68" s="20"/>
      <c r="P68" s="20"/>
      <c r="Q68" s="20"/>
      <c r="R68" s="20"/>
      <c r="S68" s="20"/>
      <c r="T68" s="45"/>
      <c r="U68" s="20"/>
      <c r="V68" s="20"/>
      <c r="W68" s="20"/>
      <c r="X68" s="20"/>
      <c r="Y68" s="20"/>
      <c r="Z68" s="20"/>
      <c r="AA68" s="20"/>
      <c r="AB68" s="20"/>
      <c r="AC68" s="20"/>
      <c r="AD68" s="20"/>
      <c r="AE68" s="20"/>
      <c r="AF68" s="20"/>
      <c r="AG68" s="20"/>
      <c r="AH68" s="1"/>
      <c r="AJ68" s="1"/>
      <c r="AK68" s="1"/>
      <c r="AL68" s="41"/>
      <c r="AM68" s="42"/>
      <c r="AN68" s="1"/>
      <c r="AO68" s="1"/>
      <c r="AP68" s="1"/>
      <c r="AQ68" s="1"/>
      <c r="AR68" s="1"/>
      <c r="AS68" s="1"/>
    </row>
    <row r="69" spans="1:45" ht="12.75" customHeight="1" x14ac:dyDescent="0.2">
      <c r="A69" s="44" t="s">
        <v>193</v>
      </c>
      <c r="B69" s="39">
        <f t="shared" si="7"/>
        <v>0</v>
      </c>
      <c r="C69" s="45"/>
      <c r="D69" s="20"/>
      <c r="E69" s="20"/>
      <c r="F69" s="20"/>
      <c r="G69" s="20"/>
      <c r="H69" s="20"/>
      <c r="I69" s="20"/>
      <c r="J69" s="20"/>
      <c r="K69" s="20"/>
      <c r="L69" s="20"/>
      <c r="M69" s="20"/>
      <c r="N69" s="20"/>
      <c r="O69" s="20"/>
      <c r="P69" s="20"/>
      <c r="Q69" s="20"/>
      <c r="R69" s="20"/>
      <c r="S69" s="20"/>
      <c r="T69" s="45"/>
      <c r="U69" s="20"/>
      <c r="V69" s="20"/>
      <c r="W69" s="20"/>
      <c r="X69" s="20"/>
      <c r="Y69" s="20"/>
      <c r="Z69" s="20"/>
      <c r="AA69" s="20"/>
      <c r="AB69" s="20"/>
      <c r="AC69" s="20"/>
      <c r="AD69" s="20"/>
      <c r="AE69" s="20"/>
      <c r="AF69" s="20"/>
      <c r="AG69" s="20"/>
      <c r="AH69" s="1"/>
      <c r="AI69" s="46"/>
      <c r="AJ69" s="1"/>
      <c r="AK69" s="1"/>
      <c r="AL69" s="41"/>
      <c r="AM69" s="42"/>
      <c r="AN69" s="1"/>
      <c r="AO69" s="1"/>
      <c r="AP69" s="1"/>
      <c r="AQ69" s="1"/>
      <c r="AR69" s="1"/>
      <c r="AS69" s="1"/>
    </row>
    <row r="70" spans="1:45" ht="12.75" customHeight="1" x14ac:dyDescent="0.2">
      <c r="A70" s="22" t="s">
        <v>194</v>
      </c>
      <c r="B70" s="39">
        <f t="shared" si="7"/>
        <v>0</v>
      </c>
      <c r="C70" s="45"/>
      <c r="D70" s="20"/>
      <c r="E70" s="20"/>
      <c r="F70" s="20"/>
      <c r="G70" s="20"/>
      <c r="H70" s="20"/>
      <c r="I70" s="20"/>
      <c r="J70" s="20"/>
      <c r="K70" s="20"/>
      <c r="L70" s="20"/>
      <c r="M70" s="20"/>
      <c r="N70" s="20"/>
      <c r="O70" s="20"/>
      <c r="P70" s="20"/>
      <c r="Q70" s="20"/>
      <c r="R70" s="20"/>
      <c r="S70" s="20"/>
      <c r="T70" s="45"/>
      <c r="U70" s="20"/>
      <c r="V70" s="20"/>
      <c r="W70" s="20"/>
      <c r="X70" s="20"/>
      <c r="Y70" s="20"/>
      <c r="Z70" s="20"/>
      <c r="AA70" s="20"/>
      <c r="AB70" s="20"/>
      <c r="AC70" s="20"/>
      <c r="AD70" s="20"/>
      <c r="AE70" s="20"/>
      <c r="AF70" s="20"/>
      <c r="AG70" s="20"/>
      <c r="AH70" s="1"/>
      <c r="AJ70" s="1"/>
      <c r="AK70" s="1"/>
      <c r="AL70" s="41"/>
      <c r="AM70" s="42"/>
      <c r="AN70" s="1"/>
      <c r="AO70" s="1"/>
      <c r="AP70" s="1"/>
      <c r="AQ70" s="1"/>
      <c r="AR70" s="1"/>
      <c r="AS70" s="1"/>
    </row>
    <row r="71" spans="1:45" ht="12.75" customHeight="1" x14ac:dyDescent="0.2">
      <c r="A71" s="22" t="s">
        <v>195</v>
      </c>
      <c r="B71" s="39" t="s">
        <v>196</v>
      </c>
      <c r="C71" s="45"/>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197</v>
      </c>
      <c r="B76" s="52">
        <f>SUM(B47:B75)-B61-B68-B69</f>
        <v>-7565855</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C78" s="13">
        <f>(+B58+B59)*-1</f>
        <v>8137</v>
      </c>
      <c r="AH78" s="24"/>
      <c r="AJ78" s="24"/>
      <c r="AK78" s="20"/>
      <c r="AL78" s="41"/>
      <c r="AM78" s="42"/>
    </row>
    <row r="79" spans="1:45" ht="12.75" customHeight="1" x14ac:dyDescent="0.2">
      <c r="A79" s="24"/>
      <c r="B79" s="55"/>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1"/>
      <c r="AI81" s="117"/>
      <c r="AJ81" s="118"/>
      <c r="AK81" s="1"/>
      <c r="AL81" s="33"/>
      <c r="AN81" s="1"/>
      <c r="AO81" s="1"/>
      <c r="AP81" s="1"/>
      <c r="AQ81" s="1"/>
      <c r="AR81" s="1"/>
      <c r="AS81" s="1"/>
    </row>
    <row r="82" spans="1:45" ht="12.75" customHeight="1" x14ac:dyDescent="0.25">
      <c r="A82" s="56" t="s">
        <v>198</v>
      </c>
      <c r="B82" s="31" t="s">
        <v>161</v>
      </c>
      <c r="C82" s="32">
        <f t="shared" ref="C82:AG82" si="8">SUM(C86:C101)</f>
        <v>0</v>
      </c>
      <c r="D82" s="32">
        <f t="shared" si="8"/>
        <v>0</v>
      </c>
      <c r="E82" s="32">
        <f t="shared" si="8"/>
        <v>0</v>
      </c>
      <c r="F82" s="32">
        <f t="shared" si="8"/>
        <v>0</v>
      </c>
      <c r="G82" s="32">
        <f t="shared" si="8"/>
        <v>0</v>
      </c>
      <c r="H82" s="32">
        <f t="shared" si="8"/>
        <v>0</v>
      </c>
      <c r="I82" s="32">
        <f t="shared" si="8"/>
        <v>0</v>
      </c>
      <c r="J82" s="32">
        <f t="shared" si="8"/>
        <v>0</v>
      </c>
      <c r="K82" s="32">
        <f t="shared" si="8"/>
        <v>0</v>
      </c>
      <c r="L82" s="32">
        <f t="shared" si="8"/>
        <v>0</v>
      </c>
      <c r="M82" s="32">
        <f t="shared" si="8"/>
        <v>0</v>
      </c>
      <c r="N82" s="32">
        <f t="shared" si="8"/>
        <v>0</v>
      </c>
      <c r="O82" s="32">
        <f t="shared" si="8"/>
        <v>0</v>
      </c>
      <c r="P82" s="32">
        <f t="shared" si="8"/>
        <v>0</v>
      </c>
      <c r="Q82" s="32">
        <f t="shared" si="8"/>
        <v>0</v>
      </c>
      <c r="R82" s="32">
        <f t="shared" si="8"/>
        <v>0</v>
      </c>
      <c r="S82" s="32">
        <f t="shared" si="8"/>
        <v>0</v>
      </c>
      <c r="T82" s="32">
        <f t="shared" si="8"/>
        <v>0</v>
      </c>
      <c r="U82" s="32">
        <f t="shared" si="8"/>
        <v>0</v>
      </c>
      <c r="V82" s="32">
        <f t="shared" si="8"/>
        <v>0</v>
      </c>
      <c r="W82" s="32">
        <f t="shared" si="8"/>
        <v>0</v>
      </c>
      <c r="X82" s="32">
        <f t="shared" si="8"/>
        <v>0</v>
      </c>
      <c r="Y82" s="32">
        <f t="shared" si="8"/>
        <v>0</v>
      </c>
      <c r="Z82" s="32">
        <f t="shared" si="8"/>
        <v>0</v>
      </c>
      <c r="AA82" s="32">
        <f t="shared" si="8"/>
        <v>0</v>
      </c>
      <c r="AB82" s="32">
        <f t="shared" si="8"/>
        <v>0</v>
      </c>
      <c r="AC82" s="32">
        <f t="shared" si="8"/>
        <v>0</v>
      </c>
      <c r="AD82" s="32">
        <f t="shared" si="8"/>
        <v>0</v>
      </c>
      <c r="AE82" s="32">
        <f t="shared" si="8"/>
        <v>0</v>
      </c>
      <c r="AF82" s="32">
        <f t="shared" si="8"/>
        <v>0</v>
      </c>
      <c r="AG82" s="32">
        <f t="shared" si="8"/>
        <v>0</v>
      </c>
      <c r="AH82" s="1"/>
      <c r="AI82" s="117"/>
      <c r="AJ82" s="118"/>
      <c r="AK82" s="1"/>
      <c r="AL82" s="33"/>
      <c r="AN82" s="1"/>
      <c r="AO82" s="1"/>
      <c r="AP82" s="1"/>
      <c r="AQ82" s="1"/>
      <c r="AR82" s="1"/>
      <c r="AS82" s="1"/>
    </row>
    <row r="83" spans="1:45" s="99" customFormat="1" ht="12.75" customHeight="1" x14ac:dyDescent="0.25">
      <c r="A83" s="216" t="s">
        <v>199</v>
      </c>
      <c r="B83" s="116">
        <f t="shared" ref="B83:AG83" si="9">B44</f>
        <v>36831</v>
      </c>
      <c r="C83" s="104">
        <f t="shared" si="9"/>
        <v>36831</v>
      </c>
      <c r="D83" s="104">
        <f t="shared" si="9"/>
        <v>36832</v>
      </c>
      <c r="E83" s="104">
        <f t="shared" si="9"/>
        <v>36833</v>
      </c>
      <c r="F83" s="104">
        <f t="shared" si="9"/>
        <v>36834</v>
      </c>
      <c r="G83" s="104">
        <f t="shared" si="9"/>
        <v>36835</v>
      </c>
      <c r="H83" s="104">
        <f t="shared" si="9"/>
        <v>36836</v>
      </c>
      <c r="I83" s="104">
        <f t="shared" si="9"/>
        <v>36837</v>
      </c>
      <c r="J83" s="104">
        <f t="shared" si="9"/>
        <v>36838</v>
      </c>
      <c r="K83" s="104">
        <f t="shared" si="9"/>
        <v>36839</v>
      </c>
      <c r="L83" s="104">
        <f t="shared" si="9"/>
        <v>36840</v>
      </c>
      <c r="M83" s="104">
        <f t="shared" si="9"/>
        <v>36841</v>
      </c>
      <c r="N83" s="104">
        <f t="shared" si="9"/>
        <v>36842</v>
      </c>
      <c r="O83" s="104">
        <f t="shared" si="9"/>
        <v>36843</v>
      </c>
      <c r="P83" s="104">
        <f t="shared" si="9"/>
        <v>36844</v>
      </c>
      <c r="Q83" s="104">
        <f t="shared" si="9"/>
        <v>36845</v>
      </c>
      <c r="R83" s="104">
        <f t="shared" si="9"/>
        <v>36846</v>
      </c>
      <c r="S83" s="104">
        <f t="shared" si="9"/>
        <v>36847</v>
      </c>
      <c r="T83" s="104">
        <f t="shared" si="9"/>
        <v>36848</v>
      </c>
      <c r="U83" s="104">
        <f t="shared" si="9"/>
        <v>36849</v>
      </c>
      <c r="V83" s="104">
        <f t="shared" si="9"/>
        <v>36850</v>
      </c>
      <c r="W83" s="104">
        <f t="shared" si="9"/>
        <v>36851</v>
      </c>
      <c r="X83" s="104">
        <f t="shared" si="9"/>
        <v>36852</v>
      </c>
      <c r="Y83" s="104">
        <f t="shared" si="9"/>
        <v>36853</v>
      </c>
      <c r="Z83" s="104">
        <f t="shared" si="9"/>
        <v>36854</v>
      </c>
      <c r="AA83" s="104">
        <f t="shared" si="9"/>
        <v>36855</v>
      </c>
      <c r="AB83" s="104">
        <f t="shared" si="9"/>
        <v>36856</v>
      </c>
      <c r="AC83" s="104">
        <f t="shared" si="9"/>
        <v>36857</v>
      </c>
      <c r="AD83" s="104">
        <f t="shared" si="9"/>
        <v>36858</v>
      </c>
      <c r="AE83" s="104">
        <f t="shared" si="9"/>
        <v>36859</v>
      </c>
      <c r="AF83" s="104">
        <f t="shared" si="9"/>
        <v>36860</v>
      </c>
      <c r="AG83" s="104">
        <f t="shared" si="9"/>
        <v>36861</v>
      </c>
      <c r="AI83" s="117"/>
      <c r="AJ83" s="119"/>
      <c r="AL83" s="100"/>
    </row>
    <row r="84" spans="1:45" ht="12.75" customHeight="1" x14ac:dyDescent="0.25">
      <c r="A84" s="34"/>
      <c r="B84" s="34"/>
      <c r="C84" s="105" t="str">
        <f t="shared" ref="C84:AG84" si="10">C45</f>
        <v>W</v>
      </c>
      <c r="D84" s="105" t="str">
        <f t="shared" si="10"/>
        <v>R</v>
      </c>
      <c r="E84" s="105" t="str">
        <f t="shared" si="10"/>
        <v>F</v>
      </c>
      <c r="F84" s="105" t="str">
        <f t="shared" si="10"/>
        <v>S</v>
      </c>
      <c r="G84" s="105" t="str">
        <f t="shared" si="10"/>
        <v>S</v>
      </c>
      <c r="H84" s="105" t="str">
        <f t="shared" si="10"/>
        <v>M</v>
      </c>
      <c r="I84" s="105" t="str">
        <f t="shared" si="10"/>
        <v>T</v>
      </c>
      <c r="J84" s="105" t="str">
        <f t="shared" si="10"/>
        <v>W</v>
      </c>
      <c r="K84" s="105" t="str">
        <f t="shared" si="10"/>
        <v>R</v>
      </c>
      <c r="L84" s="105" t="str">
        <f t="shared" si="10"/>
        <v>F</v>
      </c>
      <c r="M84" s="105" t="str">
        <f t="shared" si="10"/>
        <v>S</v>
      </c>
      <c r="N84" s="105" t="str">
        <f t="shared" si="10"/>
        <v>S</v>
      </c>
      <c r="O84" s="105" t="str">
        <f t="shared" si="10"/>
        <v>M</v>
      </c>
      <c r="P84" s="105" t="str">
        <f t="shared" si="10"/>
        <v>T</v>
      </c>
      <c r="Q84" s="105" t="str">
        <f t="shared" si="10"/>
        <v>W</v>
      </c>
      <c r="R84" s="105" t="str">
        <f t="shared" si="10"/>
        <v>R</v>
      </c>
      <c r="S84" s="105" t="str">
        <f t="shared" si="10"/>
        <v>F</v>
      </c>
      <c r="T84" s="105" t="str">
        <f t="shared" si="10"/>
        <v>S</v>
      </c>
      <c r="U84" s="105" t="str">
        <f t="shared" si="10"/>
        <v>S</v>
      </c>
      <c r="V84" s="105" t="str">
        <f t="shared" si="10"/>
        <v>M</v>
      </c>
      <c r="W84" s="105" t="str">
        <f t="shared" si="10"/>
        <v>T</v>
      </c>
      <c r="X84" s="105" t="str">
        <f t="shared" si="10"/>
        <v>W</v>
      </c>
      <c r="Y84" s="105" t="str">
        <f t="shared" si="10"/>
        <v>R</v>
      </c>
      <c r="Z84" s="105" t="str">
        <f t="shared" si="10"/>
        <v>F</v>
      </c>
      <c r="AA84" s="105" t="str">
        <f t="shared" si="10"/>
        <v>S</v>
      </c>
      <c r="AB84" s="105" t="str">
        <f t="shared" si="10"/>
        <v>S</v>
      </c>
      <c r="AC84" s="105" t="str">
        <f t="shared" si="10"/>
        <v>M</v>
      </c>
      <c r="AD84" s="105" t="str">
        <f t="shared" si="10"/>
        <v>T</v>
      </c>
      <c r="AE84" s="105" t="str">
        <f t="shared" si="10"/>
        <v>W</v>
      </c>
      <c r="AF84" s="105" t="str">
        <f t="shared" si="10"/>
        <v>R</v>
      </c>
      <c r="AG84" s="105" t="str">
        <f t="shared" si="10"/>
        <v>F</v>
      </c>
      <c r="AH84" s="1"/>
      <c r="AI84" s="117"/>
      <c r="AJ84" s="118"/>
      <c r="AK84" s="1"/>
      <c r="AL84" s="24"/>
      <c r="AN84" s="1"/>
      <c r="AO84" s="1"/>
      <c r="AP84" s="1"/>
      <c r="AQ84" s="1"/>
      <c r="AR84" s="1"/>
      <c r="AS84" s="1"/>
    </row>
    <row r="85" spans="1:45" ht="12.75" customHeight="1" thickBot="1" x14ac:dyDescent="0.3">
      <c r="A85" s="217"/>
      <c r="B85" s="35" t="s">
        <v>167</v>
      </c>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7"/>
      <c r="AH85" s="24"/>
      <c r="AI85" s="46"/>
      <c r="AJ85" s="120"/>
      <c r="AK85" s="20"/>
      <c r="AL85" s="41"/>
      <c r="AM85" s="42"/>
    </row>
    <row r="86" spans="1:45" ht="12.75" customHeight="1" thickTop="1" x14ac:dyDescent="0.2">
      <c r="A86" s="22" t="s">
        <v>200</v>
      </c>
      <c r="B86" s="39">
        <f t="shared" ref="B86:B98" si="11">SUM(C86:AG86)</f>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201</v>
      </c>
      <c r="B87" s="39">
        <f t="shared" si="11"/>
        <v>0</v>
      </c>
      <c r="C87" s="20">
        <v>0</v>
      </c>
      <c r="D87" s="20">
        <v>0</v>
      </c>
      <c r="E87" s="20">
        <v>0</v>
      </c>
      <c r="F87" s="20">
        <v>0</v>
      </c>
      <c r="G87" s="20">
        <v>0</v>
      </c>
      <c r="H87" s="20">
        <v>0</v>
      </c>
      <c r="I87" s="20">
        <v>0</v>
      </c>
      <c r="J87" s="20">
        <v>0</v>
      </c>
      <c r="K87" s="20">
        <v>0</v>
      </c>
      <c r="L87" s="20">
        <v>0</v>
      </c>
      <c r="M87" s="20">
        <v>0</v>
      </c>
      <c r="N87" s="20">
        <v>0</v>
      </c>
      <c r="O87" s="20">
        <v>0</v>
      </c>
      <c r="P87" s="20">
        <v>0</v>
      </c>
      <c r="Q87" s="20">
        <v>0</v>
      </c>
      <c r="R87" s="20">
        <v>0</v>
      </c>
      <c r="S87" s="20">
        <v>0</v>
      </c>
      <c r="T87" s="20">
        <v>0</v>
      </c>
      <c r="U87" s="20">
        <v>0</v>
      </c>
      <c r="V87" s="20">
        <v>0</v>
      </c>
      <c r="W87" s="20">
        <v>0</v>
      </c>
      <c r="X87" s="20">
        <v>0</v>
      </c>
      <c r="Y87" s="20">
        <v>0</v>
      </c>
      <c r="Z87" s="20">
        <v>0</v>
      </c>
      <c r="AA87" s="20">
        <v>0</v>
      </c>
      <c r="AB87" s="20">
        <v>0</v>
      </c>
      <c r="AC87" s="20">
        <v>0</v>
      </c>
      <c r="AD87" s="20">
        <v>0</v>
      </c>
      <c r="AE87" s="20">
        <v>0</v>
      </c>
      <c r="AF87" s="20">
        <v>0</v>
      </c>
      <c r="AG87" s="40">
        <v>0</v>
      </c>
      <c r="AH87" s="24"/>
      <c r="AJ87" s="24"/>
      <c r="AK87" s="20"/>
      <c r="AL87" s="41"/>
      <c r="AM87" s="42"/>
    </row>
    <row r="88" spans="1:45" ht="12.75" customHeight="1" x14ac:dyDescent="0.2">
      <c r="A88" s="22" t="s">
        <v>202</v>
      </c>
      <c r="B88" s="39">
        <f t="shared" si="11"/>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203</v>
      </c>
      <c r="B89" s="39">
        <f t="shared" si="11"/>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204</v>
      </c>
      <c r="B90" s="39">
        <f t="shared" si="11"/>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205</v>
      </c>
      <c r="B91" s="39">
        <f t="shared" si="11"/>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206</v>
      </c>
      <c r="B92" s="39">
        <f t="shared" si="11"/>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207</v>
      </c>
      <c r="B93" s="39">
        <f t="shared" si="11"/>
        <v>0</v>
      </c>
      <c r="C93" s="69">
        <v>0</v>
      </c>
      <c r="D93" s="69">
        <v>0</v>
      </c>
      <c r="E93" s="69">
        <v>0</v>
      </c>
      <c r="F93" s="69">
        <v>0</v>
      </c>
      <c r="G93" s="69">
        <v>0</v>
      </c>
      <c r="H93" s="69">
        <v>0</v>
      </c>
      <c r="I93" s="69">
        <v>0</v>
      </c>
      <c r="J93" s="69">
        <v>0</v>
      </c>
      <c r="K93" s="69">
        <v>0</v>
      </c>
      <c r="L93" s="69">
        <v>0</v>
      </c>
      <c r="M93" s="69">
        <v>0</v>
      </c>
      <c r="N93" s="69">
        <v>0</v>
      </c>
      <c r="O93" s="69">
        <v>0</v>
      </c>
      <c r="P93" s="69">
        <v>0</v>
      </c>
      <c r="Q93" s="69">
        <v>0</v>
      </c>
      <c r="R93" s="69">
        <v>0</v>
      </c>
      <c r="S93" s="69">
        <v>0</v>
      </c>
      <c r="T93" s="69">
        <v>0</v>
      </c>
      <c r="U93" s="69">
        <v>0</v>
      </c>
      <c r="V93" s="69">
        <v>0</v>
      </c>
      <c r="W93" s="69">
        <v>0</v>
      </c>
      <c r="X93" s="69">
        <v>0</v>
      </c>
      <c r="Y93" s="69">
        <v>0</v>
      </c>
      <c r="Z93" s="69">
        <v>0</v>
      </c>
      <c r="AA93" s="69">
        <v>0</v>
      </c>
      <c r="AB93" s="69">
        <v>0</v>
      </c>
      <c r="AC93" s="69">
        <v>0</v>
      </c>
      <c r="AD93" s="69">
        <v>0</v>
      </c>
      <c r="AE93" s="69">
        <v>0</v>
      </c>
      <c r="AF93" s="69">
        <v>0</v>
      </c>
      <c r="AG93" s="40">
        <v>0</v>
      </c>
      <c r="AH93" s="24"/>
      <c r="AJ93" s="24"/>
      <c r="AK93" s="20"/>
      <c r="AL93" s="41"/>
      <c r="AM93" s="42"/>
    </row>
    <row r="94" spans="1:45" ht="12.75" customHeight="1" x14ac:dyDescent="0.2">
      <c r="A94" s="22" t="s">
        <v>208</v>
      </c>
      <c r="B94" s="39">
        <f t="shared" si="11"/>
        <v>0</v>
      </c>
      <c r="C94" s="20">
        <v>0</v>
      </c>
      <c r="D94" s="20">
        <v>0</v>
      </c>
      <c r="E94" s="20">
        <v>0</v>
      </c>
      <c r="F94" s="20">
        <v>0</v>
      </c>
      <c r="G94" s="20">
        <v>0</v>
      </c>
      <c r="H94" s="20">
        <v>0</v>
      </c>
      <c r="I94" s="20">
        <v>0</v>
      </c>
      <c r="J94" s="20">
        <v>0</v>
      </c>
      <c r="K94" s="20">
        <v>0</v>
      </c>
      <c r="L94" s="20">
        <v>0</v>
      </c>
      <c r="M94" s="20">
        <v>0</v>
      </c>
      <c r="N94" s="20">
        <v>0</v>
      </c>
      <c r="O94" s="20">
        <v>0</v>
      </c>
      <c r="P94" s="20">
        <v>0</v>
      </c>
      <c r="Q94" s="20">
        <v>0</v>
      </c>
      <c r="R94" s="20">
        <v>0</v>
      </c>
      <c r="S94" s="20">
        <v>0</v>
      </c>
      <c r="T94" s="20">
        <v>0</v>
      </c>
      <c r="U94" s="20">
        <v>0</v>
      </c>
      <c r="V94" s="20">
        <v>0</v>
      </c>
      <c r="W94" s="20">
        <v>0</v>
      </c>
      <c r="X94" s="20">
        <v>0</v>
      </c>
      <c r="Y94" s="20">
        <v>0</v>
      </c>
      <c r="Z94" s="20">
        <v>0</v>
      </c>
      <c r="AA94" s="20">
        <v>0</v>
      </c>
      <c r="AB94" s="20">
        <v>0</v>
      </c>
      <c r="AC94" s="20">
        <v>0</v>
      </c>
      <c r="AD94" s="20">
        <v>0</v>
      </c>
      <c r="AE94" s="20">
        <v>0</v>
      </c>
      <c r="AF94" s="20">
        <v>0</v>
      </c>
      <c r="AG94" s="40">
        <v>0</v>
      </c>
      <c r="AH94" s="24"/>
      <c r="AJ94" s="24"/>
      <c r="AK94" s="20"/>
      <c r="AL94" s="41"/>
      <c r="AM94" s="42"/>
    </row>
    <row r="95" spans="1:45" ht="12.75" customHeight="1" x14ac:dyDescent="0.2">
      <c r="A95" s="22" t="s">
        <v>209</v>
      </c>
      <c r="B95" s="39">
        <f t="shared" si="11"/>
        <v>0</v>
      </c>
      <c r="C95" s="69">
        <v>0</v>
      </c>
      <c r="D95" s="69">
        <v>0</v>
      </c>
      <c r="E95" s="69">
        <v>0</v>
      </c>
      <c r="F95" s="69">
        <v>0</v>
      </c>
      <c r="G95" s="69">
        <v>0</v>
      </c>
      <c r="H95" s="69">
        <v>0</v>
      </c>
      <c r="I95" s="69">
        <v>0</v>
      </c>
      <c r="J95" s="69">
        <v>0</v>
      </c>
      <c r="K95" s="69">
        <v>0</v>
      </c>
      <c r="L95" s="69">
        <v>0</v>
      </c>
      <c r="M95" s="69">
        <v>0</v>
      </c>
      <c r="N95" s="69">
        <v>0</v>
      </c>
      <c r="O95" s="69">
        <v>0</v>
      </c>
      <c r="P95" s="69">
        <v>0</v>
      </c>
      <c r="Q95" s="69">
        <v>0</v>
      </c>
      <c r="R95" s="69">
        <v>0</v>
      </c>
      <c r="S95" s="69">
        <v>0</v>
      </c>
      <c r="T95" s="69">
        <v>0</v>
      </c>
      <c r="U95" s="69">
        <v>0</v>
      </c>
      <c r="V95" s="69">
        <v>0</v>
      </c>
      <c r="W95" s="69">
        <v>0</v>
      </c>
      <c r="X95" s="69">
        <v>0</v>
      </c>
      <c r="Y95" s="69">
        <v>0</v>
      </c>
      <c r="Z95" s="69">
        <v>0</v>
      </c>
      <c r="AA95" s="69">
        <v>0</v>
      </c>
      <c r="AB95" s="69">
        <v>0</v>
      </c>
      <c r="AC95" s="69">
        <v>0</v>
      </c>
      <c r="AD95" s="69">
        <v>0</v>
      </c>
      <c r="AE95" s="69">
        <v>0</v>
      </c>
      <c r="AF95" s="69">
        <v>0</v>
      </c>
      <c r="AG95" s="40">
        <v>0</v>
      </c>
      <c r="AH95" s="24"/>
      <c r="AJ95" s="24"/>
      <c r="AK95" s="20"/>
      <c r="AL95" s="41"/>
      <c r="AM95" s="42"/>
    </row>
    <row r="96" spans="1:45" ht="12.75" customHeight="1" x14ac:dyDescent="0.2">
      <c r="A96" s="22" t="s">
        <v>210</v>
      </c>
      <c r="B96" s="39">
        <f t="shared" si="11"/>
        <v>0</v>
      </c>
      <c r="C96" s="20">
        <v>0</v>
      </c>
      <c r="D96" s="20">
        <v>0</v>
      </c>
      <c r="E96" s="20">
        <v>0</v>
      </c>
      <c r="F96" s="20">
        <v>0</v>
      </c>
      <c r="G96" s="20">
        <v>0</v>
      </c>
      <c r="H96" s="20">
        <v>0</v>
      </c>
      <c r="I96" s="20">
        <v>0</v>
      </c>
      <c r="J96" s="20">
        <v>0</v>
      </c>
      <c r="K96" s="20">
        <v>0</v>
      </c>
      <c r="L96" s="20">
        <v>0</v>
      </c>
      <c r="M96" s="20">
        <v>0</v>
      </c>
      <c r="N96" s="20">
        <v>0</v>
      </c>
      <c r="O96" s="20">
        <v>0</v>
      </c>
      <c r="P96" s="20">
        <v>0</v>
      </c>
      <c r="Q96" s="20">
        <v>0</v>
      </c>
      <c r="R96" s="20">
        <v>0</v>
      </c>
      <c r="S96" s="20">
        <v>0</v>
      </c>
      <c r="T96" s="20">
        <v>0</v>
      </c>
      <c r="U96" s="20">
        <v>0</v>
      </c>
      <c r="V96" s="20">
        <v>0</v>
      </c>
      <c r="W96" s="20">
        <v>0</v>
      </c>
      <c r="X96" s="20">
        <v>0</v>
      </c>
      <c r="Y96" s="20">
        <v>0</v>
      </c>
      <c r="Z96" s="20">
        <v>0</v>
      </c>
      <c r="AA96" s="20">
        <v>0</v>
      </c>
      <c r="AB96" s="20">
        <v>0</v>
      </c>
      <c r="AC96" s="20">
        <v>0</v>
      </c>
      <c r="AD96" s="20">
        <v>0</v>
      </c>
      <c r="AE96" s="20">
        <v>0</v>
      </c>
      <c r="AF96" s="20">
        <v>0</v>
      </c>
      <c r="AG96" s="40">
        <v>0</v>
      </c>
      <c r="AH96" s="24"/>
      <c r="AJ96" s="24"/>
      <c r="AK96" s="20"/>
      <c r="AL96" s="41"/>
      <c r="AM96" s="42"/>
    </row>
    <row r="97" spans="1:45" ht="12.75" customHeight="1" x14ac:dyDescent="0.2">
      <c r="A97" s="22" t="s">
        <v>211</v>
      </c>
      <c r="B97" s="39">
        <f t="shared" si="11"/>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t="s">
        <v>212</v>
      </c>
      <c r="B98" s="39">
        <f t="shared" si="11"/>
        <v>0</v>
      </c>
      <c r="C98" s="69">
        <v>0</v>
      </c>
      <c r="D98" s="69">
        <v>0</v>
      </c>
      <c r="E98" s="69">
        <v>0</v>
      </c>
      <c r="F98" s="69">
        <v>0</v>
      </c>
      <c r="G98" s="69">
        <v>0</v>
      </c>
      <c r="H98" s="69">
        <v>0</v>
      </c>
      <c r="I98" s="69">
        <v>0</v>
      </c>
      <c r="J98" s="69">
        <v>0</v>
      </c>
      <c r="K98" s="69">
        <v>0</v>
      </c>
      <c r="L98" s="69">
        <v>0</v>
      </c>
      <c r="M98" s="69">
        <v>0</v>
      </c>
      <c r="N98" s="69">
        <v>0</v>
      </c>
      <c r="O98" s="69">
        <v>0</v>
      </c>
      <c r="P98" s="69">
        <v>0</v>
      </c>
      <c r="Q98" s="69">
        <v>0</v>
      </c>
      <c r="R98" s="69">
        <v>0</v>
      </c>
      <c r="S98" s="69">
        <v>0</v>
      </c>
      <c r="T98" s="69">
        <v>0</v>
      </c>
      <c r="U98" s="69">
        <v>0</v>
      </c>
      <c r="V98" s="69">
        <v>0</v>
      </c>
      <c r="W98" s="69">
        <v>0</v>
      </c>
      <c r="X98" s="69">
        <v>0</v>
      </c>
      <c r="Y98" s="69">
        <v>0</v>
      </c>
      <c r="Z98" s="69">
        <v>0</v>
      </c>
      <c r="AA98" s="69">
        <v>0</v>
      </c>
      <c r="AB98" s="69">
        <v>0</v>
      </c>
      <c r="AC98" s="69">
        <v>0</v>
      </c>
      <c r="AD98" s="69">
        <v>0</v>
      </c>
      <c r="AE98" s="69">
        <v>0</v>
      </c>
      <c r="AF98" s="69">
        <v>0</v>
      </c>
      <c r="AG98" s="40">
        <v>0</v>
      </c>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19" t="s">
        <v>213</v>
      </c>
      <c r="B102" s="51">
        <f>SUM(B88:B101)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161</v>
      </c>
      <c r="C104" s="32">
        <f t="shared" ref="C104:AG104" si="12">SUM(C108:C117)</f>
        <v>0</v>
      </c>
      <c r="D104" s="32">
        <f t="shared" si="12"/>
        <v>0</v>
      </c>
      <c r="E104" s="32">
        <f t="shared" si="12"/>
        <v>0</v>
      </c>
      <c r="F104" s="32">
        <f t="shared" si="12"/>
        <v>0</v>
      </c>
      <c r="G104" s="32">
        <f t="shared" si="12"/>
        <v>0</v>
      </c>
      <c r="H104" s="32">
        <f t="shared" si="12"/>
        <v>0</v>
      </c>
      <c r="I104" s="32">
        <f t="shared" si="12"/>
        <v>0</v>
      </c>
      <c r="J104" s="32">
        <f t="shared" si="12"/>
        <v>0</v>
      </c>
      <c r="K104" s="32">
        <f t="shared" si="12"/>
        <v>0</v>
      </c>
      <c r="L104" s="32">
        <f t="shared" si="12"/>
        <v>0</v>
      </c>
      <c r="M104" s="32">
        <f t="shared" si="12"/>
        <v>0</v>
      </c>
      <c r="N104" s="32">
        <f t="shared" si="12"/>
        <v>0</v>
      </c>
      <c r="O104" s="32">
        <f t="shared" si="12"/>
        <v>0</v>
      </c>
      <c r="P104" s="32">
        <f t="shared" si="12"/>
        <v>0</v>
      </c>
      <c r="Q104" s="32">
        <f t="shared" si="12"/>
        <v>0</v>
      </c>
      <c r="R104" s="32">
        <f t="shared" si="12"/>
        <v>0</v>
      </c>
      <c r="S104" s="32">
        <f t="shared" si="12"/>
        <v>0</v>
      </c>
      <c r="T104" s="32">
        <f t="shared" si="12"/>
        <v>0</v>
      </c>
      <c r="U104" s="32">
        <f t="shared" si="12"/>
        <v>0</v>
      </c>
      <c r="V104" s="32">
        <f t="shared" si="12"/>
        <v>0</v>
      </c>
      <c r="W104" s="32">
        <f t="shared" si="12"/>
        <v>0</v>
      </c>
      <c r="X104" s="32">
        <f t="shared" si="12"/>
        <v>0</v>
      </c>
      <c r="Y104" s="32">
        <f t="shared" si="12"/>
        <v>0</v>
      </c>
      <c r="Z104" s="32">
        <f t="shared" si="12"/>
        <v>0</v>
      </c>
      <c r="AA104" s="32">
        <f t="shared" si="12"/>
        <v>0</v>
      </c>
      <c r="AB104" s="32">
        <f t="shared" si="12"/>
        <v>0</v>
      </c>
      <c r="AC104" s="32">
        <f t="shared" si="12"/>
        <v>0</v>
      </c>
      <c r="AD104" s="32">
        <f t="shared" si="12"/>
        <v>0</v>
      </c>
      <c r="AE104" s="32">
        <f t="shared" si="12"/>
        <v>0</v>
      </c>
      <c r="AF104" s="32">
        <f t="shared" si="12"/>
        <v>0</v>
      </c>
      <c r="AG104" s="32">
        <f t="shared" si="12"/>
        <v>0</v>
      </c>
      <c r="AH104" s="1"/>
      <c r="AI104" s="117"/>
      <c r="AJ104" s="118"/>
      <c r="AK104" s="1"/>
      <c r="AL104" s="33"/>
      <c r="AN104" s="1"/>
      <c r="AO104" s="1"/>
      <c r="AP104" s="1"/>
      <c r="AQ104" s="1"/>
      <c r="AR104" s="1"/>
      <c r="AS104" s="1"/>
    </row>
    <row r="105" spans="1:45" s="99" customFormat="1" ht="12.75" customHeight="1" x14ac:dyDescent="0.25">
      <c r="A105" s="216" t="s">
        <v>214</v>
      </c>
      <c r="B105" s="116">
        <f t="shared" ref="B105:AG105" si="13">B44</f>
        <v>36831</v>
      </c>
      <c r="C105" s="104">
        <f t="shared" si="13"/>
        <v>36831</v>
      </c>
      <c r="D105" s="104">
        <f t="shared" si="13"/>
        <v>36832</v>
      </c>
      <c r="E105" s="104">
        <f t="shared" si="13"/>
        <v>36833</v>
      </c>
      <c r="F105" s="104">
        <f t="shared" si="13"/>
        <v>36834</v>
      </c>
      <c r="G105" s="104">
        <f t="shared" si="13"/>
        <v>36835</v>
      </c>
      <c r="H105" s="104">
        <f t="shared" si="13"/>
        <v>36836</v>
      </c>
      <c r="I105" s="104">
        <f t="shared" si="13"/>
        <v>36837</v>
      </c>
      <c r="J105" s="104">
        <f t="shared" si="13"/>
        <v>36838</v>
      </c>
      <c r="K105" s="104">
        <f t="shared" si="13"/>
        <v>36839</v>
      </c>
      <c r="L105" s="104">
        <f t="shared" si="13"/>
        <v>36840</v>
      </c>
      <c r="M105" s="104">
        <f t="shared" si="13"/>
        <v>36841</v>
      </c>
      <c r="N105" s="104">
        <f t="shared" si="13"/>
        <v>36842</v>
      </c>
      <c r="O105" s="104">
        <f t="shared" si="13"/>
        <v>36843</v>
      </c>
      <c r="P105" s="104">
        <f t="shared" si="13"/>
        <v>36844</v>
      </c>
      <c r="Q105" s="104">
        <f t="shared" si="13"/>
        <v>36845</v>
      </c>
      <c r="R105" s="104">
        <f t="shared" si="13"/>
        <v>36846</v>
      </c>
      <c r="S105" s="104">
        <f t="shared" si="13"/>
        <v>36847</v>
      </c>
      <c r="T105" s="104">
        <f t="shared" si="13"/>
        <v>36848</v>
      </c>
      <c r="U105" s="104">
        <f t="shared" si="13"/>
        <v>36849</v>
      </c>
      <c r="V105" s="104">
        <f t="shared" si="13"/>
        <v>36850</v>
      </c>
      <c r="W105" s="104">
        <f t="shared" si="13"/>
        <v>36851</v>
      </c>
      <c r="X105" s="104">
        <f t="shared" si="13"/>
        <v>36852</v>
      </c>
      <c r="Y105" s="104">
        <f t="shared" si="13"/>
        <v>36853</v>
      </c>
      <c r="Z105" s="104">
        <f t="shared" si="13"/>
        <v>36854</v>
      </c>
      <c r="AA105" s="104">
        <f t="shared" si="13"/>
        <v>36855</v>
      </c>
      <c r="AB105" s="104">
        <f t="shared" si="13"/>
        <v>36856</v>
      </c>
      <c r="AC105" s="104">
        <f t="shared" si="13"/>
        <v>36857</v>
      </c>
      <c r="AD105" s="104">
        <f t="shared" si="13"/>
        <v>36858</v>
      </c>
      <c r="AE105" s="104">
        <f t="shared" si="13"/>
        <v>36859</v>
      </c>
      <c r="AF105" s="104">
        <f t="shared" si="13"/>
        <v>36860</v>
      </c>
      <c r="AG105" s="104">
        <f t="shared" si="13"/>
        <v>36861</v>
      </c>
      <c r="AI105" s="117"/>
      <c r="AJ105" s="119"/>
      <c r="AL105" s="100"/>
    </row>
    <row r="106" spans="1:45" ht="12.75" customHeight="1" x14ac:dyDescent="0.25">
      <c r="A106" s="34"/>
      <c r="B106" s="34"/>
      <c r="C106" s="105" t="str">
        <f t="shared" ref="C106:AG106" si="14">C45</f>
        <v>W</v>
      </c>
      <c r="D106" s="105" t="str">
        <f t="shared" si="14"/>
        <v>R</v>
      </c>
      <c r="E106" s="105" t="str">
        <f t="shared" si="14"/>
        <v>F</v>
      </c>
      <c r="F106" s="105" t="str">
        <f t="shared" si="14"/>
        <v>S</v>
      </c>
      <c r="G106" s="105" t="str">
        <f t="shared" si="14"/>
        <v>S</v>
      </c>
      <c r="H106" s="105" t="str">
        <f t="shared" si="14"/>
        <v>M</v>
      </c>
      <c r="I106" s="105" t="str">
        <f t="shared" si="14"/>
        <v>T</v>
      </c>
      <c r="J106" s="105" t="str">
        <f t="shared" si="14"/>
        <v>W</v>
      </c>
      <c r="K106" s="105" t="str">
        <f t="shared" si="14"/>
        <v>R</v>
      </c>
      <c r="L106" s="105" t="str">
        <f t="shared" si="14"/>
        <v>F</v>
      </c>
      <c r="M106" s="105" t="str">
        <f t="shared" si="14"/>
        <v>S</v>
      </c>
      <c r="N106" s="105" t="str">
        <f t="shared" si="14"/>
        <v>S</v>
      </c>
      <c r="O106" s="105" t="str">
        <f t="shared" si="14"/>
        <v>M</v>
      </c>
      <c r="P106" s="105" t="str">
        <f t="shared" si="14"/>
        <v>T</v>
      </c>
      <c r="Q106" s="105" t="str">
        <f t="shared" si="14"/>
        <v>W</v>
      </c>
      <c r="R106" s="105" t="str">
        <f t="shared" si="14"/>
        <v>R</v>
      </c>
      <c r="S106" s="105" t="str">
        <f t="shared" si="14"/>
        <v>F</v>
      </c>
      <c r="T106" s="105" t="str">
        <f t="shared" si="14"/>
        <v>S</v>
      </c>
      <c r="U106" s="105" t="str">
        <f t="shared" si="14"/>
        <v>S</v>
      </c>
      <c r="V106" s="105" t="str">
        <f t="shared" si="14"/>
        <v>M</v>
      </c>
      <c r="W106" s="105" t="str">
        <f t="shared" si="14"/>
        <v>T</v>
      </c>
      <c r="X106" s="105" t="str">
        <f t="shared" si="14"/>
        <v>W</v>
      </c>
      <c r="Y106" s="105" t="str">
        <f t="shared" si="14"/>
        <v>R</v>
      </c>
      <c r="Z106" s="105" t="str">
        <f t="shared" si="14"/>
        <v>F</v>
      </c>
      <c r="AA106" s="105" t="str">
        <f t="shared" si="14"/>
        <v>S</v>
      </c>
      <c r="AB106" s="105" t="str">
        <f t="shared" si="14"/>
        <v>S</v>
      </c>
      <c r="AC106" s="105" t="str">
        <f t="shared" si="14"/>
        <v>M</v>
      </c>
      <c r="AD106" s="105" t="str">
        <f t="shared" si="14"/>
        <v>T</v>
      </c>
      <c r="AE106" s="105" t="str">
        <f t="shared" si="14"/>
        <v>W</v>
      </c>
      <c r="AF106" s="105" t="str">
        <f t="shared" si="14"/>
        <v>R</v>
      </c>
      <c r="AG106" s="105" t="str">
        <f t="shared" si="14"/>
        <v>F</v>
      </c>
      <c r="AH106" s="1"/>
      <c r="AI106" s="117"/>
      <c r="AJ106" s="118"/>
      <c r="AK106" s="1"/>
      <c r="AL106" s="24"/>
      <c r="AN106" s="1"/>
      <c r="AO106" s="1"/>
      <c r="AP106" s="1"/>
      <c r="AQ106" s="1"/>
      <c r="AR106" s="1"/>
      <c r="AS106" s="1"/>
    </row>
    <row r="107" spans="1:45" ht="12.75" customHeight="1" thickBot="1" x14ac:dyDescent="0.3">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205</v>
      </c>
      <c r="B108" s="39">
        <f t="shared" ref="B108:B113" si="15">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207</v>
      </c>
      <c r="B109" s="39">
        <f t="shared" si="15"/>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208</v>
      </c>
      <c r="B110" s="39">
        <f t="shared" si="15"/>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209</v>
      </c>
      <c r="B111" s="39">
        <f t="shared" si="15"/>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210</v>
      </c>
      <c r="B112" s="39">
        <f t="shared" si="15"/>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212</v>
      </c>
      <c r="B113" s="39">
        <f t="shared" si="15"/>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216</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217</v>
      </c>
      <c r="B124" s="76"/>
      <c r="C124" s="77"/>
      <c r="D124" s="77"/>
      <c r="E124" s="78"/>
      <c r="G124" s="75" t="s">
        <v>218</v>
      </c>
      <c r="H124" s="75"/>
      <c r="I124" s="76"/>
      <c r="J124" s="77"/>
      <c r="K124" s="77"/>
      <c r="L124" s="78"/>
      <c r="M124" s="9"/>
      <c r="N124" s="9"/>
      <c r="O124" s="1"/>
      <c r="P124" s="1"/>
    </row>
    <row r="125" spans="1:39" ht="12.75" customHeight="1" thickTop="1" x14ac:dyDescent="0.2">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
      <c r="A126" s="152" t="s">
        <v>253</v>
      </c>
      <c r="B126" s="24" t="s">
        <v>254</v>
      </c>
      <c r="C126" s="24"/>
      <c r="D126" s="38"/>
      <c r="E126" s="141"/>
      <c r="G126" s="81"/>
      <c r="H126" s="80"/>
      <c r="I126" s="24"/>
      <c r="J126" s="1"/>
      <c r="K126" s="149"/>
      <c r="L126" s="141"/>
      <c r="M126" s="1"/>
      <c r="N126" s="1"/>
      <c r="O126" s="1"/>
      <c r="P126" s="1"/>
    </row>
    <row r="127" spans="1:39" ht="12.75" customHeight="1" x14ac:dyDescent="0.2">
      <c r="A127" s="436">
        <v>36800</v>
      </c>
      <c r="B127" s="24" t="s">
        <v>519</v>
      </c>
      <c r="C127" s="24"/>
      <c r="D127" s="49"/>
      <c r="E127" s="141">
        <v>3731</v>
      </c>
      <c r="G127" s="81" t="s">
        <v>565</v>
      </c>
      <c r="H127" s="9" t="s">
        <v>567</v>
      </c>
      <c r="I127" s="24"/>
      <c r="J127" s="1"/>
      <c r="K127" s="149"/>
      <c r="L127" s="141">
        <v>19119</v>
      </c>
      <c r="M127" s="1"/>
      <c r="N127" s="1"/>
      <c r="O127" s="1"/>
      <c r="P127" s="1"/>
    </row>
    <row r="128" spans="1:39" ht="12.75" customHeight="1" x14ac:dyDescent="0.2">
      <c r="A128" s="436"/>
      <c r="B128" s="24"/>
      <c r="C128" s="24"/>
      <c r="D128" s="49"/>
      <c r="E128" s="141"/>
      <c r="G128" s="81"/>
      <c r="H128" s="24"/>
      <c r="I128" s="1"/>
      <c r="J128" s="1"/>
      <c r="K128" s="149"/>
      <c r="L128" s="141"/>
      <c r="M128" s="1"/>
      <c r="N128" s="1"/>
      <c r="O128" s="1"/>
      <c r="P128" s="1"/>
    </row>
    <row r="129" spans="1:16" ht="12.75" customHeight="1" x14ac:dyDescent="0.2">
      <c r="A129" s="153"/>
      <c r="B129" s="24"/>
      <c r="C129" s="24"/>
      <c r="D129" s="38"/>
      <c r="E129" s="141"/>
      <c r="G129" s="81"/>
      <c r="H129" s="24"/>
      <c r="I129" s="1"/>
      <c r="J129" s="1"/>
      <c r="K129" s="38"/>
      <c r="L129" s="142"/>
      <c r="M129" s="1"/>
      <c r="N129" s="1"/>
      <c r="O129" s="1"/>
      <c r="P129" s="1"/>
    </row>
    <row r="130" spans="1:16" ht="12.75" customHeight="1" x14ac:dyDescent="0.2">
      <c r="A130" s="153"/>
      <c r="B130" s="24"/>
      <c r="C130" s="24"/>
      <c r="D130" s="38"/>
      <c r="E130" s="141"/>
      <c r="G130" s="81"/>
      <c r="H130" s="24"/>
      <c r="I130" s="1"/>
      <c r="J130" s="1"/>
      <c r="K130" s="38"/>
      <c r="L130" s="141"/>
      <c r="M130" s="1"/>
      <c r="N130" s="1"/>
      <c r="O130" s="1"/>
      <c r="P130" s="1"/>
    </row>
    <row r="131" spans="1:16" ht="12.75" customHeight="1" x14ac:dyDescent="0.2">
      <c r="A131" s="153"/>
      <c r="B131" s="24"/>
      <c r="C131" s="24"/>
      <c r="D131" s="38"/>
      <c r="E131" s="141"/>
      <c r="G131" s="466"/>
      <c r="H131" s="24"/>
      <c r="I131" s="1"/>
      <c r="J131" s="1"/>
      <c r="K131" s="38"/>
      <c r="L131" s="141"/>
      <c r="M131" s="1"/>
      <c r="N131" s="1"/>
      <c r="O131" s="1"/>
      <c r="P131" s="1"/>
    </row>
    <row r="132" spans="1:16" ht="12.75" customHeight="1" x14ac:dyDescent="0.2">
      <c r="A132" s="153"/>
      <c r="B132" s="24"/>
      <c r="C132" s="24"/>
      <c r="D132" s="38"/>
      <c r="E132" s="141"/>
      <c r="G132" s="81"/>
      <c r="H132" s="1"/>
      <c r="I132" s="1"/>
      <c r="J132" s="1"/>
      <c r="K132" s="149"/>
      <c r="L132" s="142"/>
      <c r="M132" s="1"/>
      <c r="N132" s="1"/>
      <c r="O132" s="1"/>
      <c r="P132" s="1"/>
    </row>
    <row r="133" spans="1:16" ht="12.75" customHeight="1" x14ac:dyDescent="0.2">
      <c r="A133" s="153"/>
      <c r="B133" s="24"/>
      <c r="C133" s="24"/>
      <c r="D133" s="38"/>
      <c r="E133" s="141"/>
      <c r="G133" s="81"/>
      <c r="H133" s="24"/>
      <c r="I133" s="1"/>
      <c r="J133" s="1"/>
      <c r="K133" s="38"/>
      <c r="L133" s="142"/>
      <c r="M133" s="1"/>
      <c r="N133" s="1"/>
      <c r="O133" s="1"/>
      <c r="P133" s="1"/>
    </row>
    <row r="134" spans="1:16" ht="12.75" customHeight="1" x14ac:dyDescent="0.2">
      <c r="A134" s="153"/>
      <c r="B134" s="24"/>
      <c r="C134" s="82"/>
      <c r="D134" s="38"/>
      <c r="E134" s="141"/>
      <c r="G134" s="81"/>
      <c r="H134" s="24"/>
      <c r="I134" s="1"/>
      <c r="J134" s="1"/>
      <c r="K134" s="38"/>
      <c r="L134" s="141"/>
      <c r="M134" s="43"/>
      <c r="N134" s="42"/>
      <c r="O134" s="1"/>
      <c r="P134" s="1"/>
    </row>
    <row r="135" spans="1:16" ht="12.75" customHeight="1" x14ac:dyDescent="0.2">
      <c r="A135" s="153"/>
      <c r="B135" s="24"/>
      <c r="C135" s="82"/>
      <c r="D135" s="38"/>
      <c r="E135" s="141"/>
      <c r="G135" s="81"/>
      <c r="H135" s="24"/>
      <c r="I135" s="1"/>
      <c r="J135" s="1"/>
      <c r="K135" s="38"/>
      <c r="L135" s="141"/>
      <c r="M135" s="43"/>
      <c r="N135" s="1"/>
      <c r="O135" s="1"/>
      <c r="P135" s="1"/>
    </row>
    <row r="136" spans="1:16" ht="12.75" customHeight="1" x14ac:dyDescent="0.2">
      <c r="A136" s="153"/>
      <c r="B136" s="24"/>
      <c r="C136" s="82"/>
      <c r="D136" s="38"/>
      <c r="E136" s="141"/>
      <c r="G136" s="81"/>
      <c r="H136" s="24"/>
      <c r="I136" s="1"/>
      <c r="J136" s="1"/>
      <c r="K136" s="38"/>
      <c r="L136" s="141"/>
      <c r="M136" s="1"/>
      <c r="N136" s="43"/>
      <c r="O136" s="1"/>
      <c r="P136" s="1"/>
    </row>
    <row r="137" spans="1:16" ht="12.75" customHeight="1" x14ac:dyDescent="0.2">
      <c r="A137" s="153"/>
      <c r="B137" s="24"/>
      <c r="C137" s="24"/>
      <c r="D137" s="38"/>
      <c r="E137" s="141"/>
      <c r="G137" s="81"/>
      <c r="H137" s="24"/>
      <c r="I137" s="1"/>
      <c r="J137" s="1"/>
      <c r="K137" s="38"/>
      <c r="L137" s="141"/>
      <c r="M137" s="1"/>
      <c r="N137" s="43"/>
      <c r="O137" s="1"/>
      <c r="P137" s="1"/>
    </row>
    <row r="138" spans="1:16" ht="12.75" customHeight="1" x14ac:dyDescent="0.2">
      <c r="A138" s="153"/>
      <c r="B138" s="24"/>
      <c r="C138" s="24"/>
      <c r="D138" s="38"/>
      <c r="E138" s="141"/>
      <c r="G138" s="81"/>
      <c r="H138" s="24"/>
      <c r="I138" s="1"/>
      <c r="J138" s="1"/>
      <c r="K138" s="38"/>
      <c r="L138" s="141"/>
      <c r="M138" s="1"/>
      <c r="N138" s="1"/>
      <c r="O138" s="1"/>
      <c r="P138" s="1"/>
    </row>
    <row r="139" spans="1:16" ht="12.75" customHeight="1" x14ac:dyDescent="0.2">
      <c r="A139" s="153"/>
      <c r="B139" s="24"/>
      <c r="C139" s="24"/>
      <c r="D139" s="38"/>
      <c r="E139" s="141"/>
      <c r="G139" s="81"/>
      <c r="H139" s="24"/>
      <c r="I139" s="1"/>
      <c r="J139" s="1"/>
      <c r="K139" s="38"/>
      <c r="L139" s="141"/>
      <c r="M139" s="1"/>
      <c r="N139" s="1"/>
      <c r="O139" s="1"/>
      <c r="P139" s="1"/>
    </row>
    <row r="140" spans="1:16" ht="12.75" customHeight="1" x14ac:dyDescent="0.2">
      <c r="A140" s="153"/>
      <c r="B140" s="24"/>
      <c r="C140" s="83"/>
      <c r="D140" s="38"/>
      <c r="E140" s="141"/>
      <c r="G140" s="81"/>
      <c r="H140" s="24"/>
      <c r="I140" s="1"/>
      <c r="J140" s="1"/>
      <c r="K140" s="38"/>
      <c r="L140" s="141"/>
      <c r="M140" s="1"/>
      <c r="N140" s="1"/>
      <c r="O140" s="1"/>
      <c r="P140" s="1"/>
    </row>
    <row r="141" spans="1:16" ht="12.75" customHeight="1" x14ac:dyDescent="0.2">
      <c r="A141" s="153"/>
      <c r="B141" s="24"/>
      <c r="C141"/>
      <c r="D141" s="38"/>
      <c r="E141" s="141"/>
      <c r="G141" s="81"/>
      <c r="H141" s="24"/>
      <c r="I141" s="1"/>
      <c r="J141" s="1"/>
      <c r="K141" s="38"/>
      <c r="L141" s="141"/>
      <c r="M141" s="1"/>
      <c r="N141" s="1"/>
      <c r="O141" s="1"/>
      <c r="P141" s="1"/>
    </row>
    <row r="142" spans="1:16" ht="12.75" customHeight="1" x14ac:dyDescent="0.2">
      <c r="A142" s="153"/>
      <c r="B142" s="24"/>
      <c r="C142"/>
      <c r="D142" s="38"/>
      <c r="E142" s="141"/>
      <c r="G142" s="81"/>
      <c r="H142" s="24"/>
      <c r="I142" s="1"/>
      <c r="J142" s="1"/>
      <c r="K142" s="38"/>
      <c r="L142" s="141"/>
      <c r="M142" s="1"/>
      <c r="N142" s="1"/>
      <c r="O142" s="1"/>
      <c r="P142" s="1"/>
    </row>
    <row r="143" spans="1:16" ht="12.75" customHeight="1" x14ac:dyDescent="0.2">
      <c r="A143" s="153"/>
      <c r="B143" s="24"/>
      <c r="C143"/>
      <c r="D143" s="38"/>
      <c r="E143" s="141"/>
      <c r="G143" s="81"/>
      <c r="H143" s="24"/>
      <c r="I143" s="1"/>
      <c r="J143" s="1"/>
      <c r="K143" s="38"/>
      <c r="L143" s="141"/>
      <c r="M143" s="1"/>
      <c r="N143" s="1"/>
      <c r="O143" s="1"/>
      <c r="P143" s="1"/>
    </row>
    <row r="144" spans="1:16" ht="12.75" customHeight="1" x14ac:dyDescent="0.2">
      <c r="A144" s="153"/>
      <c r="B144" s="24"/>
      <c r="C144"/>
      <c r="D144" s="38"/>
      <c r="E144" s="141"/>
      <c r="G144" s="81"/>
      <c r="H144" s="24"/>
      <c r="I144" s="1"/>
      <c r="J144" s="1"/>
      <c r="K144" s="38"/>
      <c r="L144" s="141"/>
      <c r="M144" s="1"/>
      <c r="N144" s="1"/>
      <c r="O144" s="1"/>
      <c r="P144" s="1"/>
    </row>
    <row r="145" spans="1:39" ht="12.75" customHeight="1" x14ac:dyDescent="0.2">
      <c r="A145" s="153"/>
      <c r="B145"/>
      <c r="C145"/>
      <c r="D145" s="38"/>
      <c r="E145" s="141"/>
      <c r="G145" s="81"/>
      <c r="H145" s="24"/>
      <c r="I145" s="1"/>
      <c r="J145" s="1"/>
      <c r="K145" s="38"/>
      <c r="L145" s="141"/>
      <c r="M145" s="1"/>
      <c r="N145" s="1"/>
      <c r="O145" s="1"/>
      <c r="P145" s="1"/>
    </row>
    <row r="146" spans="1:39" ht="12.75" customHeight="1" x14ac:dyDescent="0.2">
      <c r="A146" s="153"/>
      <c r="B146" s="24"/>
      <c r="C146"/>
      <c r="D146" s="38"/>
      <c r="E146" s="141"/>
      <c r="G146" s="81"/>
      <c r="H146" s="24"/>
      <c r="I146" s="1"/>
      <c r="J146" s="1"/>
      <c r="K146" s="38"/>
      <c r="L146" s="141"/>
      <c r="M146" s="1"/>
      <c r="N146" s="1"/>
      <c r="O146" s="1"/>
      <c r="P146" s="1"/>
    </row>
    <row r="147" spans="1:39" ht="12.75" customHeight="1" x14ac:dyDescent="0.2">
      <c r="A147" s="153"/>
      <c r="B147" s="24"/>
      <c r="C147"/>
      <c r="D147" s="38"/>
      <c r="E147" s="141"/>
      <c r="G147" s="81"/>
      <c r="H147" s="24"/>
      <c r="I147" s="1"/>
      <c r="J147" s="1"/>
      <c r="K147" s="38"/>
      <c r="L147" s="141"/>
      <c r="M147" s="1"/>
      <c r="N147" s="1"/>
      <c r="O147" s="1"/>
      <c r="P147" s="1"/>
    </row>
    <row r="148" spans="1:39" ht="12.75" customHeight="1" x14ac:dyDescent="0.2">
      <c r="A148" s="153"/>
      <c r="B148"/>
      <c r="C148"/>
      <c r="D148" s="38"/>
      <c r="E148" s="141"/>
      <c r="G148" s="81"/>
      <c r="H148" s="24"/>
      <c r="I148" s="1"/>
      <c r="J148" s="1"/>
      <c r="K148" s="38"/>
      <c r="L148" s="141"/>
      <c r="M148" s="1"/>
      <c r="N148" s="1"/>
      <c r="O148" s="1"/>
      <c r="P148" s="1"/>
    </row>
    <row r="149" spans="1:39" ht="12.75" customHeight="1" x14ac:dyDescent="0.2">
      <c r="A149" s="153"/>
      <c r="B149" s="24"/>
      <c r="C149"/>
      <c r="D149" s="38"/>
      <c r="E149" s="141"/>
      <c r="G149" s="81"/>
      <c r="H149" s="24"/>
      <c r="I149" s="1"/>
      <c r="J149" s="1"/>
      <c r="K149" s="38"/>
      <c r="L149" s="141"/>
      <c r="M149" s="1"/>
      <c r="N149" s="1"/>
      <c r="O149" s="1"/>
      <c r="P149" s="1"/>
    </row>
    <row r="150" spans="1:39" ht="12.75" customHeight="1" x14ac:dyDescent="0.2">
      <c r="A150" s="153"/>
      <c r="B150" s="24"/>
      <c r="C150"/>
      <c r="D150" s="38"/>
      <c r="E150" s="141"/>
      <c r="G150" s="81"/>
      <c r="H150" s="24"/>
      <c r="I150" s="1"/>
      <c r="J150" s="1"/>
      <c r="K150" s="38"/>
      <c r="L150" s="141"/>
      <c r="M150" s="1"/>
      <c r="N150" s="1"/>
      <c r="O150" s="1"/>
      <c r="P150" s="1"/>
    </row>
    <row r="151" spans="1:39" ht="12.75" customHeight="1" x14ac:dyDescent="0.2">
      <c r="A151" s="153"/>
      <c r="B151" s="24"/>
      <c r="C151" s="24"/>
      <c r="D151" s="38"/>
      <c r="E151" s="141"/>
      <c r="G151" s="81"/>
      <c r="H151" s="24"/>
      <c r="I151" s="1"/>
      <c r="J151" s="1"/>
      <c r="K151" s="38"/>
      <c r="L151" s="141"/>
      <c r="M151" s="1"/>
      <c r="N151" s="1"/>
      <c r="O151" s="1"/>
      <c r="P151" s="1"/>
    </row>
    <row r="152" spans="1:39" ht="12.75" customHeight="1" x14ac:dyDescent="0.2">
      <c r="A152" s="153"/>
      <c r="B152" s="24"/>
      <c r="C152" s="24"/>
      <c r="D152" s="38"/>
      <c r="E152" s="141"/>
      <c r="G152" s="81"/>
      <c r="H152" s="24"/>
      <c r="I152" s="1"/>
      <c r="J152" s="1"/>
      <c r="K152" s="38"/>
      <c r="L152" s="141"/>
      <c r="M152" s="1"/>
      <c r="N152" s="1"/>
      <c r="O152" s="1"/>
      <c r="P152" s="1"/>
    </row>
    <row r="153" spans="1:39" ht="12.75" customHeight="1" x14ac:dyDescent="0.2">
      <c r="A153" s="153"/>
      <c r="B153" s="24"/>
      <c r="C153" s="24"/>
      <c r="D153" s="38"/>
      <c r="E153" s="141"/>
      <c r="G153" s="81"/>
      <c r="H153" s="24"/>
      <c r="I153" s="1"/>
      <c r="J153" s="1"/>
      <c r="K153" s="38"/>
      <c r="L153" s="141"/>
      <c r="M153" s="1"/>
      <c r="N153" s="1"/>
      <c r="O153" s="1"/>
      <c r="P153" s="1"/>
    </row>
    <row r="154" spans="1:39" ht="12.75" customHeight="1" x14ac:dyDescent="0.2">
      <c r="A154" s="153"/>
      <c r="B154" s="24"/>
      <c r="C154" s="24"/>
      <c r="D154" s="38"/>
      <c r="E154" s="141"/>
      <c r="G154" s="81"/>
      <c r="H154" s="24"/>
      <c r="I154" s="1"/>
      <c r="J154" s="1"/>
      <c r="K154" s="38"/>
      <c r="L154" s="141"/>
      <c r="M154" s="1"/>
      <c r="N154" s="1"/>
      <c r="O154" s="1"/>
      <c r="P154" s="1"/>
    </row>
    <row r="155" spans="1:39" ht="12.75" customHeight="1" x14ac:dyDescent="0.2">
      <c r="A155" s="153"/>
      <c r="B155" s="24"/>
      <c r="C155" s="24"/>
      <c r="D155" s="38"/>
      <c r="E155" s="141"/>
      <c r="G155" s="81"/>
      <c r="H155" s="24"/>
      <c r="I155" s="1"/>
      <c r="J155" s="1"/>
      <c r="K155" s="38"/>
      <c r="L155" s="141"/>
      <c r="M155" s="1"/>
      <c r="N155" s="1"/>
      <c r="O155" s="1"/>
      <c r="P155" s="1"/>
    </row>
    <row r="156" spans="1:39" ht="12.75" customHeight="1" x14ac:dyDescent="0.2">
      <c r="A156" s="153"/>
      <c r="B156" s="24"/>
      <c r="C156" s="24"/>
      <c r="D156" s="38"/>
      <c r="E156" s="141"/>
      <c r="G156" s="81"/>
      <c r="H156" s="24"/>
      <c r="I156" s="1"/>
      <c r="J156" s="1"/>
      <c r="K156" s="38"/>
      <c r="L156" s="141"/>
      <c r="M156" s="1"/>
      <c r="N156" s="1"/>
      <c r="O156" s="1"/>
      <c r="P156" s="1"/>
    </row>
    <row r="157" spans="1:39" ht="12.75" customHeight="1" x14ac:dyDescent="0.2">
      <c r="A157" s="153"/>
      <c r="B157" s="24"/>
      <c r="C157" s="24"/>
      <c r="D157" s="38"/>
      <c r="E157" s="141"/>
      <c r="G157" s="81"/>
      <c r="H157" s="24"/>
      <c r="I157" s="1"/>
      <c r="J157" s="1"/>
      <c r="K157" s="38"/>
      <c r="L157" s="143"/>
      <c r="M157" s="1"/>
      <c r="N157" s="1"/>
      <c r="O157" s="1"/>
      <c r="P157" s="1"/>
    </row>
    <row r="158" spans="1:39" ht="12.75" customHeight="1" thickBot="1" x14ac:dyDescent="0.25">
      <c r="A158" s="153"/>
      <c r="B158" s="24"/>
      <c r="C158" s="24"/>
      <c r="D158" s="38"/>
      <c r="E158" s="143"/>
      <c r="G158" s="63"/>
      <c r="H158" s="24"/>
      <c r="I158" s="1"/>
      <c r="J158" s="1"/>
      <c r="K158" s="145" t="s">
        <v>242</v>
      </c>
      <c r="L158" s="488">
        <f>SUM(L126:L157)</f>
        <v>19119</v>
      </c>
      <c r="M158" s="1"/>
      <c r="N158" s="1"/>
      <c r="O158" s="1"/>
      <c r="P158" s="1"/>
    </row>
    <row r="159" spans="1:39" ht="12.75" customHeight="1" thickTop="1" thickBot="1" x14ac:dyDescent="0.25">
      <c r="A159" s="63"/>
      <c r="B159" s="24"/>
      <c r="C159" s="24"/>
      <c r="D159" s="145" t="s">
        <v>241</v>
      </c>
      <c r="E159" s="144">
        <f>SUM(E126:E158)</f>
        <v>3731</v>
      </c>
      <c r="G159" s="71"/>
      <c r="H159" s="72"/>
      <c r="I159" s="72"/>
      <c r="J159" s="72"/>
      <c r="K159" s="72"/>
      <c r="L159" s="73"/>
      <c r="M159" s="1"/>
      <c r="N159" s="1"/>
      <c r="O159" s="1"/>
      <c r="P159" s="1"/>
    </row>
    <row r="160" spans="1:39" ht="12.75" customHeight="1" thickTop="1" thickBot="1" x14ac:dyDescent="0.25">
      <c r="A160" s="71"/>
      <c r="B160" s="72"/>
      <c r="C160" s="72"/>
      <c r="D160" s="72"/>
      <c r="E160" s="73"/>
      <c r="AJ160" s="1"/>
      <c r="AK160" s="1"/>
      <c r="AL160" s="1"/>
      <c r="AM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243</v>
      </c>
      <c r="B163" s="77"/>
      <c r="C163" s="77"/>
      <c r="D163" s="77"/>
      <c r="E163" s="78"/>
      <c r="AJ163" s="1"/>
      <c r="AK163" s="1"/>
      <c r="AL163" s="1"/>
      <c r="AM163" s="1"/>
    </row>
    <row r="164" spans="1:39" ht="12.75" customHeight="1" thickTop="1" x14ac:dyDescent="0.2">
      <c r="A164" s="136" t="s">
        <v>219</v>
      </c>
      <c r="B164" s="137" t="s">
        <v>220</v>
      </c>
      <c r="C164" s="138"/>
      <c r="D164" s="139"/>
      <c r="E164" s="210" t="s">
        <v>221</v>
      </c>
      <c r="AJ164" s="1"/>
      <c r="AK164" s="1"/>
      <c r="AL164" s="1"/>
      <c r="AM164" s="1"/>
    </row>
    <row r="165" spans="1:39" ht="12.75" customHeight="1" x14ac:dyDescent="0.2">
      <c r="A165" s="221">
        <v>36830</v>
      </c>
      <c r="B165" s="24" t="s">
        <v>517</v>
      </c>
      <c r="C165" s="24"/>
      <c r="D165" s="38"/>
      <c r="E165" s="486">
        <v>-1500000</v>
      </c>
      <c r="G165" s="827"/>
      <c r="AJ165" s="1"/>
      <c r="AK165" s="1"/>
      <c r="AL165" s="1"/>
      <c r="AM165" s="1"/>
    </row>
    <row r="166" spans="1:39" ht="12.75" customHeight="1" x14ac:dyDescent="0.2">
      <c r="A166" s="221"/>
      <c r="B166" s="24" t="s">
        <v>518</v>
      </c>
      <c r="C166" s="24"/>
      <c r="D166" s="38"/>
      <c r="E166" s="486"/>
      <c r="G166" s="827"/>
      <c r="AJ166" s="1"/>
      <c r="AK166" s="1"/>
      <c r="AL166" s="1"/>
      <c r="AM166" s="1"/>
    </row>
    <row r="167" spans="1:39" ht="12.75" customHeight="1" x14ac:dyDescent="0.2">
      <c r="A167" s="221"/>
      <c r="B167" s="24"/>
      <c r="C167" s="24"/>
      <c r="D167" s="38"/>
      <c r="E167" s="486"/>
      <c r="G167" s="827"/>
      <c r="AJ167" s="1"/>
      <c r="AK167" s="1"/>
      <c r="AL167" s="1"/>
      <c r="AM167" s="1"/>
    </row>
    <row r="168" spans="1:39" ht="12.75" customHeight="1" x14ac:dyDescent="0.2">
      <c r="A168" s="221"/>
      <c r="B168" s="24"/>
      <c r="C168" s="24"/>
      <c r="D168" s="38"/>
      <c r="E168" s="487"/>
      <c r="AJ168" s="1"/>
      <c r="AK168" s="1"/>
      <c r="AL168" s="1"/>
      <c r="AM168" s="1"/>
    </row>
    <row r="169" spans="1:39" ht="12.75" customHeight="1" x14ac:dyDescent="0.2">
      <c r="A169" s="221"/>
      <c r="B169" s="24"/>
      <c r="C169" s="24"/>
      <c r="D169" s="38"/>
      <c r="E169" s="486"/>
      <c r="AJ169" s="1"/>
      <c r="AK169" s="1"/>
      <c r="AL169" s="1"/>
      <c r="AM169" s="1"/>
    </row>
    <row r="170" spans="1:39" ht="12.75" customHeight="1" x14ac:dyDescent="0.2">
      <c r="A170" s="469"/>
      <c r="B170" s="80"/>
      <c r="C170" s="82"/>
      <c r="D170" s="140"/>
      <c r="E170" s="487"/>
      <c r="AJ170" s="1"/>
      <c r="AK170" s="1"/>
      <c r="AL170" s="1"/>
      <c r="AM170" s="1"/>
    </row>
    <row r="171" spans="1:39" ht="12.75" customHeight="1" x14ac:dyDescent="0.2">
      <c r="A171" s="469"/>
      <c r="B171" s="80"/>
      <c r="C171" s="82"/>
      <c r="D171" s="140"/>
      <c r="E171" s="487"/>
      <c r="AJ171" s="1"/>
      <c r="AK171" s="1"/>
      <c r="AL171" s="1"/>
      <c r="AM171" s="1"/>
    </row>
    <row r="172" spans="1:39" ht="12.75" customHeight="1" x14ac:dyDescent="0.2">
      <c r="A172" s="103"/>
      <c r="E172" s="487"/>
      <c r="AJ172" s="1"/>
      <c r="AK172" s="1"/>
      <c r="AL172" s="1"/>
      <c r="AM172" s="1"/>
    </row>
    <row r="173" spans="1:39" ht="12.75" customHeight="1" x14ac:dyDescent="0.2">
      <c r="A173" s="221"/>
      <c r="B173" s="80"/>
      <c r="C173" s="24"/>
      <c r="D173" s="38"/>
      <c r="E173" s="487"/>
      <c r="AJ173" s="1"/>
      <c r="AK173" s="1"/>
      <c r="AL173" s="1"/>
      <c r="AM173" s="1"/>
    </row>
    <row r="174" spans="1:39" ht="12.75" customHeight="1" x14ac:dyDescent="0.2">
      <c r="A174" s="221"/>
      <c r="B174" s="24"/>
      <c r="C174" s="24"/>
      <c r="D174" s="38"/>
      <c r="E174" s="486"/>
      <c r="AJ174" s="1"/>
      <c r="AK174" s="1"/>
      <c r="AL174" s="1"/>
      <c r="AM174" s="1"/>
    </row>
    <row r="175" spans="1:39" ht="12.75" customHeight="1" x14ac:dyDescent="0.2">
      <c r="A175" s="221"/>
      <c r="B175" s="24"/>
      <c r="C175" s="24"/>
      <c r="D175" s="38"/>
      <c r="E175" s="487"/>
      <c r="AJ175" s="1"/>
      <c r="AK175" s="1"/>
      <c r="AL175" s="1"/>
      <c r="AM175" s="1"/>
    </row>
    <row r="176" spans="1:39" ht="12.75" customHeight="1" x14ac:dyDescent="0.2">
      <c r="A176" s="221"/>
      <c r="B176" s="24"/>
      <c r="C176" s="24"/>
      <c r="D176" s="38"/>
      <c r="E176" s="486"/>
      <c r="AJ176" s="1"/>
      <c r="AK176" s="1"/>
      <c r="AL176" s="1"/>
      <c r="AM176" s="1"/>
    </row>
    <row r="177" spans="1:39" ht="12.75" customHeight="1" x14ac:dyDescent="0.2">
      <c r="A177" s="221"/>
      <c r="B177" s="24"/>
      <c r="C177" s="24"/>
      <c r="D177" s="38"/>
      <c r="E177" s="486"/>
      <c r="AJ177" s="1"/>
      <c r="AK177" s="1"/>
      <c r="AL177" s="1"/>
      <c r="AM177" s="1"/>
    </row>
    <row r="178" spans="1:39" ht="12.75" customHeight="1" x14ac:dyDescent="0.2">
      <c r="A178" s="221"/>
      <c r="B178" s="24"/>
      <c r="C178" s="24"/>
      <c r="D178" s="38"/>
      <c r="E178" s="486"/>
      <c r="AJ178" s="1"/>
      <c r="AK178" s="1"/>
      <c r="AL178" s="1"/>
      <c r="AM178" s="1"/>
    </row>
    <row r="179" spans="1:39" ht="12.75" customHeight="1" x14ac:dyDescent="0.2">
      <c r="A179" s="221"/>
      <c r="B179" s="9"/>
      <c r="C179" s="82"/>
      <c r="D179" s="140"/>
      <c r="E179" s="487"/>
      <c r="AJ179" s="1"/>
      <c r="AK179" s="1"/>
      <c r="AL179" s="1"/>
      <c r="AM179" s="1"/>
    </row>
    <row r="180" spans="1:39" ht="12.75" customHeight="1" x14ac:dyDescent="0.2">
      <c r="A180" s="221"/>
      <c r="B180" s="9"/>
      <c r="C180" s="82"/>
      <c r="D180" s="140"/>
      <c r="E180" s="486"/>
      <c r="AJ180" s="1"/>
      <c r="AK180" s="1"/>
      <c r="AL180" s="1"/>
      <c r="AM180" s="1"/>
    </row>
    <row r="181" spans="1:39" ht="12.75" customHeight="1" x14ac:dyDescent="0.2">
      <c r="A181" s="221"/>
      <c r="B181" s="24"/>
      <c r="C181" s="24"/>
      <c r="D181" s="38"/>
      <c r="E181" s="141"/>
      <c r="AJ181" s="1"/>
      <c r="AK181" s="1"/>
      <c r="AL181" s="1"/>
      <c r="AM181" s="1"/>
    </row>
    <row r="182" spans="1:39" ht="12.75" customHeight="1" x14ac:dyDescent="0.2">
      <c r="A182" s="221"/>
      <c r="B182" s="24"/>
      <c r="C182" s="24"/>
      <c r="D182" s="38"/>
      <c r="E182" s="141"/>
      <c r="AJ182" s="1"/>
      <c r="AK182" s="1"/>
      <c r="AL182" s="1"/>
      <c r="AM182" s="1"/>
    </row>
    <row r="183" spans="1:39" ht="12.75" customHeight="1" x14ac:dyDescent="0.2">
      <c r="A183" s="221"/>
      <c r="B183" s="24"/>
      <c r="C183" s="24"/>
      <c r="D183" s="38"/>
      <c r="E183" s="141"/>
      <c r="AJ183" s="1"/>
      <c r="AK183" s="1"/>
      <c r="AL183" s="1"/>
      <c r="AM183" s="1"/>
    </row>
    <row r="184" spans="1:39" ht="12.75" customHeight="1" x14ac:dyDescent="0.2">
      <c r="A184" s="221"/>
      <c r="B184" s="24"/>
      <c r="C184" s="24"/>
      <c r="D184" s="38"/>
      <c r="E184" s="143"/>
      <c r="AJ184" s="1"/>
      <c r="AK184" s="1"/>
      <c r="AL184" s="1"/>
      <c r="AM184" s="1"/>
    </row>
    <row r="185" spans="1:39" ht="12.75" customHeight="1" thickBot="1" x14ac:dyDescent="0.25">
      <c r="A185" s="222"/>
      <c r="B185" s="24"/>
      <c r="C185" s="24"/>
      <c r="D185" s="145" t="s">
        <v>244</v>
      </c>
      <c r="E185" s="144">
        <f>SUM(E165:E184)</f>
        <v>-1500000</v>
      </c>
      <c r="AJ185" s="1"/>
      <c r="AK185" s="1"/>
      <c r="AL185" s="1"/>
      <c r="AM185" s="1"/>
    </row>
    <row r="186" spans="1:39" ht="12.75" customHeight="1" thickTop="1" thickBot="1" x14ac:dyDescent="0.25">
      <c r="A186" s="220"/>
      <c r="B186" s="72"/>
      <c r="C186" s="72"/>
      <c r="D186" s="72"/>
      <c r="E186" s="73"/>
      <c r="AJ186" s="1"/>
      <c r="AK186" s="1"/>
      <c r="AL186" s="1"/>
      <c r="AM186" s="1"/>
    </row>
    <row r="187" spans="1:39" ht="12.75" customHeight="1" thickTop="1" thickBot="1" x14ac:dyDescent="0.25">
      <c r="AJ187" s="1"/>
      <c r="AK187" s="1"/>
      <c r="AL187" s="1"/>
      <c r="AM187" s="1"/>
    </row>
    <row r="188" spans="1:39" ht="12.75" customHeight="1" thickTop="1" thickBot="1" x14ac:dyDescent="0.25">
      <c r="F188" s="59"/>
      <c r="G188" s="59"/>
      <c r="H188" s="59"/>
      <c r="I188" s="59"/>
      <c r="J188" s="59"/>
      <c r="K188" s="59"/>
      <c r="L188" s="59"/>
      <c r="M188" s="60"/>
      <c r="O188" s="1"/>
      <c r="P188" s="1"/>
      <c r="Q188" s="1"/>
      <c r="R188" s="1"/>
    </row>
    <row r="189" spans="1:39" ht="12.75" customHeight="1" thickTop="1" x14ac:dyDescent="0.2">
      <c r="A189" s="84" t="s">
        <v>245</v>
      </c>
      <c r="B189" s="59"/>
      <c r="C189" s="59"/>
      <c r="D189" s="59"/>
      <c r="E189" s="59"/>
      <c r="F189" s="89"/>
      <c r="G189" s="89"/>
      <c r="H189" s="89"/>
      <c r="I189" s="89"/>
      <c r="J189" s="89"/>
      <c r="K189" s="89"/>
      <c r="L189" s="89"/>
      <c r="M189" s="211" t="s">
        <v>221</v>
      </c>
      <c r="O189" s="1"/>
      <c r="P189" s="1"/>
      <c r="Q189" s="1"/>
      <c r="R189" s="1"/>
    </row>
    <row r="190" spans="1:39" ht="12.75" customHeight="1" x14ac:dyDescent="0.2">
      <c r="A190" s="85" t="s">
        <v>246</v>
      </c>
      <c r="B190" s="86" t="s">
        <v>219</v>
      </c>
      <c r="C190" s="87" t="s">
        <v>247</v>
      </c>
      <c r="D190" s="88" t="s">
        <v>248</v>
      </c>
      <c r="E190" s="135" t="s">
        <v>220</v>
      </c>
      <c r="F190" s="24"/>
      <c r="G190" s="24"/>
      <c r="H190" s="24"/>
      <c r="I190" s="24"/>
      <c r="J190" s="24"/>
      <c r="K190" s="24"/>
      <c r="L190" s="24"/>
      <c r="M190" s="91"/>
      <c r="O190" s="1"/>
      <c r="P190" s="1"/>
      <c r="Q190" s="1"/>
      <c r="R190" s="1"/>
    </row>
    <row r="191" spans="1:39" ht="12.75" customHeight="1" x14ac:dyDescent="0.2">
      <c r="A191" s="227"/>
      <c r="B191" s="134"/>
      <c r="C191" s="224"/>
      <c r="D191" s="38"/>
      <c r="E191" s="24"/>
      <c r="F191" s="24"/>
      <c r="G191" s="24"/>
      <c r="H191" s="24"/>
      <c r="I191" s="24"/>
      <c r="J191" s="24"/>
      <c r="K191" s="24"/>
      <c r="L191" s="24"/>
      <c r="M191" s="91"/>
      <c r="O191" s="1"/>
      <c r="P191" s="1"/>
      <c r="Q191" s="1"/>
      <c r="R191" s="1"/>
    </row>
    <row r="192" spans="1:39" ht="12.75" customHeight="1" x14ac:dyDescent="0.2">
      <c r="A192" s="227"/>
      <c r="B192" s="134"/>
      <c r="C192" s="224"/>
      <c r="D192" s="38"/>
      <c r="E192" s="24"/>
      <c r="F192" s="24"/>
      <c r="G192" s="24"/>
      <c r="H192" s="24"/>
      <c r="I192" s="24"/>
      <c r="J192" s="24"/>
      <c r="K192" s="24"/>
      <c r="L192" s="24"/>
      <c r="M192" s="91"/>
      <c r="O192" s="1"/>
      <c r="P192" s="1"/>
      <c r="Q192" s="1"/>
      <c r="R192" s="1"/>
    </row>
    <row r="193" spans="1:18" ht="12.75" customHeight="1" x14ac:dyDescent="0.2">
      <c r="A193" s="227"/>
      <c r="B193" s="134"/>
      <c r="C193" s="224"/>
      <c r="D193" s="38"/>
      <c r="E193" s="24"/>
      <c r="F193" s="24"/>
      <c r="G193" s="24"/>
      <c r="H193" s="24"/>
      <c r="I193" s="24"/>
      <c r="J193" s="24"/>
      <c r="K193" s="24"/>
      <c r="L193" s="24"/>
      <c r="M193" s="91"/>
      <c r="O193" s="1"/>
      <c r="P193" s="1"/>
      <c r="Q193" s="1"/>
      <c r="R193" s="1"/>
    </row>
    <row r="194" spans="1:18" ht="12.75" customHeight="1" x14ac:dyDescent="0.2">
      <c r="A194" s="227"/>
      <c r="B194" s="134"/>
      <c r="C194" s="224"/>
      <c r="D194" s="38"/>
      <c r="E194" s="24"/>
      <c r="F194" s="24"/>
      <c r="G194" s="24"/>
      <c r="H194" s="24"/>
      <c r="I194" s="24"/>
      <c r="J194" s="24"/>
      <c r="K194" s="24"/>
      <c r="L194" s="24"/>
      <c r="M194" s="91"/>
      <c r="O194" s="1"/>
      <c r="P194" s="1"/>
      <c r="Q194" s="1"/>
      <c r="R194" s="1"/>
    </row>
    <row r="195" spans="1:18" ht="12.75" customHeight="1" x14ac:dyDescent="0.2">
      <c r="A195" s="227"/>
      <c r="B195" s="134"/>
      <c r="C195" s="224"/>
      <c r="D195" s="38"/>
      <c r="E195" s="24"/>
      <c r="F195" s="24"/>
      <c r="G195" s="24"/>
      <c r="H195" s="24"/>
      <c r="I195" s="24"/>
      <c r="J195" s="24"/>
      <c r="K195" s="24"/>
      <c r="L195" s="24"/>
      <c r="M195" s="91"/>
    </row>
    <row r="196" spans="1:18" ht="12.75" customHeight="1" x14ac:dyDescent="0.2">
      <c r="A196" s="227"/>
      <c r="B196" s="134"/>
      <c r="C196" s="224"/>
      <c r="D196" s="38"/>
      <c r="E196" s="24"/>
      <c r="F196" s="24"/>
      <c r="G196" s="24"/>
      <c r="H196" s="24"/>
      <c r="I196" s="24"/>
      <c r="J196" s="24"/>
      <c r="K196" s="24"/>
      <c r="L196" s="24"/>
      <c r="M196" s="91"/>
    </row>
    <row r="197" spans="1:18" ht="12.75" customHeight="1" x14ac:dyDescent="0.2">
      <c r="A197" s="227"/>
      <c r="B197" s="134"/>
      <c r="C197" s="224"/>
      <c r="D197" s="38"/>
      <c r="E197" s="24"/>
      <c r="F197" s="24"/>
      <c r="G197" s="24"/>
      <c r="H197" s="24"/>
      <c r="I197" s="24"/>
      <c r="J197" s="24"/>
      <c r="K197" s="24"/>
      <c r="L197" s="24"/>
      <c r="M197" s="91"/>
    </row>
    <row r="198" spans="1:18" ht="12.75" customHeight="1" x14ac:dyDescent="0.2">
      <c r="A198" s="227"/>
      <c r="B198" s="134"/>
      <c r="C198" s="224"/>
      <c r="D198" s="38"/>
      <c r="E198" s="24"/>
      <c r="F198" s="24"/>
      <c r="G198" s="24"/>
      <c r="H198" s="24"/>
      <c r="I198" s="24"/>
      <c r="J198" s="24"/>
      <c r="K198" s="24"/>
      <c r="L198" s="24"/>
      <c r="M198" s="91"/>
    </row>
    <row r="199" spans="1:18" ht="12.75" customHeight="1" x14ac:dyDescent="0.2">
      <c r="A199" s="227"/>
      <c r="B199" s="134"/>
      <c r="C199" s="224"/>
      <c r="D199" s="38"/>
      <c r="E199" s="24"/>
      <c r="F199" s="24"/>
      <c r="G199" s="24"/>
      <c r="H199" s="24"/>
      <c r="I199" s="24"/>
      <c r="J199" s="24"/>
      <c r="K199" s="24"/>
      <c r="L199" s="24"/>
      <c r="M199" s="91"/>
    </row>
    <row r="200" spans="1:18" ht="12.75" customHeight="1" x14ac:dyDescent="0.2">
      <c r="A200" s="227"/>
      <c r="B200" s="134"/>
      <c r="C200" s="224"/>
      <c r="D200" s="38"/>
      <c r="E200" s="24"/>
      <c r="F200" s="24"/>
      <c r="G200" s="24"/>
      <c r="H200" s="24"/>
      <c r="I200" s="24"/>
      <c r="J200" s="24"/>
      <c r="K200" s="24"/>
      <c r="L200" s="24"/>
      <c r="M200" s="91"/>
    </row>
    <row r="201" spans="1:18" ht="12.75" customHeight="1" x14ac:dyDescent="0.2">
      <c r="A201" s="90"/>
      <c r="B201" s="134"/>
      <c r="C201" s="224"/>
      <c r="D201" s="38"/>
      <c r="E201" s="24"/>
      <c r="F201" s="24"/>
      <c r="G201" s="24"/>
      <c r="H201" s="24"/>
      <c r="I201" s="24"/>
      <c r="J201" s="24"/>
      <c r="K201" s="24"/>
      <c r="L201" s="24"/>
      <c r="M201" s="91"/>
    </row>
    <row r="202" spans="1:18" ht="12.75" customHeight="1" x14ac:dyDescent="0.2">
      <c r="A202" s="90"/>
      <c r="B202" s="134"/>
      <c r="C202" s="224"/>
      <c r="D202" s="38"/>
      <c r="E202" s="24"/>
      <c r="F202" s="24"/>
      <c r="G202" s="24"/>
      <c r="H202" s="24"/>
      <c r="I202" s="24"/>
      <c r="J202" s="24"/>
      <c r="K202" s="24"/>
      <c r="L202" s="24"/>
      <c r="M202" s="91"/>
    </row>
    <row r="203" spans="1:18" ht="12.75" customHeight="1" x14ac:dyDescent="0.2">
      <c r="A203" s="90"/>
      <c r="B203" s="134"/>
      <c r="C203" s="224"/>
      <c r="D203" s="38"/>
      <c r="E203" s="24"/>
      <c r="F203" s="24"/>
      <c r="G203" s="24"/>
      <c r="H203" s="24"/>
      <c r="I203" s="24"/>
      <c r="J203" s="24"/>
      <c r="K203" s="24"/>
      <c r="L203" s="24"/>
      <c r="M203" s="91"/>
    </row>
    <row r="204" spans="1:18" ht="12.75" customHeight="1" x14ac:dyDescent="0.2">
      <c r="A204" s="90"/>
      <c r="B204" s="134"/>
      <c r="C204" s="224"/>
      <c r="D204" s="38"/>
      <c r="E204" s="24"/>
      <c r="F204" s="24"/>
      <c r="G204" s="24"/>
      <c r="H204" s="24"/>
      <c r="I204" s="24"/>
      <c r="J204" s="24"/>
      <c r="K204" s="24"/>
      <c r="L204" s="24"/>
      <c r="M204" s="91"/>
    </row>
    <row r="205" spans="1:18" ht="12.75" customHeight="1" x14ac:dyDescent="0.2">
      <c r="A205" s="90"/>
      <c r="B205" s="134"/>
      <c r="C205" s="226"/>
      <c r="D205" s="38"/>
      <c r="E205" s="24"/>
      <c r="F205" s="24"/>
      <c r="G205" s="24"/>
      <c r="H205" s="24"/>
      <c r="I205" s="24"/>
      <c r="J205" s="24"/>
      <c r="K205" s="24"/>
      <c r="L205" s="24"/>
      <c r="M205" s="91"/>
    </row>
    <row r="206" spans="1:18" ht="12.75" customHeight="1" x14ac:dyDescent="0.2">
      <c r="A206" s="90"/>
      <c r="B206" s="134"/>
      <c r="C206" s="226"/>
      <c r="D206" s="38"/>
      <c r="E206" s="24"/>
      <c r="F206" s="24"/>
      <c r="G206" s="24"/>
      <c r="H206" s="24"/>
      <c r="I206" s="24"/>
      <c r="J206" s="24"/>
      <c r="K206" s="24"/>
      <c r="L206" s="24"/>
      <c r="M206" s="91"/>
    </row>
    <row r="207" spans="1:18" ht="12.75" customHeight="1" x14ac:dyDescent="0.2">
      <c r="A207" s="90"/>
      <c r="B207" s="134"/>
      <c r="C207" s="226"/>
      <c r="D207" s="38"/>
      <c r="E207" s="24"/>
      <c r="F207" s="24"/>
      <c r="G207" s="24"/>
      <c r="H207" s="24"/>
      <c r="I207" s="24"/>
      <c r="J207" s="24"/>
      <c r="K207" s="24"/>
      <c r="L207" s="24"/>
      <c r="M207" s="91"/>
    </row>
    <row r="208" spans="1:18" ht="12.75" customHeight="1" x14ac:dyDescent="0.2">
      <c r="A208" s="90"/>
      <c r="B208" s="134"/>
      <c r="C208" s="225"/>
      <c r="D208" s="38"/>
      <c r="E208" s="24"/>
      <c r="F208" s="24"/>
      <c r="G208" s="24"/>
      <c r="H208" s="24"/>
      <c r="I208" s="24"/>
      <c r="J208" s="24"/>
      <c r="K208" s="24"/>
      <c r="L208" s="24"/>
      <c r="M208" s="91"/>
    </row>
    <row r="209" spans="1:14" ht="12.75" customHeight="1" x14ac:dyDescent="0.2">
      <c r="A209" s="90"/>
      <c r="B209" s="134"/>
      <c r="C209" s="225"/>
      <c r="D209" s="38"/>
      <c r="E209" s="24"/>
      <c r="F209" s="24"/>
      <c r="G209" s="24"/>
      <c r="H209" s="24"/>
      <c r="I209" s="24"/>
      <c r="J209" s="24"/>
      <c r="K209" s="24"/>
      <c r="L209" s="24"/>
      <c r="M209" s="91"/>
    </row>
    <row r="210" spans="1:14" ht="12.75" customHeight="1" x14ac:dyDescent="0.2">
      <c r="A210" s="90"/>
      <c r="B210" s="134"/>
      <c r="C210" s="225"/>
      <c r="D210" s="38"/>
      <c r="E210" s="24"/>
      <c r="F210" s="24"/>
      <c r="G210" s="24"/>
      <c r="H210" s="24"/>
      <c r="I210" s="24"/>
      <c r="J210" s="24"/>
      <c r="K210" s="24"/>
      <c r="L210" s="24"/>
      <c r="M210" s="91"/>
    </row>
    <row r="211" spans="1:14" ht="12.75" customHeight="1" x14ac:dyDescent="0.2">
      <c r="A211" s="90"/>
      <c r="B211" s="134"/>
      <c r="C211" s="225"/>
      <c r="D211" s="38"/>
      <c r="E211" s="24"/>
      <c r="F211" s="24"/>
      <c r="G211" s="24"/>
      <c r="H211" s="24"/>
      <c r="I211" s="24"/>
      <c r="J211" s="24"/>
      <c r="K211" s="24"/>
      <c r="L211" s="24"/>
      <c r="M211" s="91"/>
    </row>
    <row r="212" spans="1:14" ht="12.75" customHeight="1" x14ac:dyDescent="0.2">
      <c r="A212" s="90"/>
      <c r="B212" s="134"/>
      <c r="C212" s="225"/>
      <c r="D212" s="38"/>
      <c r="E212" s="24"/>
      <c r="F212" s="24"/>
      <c r="G212" s="24"/>
      <c r="H212" s="24"/>
      <c r="I212" s="24"/>
      <c r="J212" s="24"/>
      <c r="K212" s="24"/>
      <c r="L212" s="24"/>
      <c r="M212" s="91"/>
    </row>
    <row r="213" spans="1:14" ht="12.75" customHeight="1" thickBot="1" x14ac:dyDescent="0.25">
      <c r="A213" s="90"/>
      <c r="B213" s="134"/>
      <c r="C213" s="225"/>
      <c r="D213" s="38"/>
      <c r="E213" s="24"/>
      <c r="F213" s="24"/>
      <c r="G213" s="24"/>
      <c r="H213" s="24"/>
      <c r="I213" s="24"/>
      <c r="J213" s="24"/>
      <c r="K213" s="24"/>
      <c r="L213" s="145" t="s">
        <v>249</v>
      </c>
      <c r="M213" s="92">
        <f>SUM(M190:M212)</f>
        <v>0</v>
      </c>
    </row>
    <row r="214" spans="1:14" ht="12.75" customHeight="1" thickTop="1" thickBot="1" x14ac:dyDescent="0.25">
      <c r="A214" s="90"/>
      <c r="B214" s="134"/>
      <c r="C214" s="223"/>
      <c r="D214" s="38"/>
      <c r="E214" s="24"/>
      <c r="F214" s="72"/>
      <c r="G214" s="72"/>
      <c r="H214" s="72"/>
      <c r="I214" s="72"/>
      <c r="J214" s="72"/>
      <c r="K214" s="72"/>
      <c r="L214" s="72"/>
      <c r="M214" s="73"/>
    </row>
    <row r="215" spans="1:14" ht="12.75" customHeight="1" thickTop="1" thickBot="1" x14ac:dyDescent="0.25">
      <c r="A215" s="93"/>
      <c r="B215" s="151"/>
      <c r="C215" s="72"/>
      <c r="D215" s="72"/>
      <c r="E215" s="72"/>
    </row>
    <row r="216" spans="1:14" ht="12.75" customHeight="1" thickTop="1" x14ac:dyDescent="0.2"/>
    <row r="217" spans="1:14" ht="12.75" customHeight="1" thickBot="1" x14ac:dyDescent="0.25">
      <c r="G217" s="94"/>
      <c r="H217" s="94"/>
      <c r="I217" s="94"/>
      <c r="J217" s="94"/>
      <c r="K217" s="94"/>
      <c r="L217" s="94"/>
      <c r="M217" s="94"/>
      <c r="N217" s="94"/>
    </row>
    <row r="218" spans="1:14" ht="12.75" customHeight="1" thickTop="1" thickBot="1" x14ac:dyDescent="0.25">
      <c r="A218" s="155" t="s">
        <v>250</v>
      </c>
      <c r="B218" s="154"/>
      <c r="C218" s="154"/>
      <c r="D218" s="154"/>
      <c r="E218" s="154"/>
      <c r="F218" s="157"/>
      <c r="G218" s="94"/>
      <c r="H218" s="94"/>
      <c r="I218" s="94"/>
      <c r="J218" s="94"/>
      <c r="K218" s="94"/>
      <c r="L218" s="94"/>
      <c r="M218" s="94"/>
      <c r="N218" s="94"/>
    </row>
    <row r="219" spans="1:14" ht="12.75" customHeight="1" thickBot="1" x14ac:dyDescent="0.25">
      <c r="A219" s="156" t="s">
        <v>246</v>
      </c>
      <c r="B219" s="95" t="s">
        <v>219</v>
      </c>
      <c r="C219" s="96" t="s">
        <v>247</v>
      </c>
      <c r="D219" s="165" t="s">
        <v>248</v>
      </c>
      <c r="E219" s="166"/>
      <c r="F219" s="158" t="s">
        <v>221</v>
      </c>
      <c r="G219" s="98"/>
      <c r="H219" s="98"/>
      <c r="I219" s="98"/>
      <c r="J219" s="98"/>
      <c r="K219" s="98"/>
      <c r="L219" s="98"/>
      <c r="M219" s="98"/>
      <c r="N219" s="98"/>
    </row>
    <row r="220" spans="1:14" ht="12.75" customHeight="1" x14ac:dyDescent="0.2">
      <c r="A220" s="231"/>
      <c r="B220" s="134"/>
      <c r="C220" s="97"/>
      <c r="D220" s="24"/>
      <c r="E220" s="167"/>
      <c r="F220" s="232"/>
      <c r="G220" s="98"/>
      <c r="H220" s="98"/>
      <c r="I220" s="98"/>
      <c r="J220" s="98"/>
      <c r="K220" s="98"/>
      <c r="L220" s="98"/>
      <c r="M220" s="98"/>
      <c r="N220" s="98"/>
    </row>
    <row r="221" spans="1:14" ht="12.75" customHeight="1" x14ac:dyDescent="0.2">
      <c r="A221" s="231"/>
      <c r="B221" s="134"/>
      <c r="C221" s="224"/>
      <c r="D221" s="38"/>
      <c r="E221" s="24"/>
      <c r="F221" s="91"/>
      <c r="G221" s="94"/>
      <c r="H221" s="94"/>
      <c r="I221" s="94"/>
      <c r="J221" s="94"/>
      <c r="K221" s="94"/>
      <c r="L221" s="94"/>
      <c r="M221" s="94"/>
      <c r="N221" s="94"/>
    </row>
    <row r="222" spans="1:14" ht="12.75" customHeight="1" x14ac:dyDescent="0.2">
      <c r="A222" s="231"/>
      <c r="B222" s="134"/>
      <c r="C222" s="224"/>
      <c r="D222" s="38"/>
      <c r="E222" s="24"/>
      <c r="F222" s="91"/>
      <c r="G222" s="94"/>
      <c r="H222" s="94"/>
      <c r="I222" s="94"/>
      <c r="J222" s="94"/>
      <c r="K222" s="94"/>
      <c r="L222" s="94"/>
      <c r="M222" s="94"/>
      <c r="N222" s="94"/>
    </row>
    <row r="223" spans="1:14" ht="12.75" customHeight="1" x14ac:dyDescent="0.2">
      <c r="A223" s="231"/>
      <c r="B223" s="134"/>
      <c r="C223" s="224"/>
      <c r="D223" s="38"/>
      <c r="E223" s="24"/>
      <c r="F223" s="91"/>
      <c r="G223" s="94"/>
      <c r="H223" s="94"/>
      <c r="I223" s="94"/>
      <c r="J223" s="94"/>
      <c r="K223" s="94"/>
      <c r="L223" s="94"/>
      <c r="M223" s="94"/>
      <c r="N223" s="94"/>
    </row>
    <row r="224" spans="1:14" ht="12.75" customHeight="1" x14ac:dyDescent="0.2">
      <c r="A224" s="231"/>
      <c r="B224" s="134"/>
      <c r="C224" s="224"/>
      <c r="D224" s="38"/>
      <c r="E224" s="24"/>
      <c r="F224" s="91"/>
      <c r="G224" s="94"/>
      <c r="H224" s="94"/>
      <c r="I224" s="94"/>
      <c r="J224" s="94"/>
      <c r="K224" s="94"/>
      <c r="L224" s="94"/>
      <c r="M224" s="94"/>
      <c r="N224" s="94"/>
    </row>
    <row r="225" spans="1:14" ht="12.75" customHeight="1" x14ac:dyDescent="0.2">
      <c r="A225" s="231"/>
      <c r="B225" s="134"/>
      <c r="C225" s="224"/>
      <c r="D225" s="38"/>
      <c r="E225" s="24"/>
      <c r="F225" s="160"/>
      <c r="G225" s="94"/>
      <c r="H225" s="94"/>
      <c r="I225" s="94"/>
      <c r="J225" s="94"/>
      <c r="K225" s="94"/>
      <c r="L225" s="94"/>
      <c r="M225" s="94"/>
      <c r="N225" s="94"/>
    </row>
    <row r="226" spans="1:14" ht="12.75" customHeight="1" x14ac:dyDescent="0.2">
      <c r="A226" s="231"/>
      <c r="B226" s="134"/>
      <c r="C226" s="94"/>
      <c r="D226" s="233"/>
      <c r="E226" s="167"/>
      <c r="F226" s="160"/>
      <c r="G226" s="94"/>
      <c r="H226" s="94"/>
      <c r="I226" s="94"/>
      <c r="J226" s="94"/>
      <c r="K226" s="94"/>
      <c r="L226" s="94"/>
      <c r="M226" s="94"/>
      <c r="N226" s="94"/>
    </row>
    <row r="227" spans="1:14" ht="12.75" customHeight="1" x14ac:dyDescent="0.2">
      <c r="A227" s="231"/>
      <c r="B227" s="134"/>
      <c r="C227" s="94"/>
      <c r="D227" s="233"/>
      <c r="E227" s="167"/>
      <c r="F227" s="160"/>
      <c r="G227" s="94"/>
      <c r="H227" s="94"/>
      <c r="I227" s="94"/>
      <c r="J227" s="94"/>
      <c r="K227" s="94"/>
      <c r="L227" s="94"/>
      <c r="M227" s="94"/>
      <c r="N227" s="94"/>
    </row>
    <row r="228" spans="1:14" ht="12.75" customHeight="1" x14ac:dyDescent="0.2">
      <c r="A228" s="231"/>
      <c r="B228" s="134"/>
      <c r="C228" s="94"/>
      <c r="D228" s="233"/>
      <c r="E228" s="167"/>
      <c r="F228" s="160"/>
      <c r="G228" s="94"/>
      <c r="H228" s="94"/>
      <c r="I228" s="94"/>
      <c r="J228" s="94"/>
      <c r="K228" s="94"/>
      <c r="L228" s="94"/>
      <c r="M228" s="94"/>
      <c r="N228" s="94"/>
    </row>
    <row r="229" spans="1:14" ht="12.75" customHeight="1" x14ac:dyDescent="0.2">
      <c r="A229" s="231"/>
      <c r="B229" s="134"/>
      <c r="C229" s="94"/>
      <c r="D229" s="233"/>
      <c r="E229" s="167"/>
      <c r="F229" s="160"/>
      <c r="G229" s="94"/>
      <c r="H229" s="94"/>
      <c r="I229" s="94"/>
      <c r="J229" s="94"/>
      <c r="K229" s="94"/>
      <c r="L229" s="94"/>
      <c r="M229" s="94"/>
      <c r="N229" s="94"/>
    </row>
    <row r="230" spans="1:14" ht="12.75" customHeight="1" x14ac:dyDescent="0.2">
      <c r="A230" s="231"/>
      <c r="B230" s="134"/>
      <c r="C230" s="94"/>
      <c r="D230" s="233"/>
      <c r="E230" s="167"/>
      <c r="F230" s="160"/>
      <c r="G230" s="94"/>
      <c r="H230" s="94"/>
      <c r="I230" s="94"/>
      <c r="J230" s="94"/>
      <c r="K230" s="94"/>
      <c r="L230" s="94"/>
      <c r="M230" s="94"/>
      <c r="N230" s="94"/>
    </row>
    <row r="231" spans="1:14" ht="12.75" customHeight="1" x14ac:dyDescent="0.2">
      <c r="A231" s="231"/>
      <c r="B231" s="134"/>
      <c r="C231" s="94"/>
      <c r="D231" s="233"/>
      <c r="E231" s="167"/>
      <c r="F231" s="160"/>
      <c r="G231" s="94"/>
      <c r="H231" s="94"/>
      <c r="I231" s="94"/>
      <c r="J231" s="94"/>
      <c r="K231" s="94"/>
      <c r="L231" s="94"/>
      <c r="M231" s="94"/>
      <c r="N231" s="94"/>
    </row>
    <row r="232" spans="1:14" ht="12.75" customHeight="1" x14ac:dyDescent="0.2">
      <c r="A232" s="231"/>
      <c r="B232" s="134"/>
      <c r="C232" s="94"/>
      <c r="D232" s="233"/>
      <c r="E232" s="167"/>
      <c r="F232" s="160"/>
      <c r="G232" s="94"/>
      <c r="H232" s="94"/>
      <c r="I232" s="94"/>
      <c r="J232" s="94"/>
      <c r="K232" s="94"/>
      <c r="L232" s="94"/>
      <c r="M232" s="94"/>
      <c r="N232" s="94"/>
    </row>
    <row r="233" spans="1:14" ht="12.75" customHeight="1" x14ac:dyDescent="0.2">
      <c r="A233" s="231"/>
      <c r="B233" s="134"/>
      <c r="C233" s="94"/>
      <c r="D233" s="233"/>
      <c r="E233" s="167"/>
      <c r="F233" s="160"/>
      <c r="G233" s="94"/>
      <c r="H233" s="94"/>
      <c r="I233" s="94"/>
      <c r="J233" s="94"/>
      <c r="K233" s="94"/>
      <c r="L233" s="94"/>
      <c r="M233" s="94"/>
      <c r="N233" s="94"/>
    </row>
    <row r="234" spans="1:14" ht="12.75" customHeight="1" x14ac:dyDescent="0.2">
      <c r="A234" s="231"/>
      <c r="B234" s="134"/>
      <c r="C234" s="94"/>
      <c r="D234" s="233"/>
      <c r="E234" s="167"/>
      <c r="F234" s="160"/>
      <c r="G234" s="94"/>
      <c r="H234" s="94"/>
      <c r="I234" s="94"/>
      <c r="J234" s="94"/>
      <c r="K234" s="94"/>
      <c r="L234" s="94"/>
      <c r="M234" s="94"/>
      <c r="N234" s="94"/>
    </row>
    <row r="235" spans="1:14" ht="12.75" customHeight="1" x14ac:dyDescent="0.2">
      <c r="A235" s="231"/>
      <c r="B235" s="134"/>
      <c r="C235" s="94"/>
      <c r="D235" s="233"/>
      <c r="E235" s="167"/>
      <c r="F235" s="160"/>
      <c r="G235" s="94"/>
      <c r="H235" s="94"/>
      <c r="I235" s="94"/>
      <c r="J235" s="94"/>
      <c r="K235" s="94"/>
      <c r="L235" s="94"/>
      <c r="M235" s="94"/>
      <c r="N235" s="94"/>
    </row>
    <row r="236" spans="1:14" ht="12.75" customHeight="1" x14ac:dyDescent="0.2">
      <c r="A236" s="231"/>
      <c r="B236" s="134"/>
      <c r="C236" s="94"/>
      <c r="D236" s="233"/>
      <c r="E236" s="167"/>
      <c r="F236" s="160"/>
      <c r="G236" s="94"/>
      <c r="H236" s="94"/>
      <c r="I236" s="94"/>
      <c r="J236" s="94"/>
      <c r="K236" s="94"/>
      <c r="L236" s="94"/>
      <c r="M236" s="94"/>
      <c r="N236" s="94"/>
    </row>
    <row r="237" spans="1:14" ht="12.75" customHeight="1" thickBot="1" x14ac:dyDescent="0.25">
      <c r="A237" s="231"/>
      <c r="B237" s="134"/>
      <c r="C237" s="94"/>
      <c r="D237" s="233"/>
      <c r="E237" s="167"/>
      <c r="F237" s="168">
        <f>SUM(F219:F236)</f>
        <v>0</v>
      </c>
      <c r="G237" s="94"/>
      <c r="H237" s="94"/>
      <c r="I237" s="94"/>
      <c r="J237" s="94"/>
      <c r="K237" s="94"/>
      <c r="L237" s="94"/>
      <c r="M237" s="94"/>
      <c r="N237" s="94"/>
    </row>
    <row r="238" spans="1:14" ht="12.75" customHeight="1" thickTop="1" thickBot="1" x14ac:dyDescent="0.25">
      <c r="A238" s="231"/>
      <c r="B238" s="134"/>
      <c r="C238" s="94"/>
      <c r="D238" s="94"/>
      <c r="E238" s="145" t="s">
        <v>251</v>
      </c>
      <c r="F238" s="164"/>
      <c r="G238" s="94"/>
      <c r="H238" s="94"/>
      <c r="I238" s="94"/>
      <c r="J238" s="94"/>
      <c r="K238" s="94"/>
      <c r="L238" s="94"/>
      <c r="M238" s="94"/>
      <c r="N238" s="94"/>
    </row>
    <row r="239" spans="1:14" ht="12.75" customHeight="1" thickTop="1" thickBot="1" x14ac:dyDescent="0.25">
      <c r="A239" s="161"/>
      <c r="B239" s="162"/>
      <c r="C239" s="163"/>
      <c r="D239" s="163"/>
      <c r="E239" s="212"/>
    </row>
    <row r="240" spans="1:14" ht="13.5" thickTop="1" x14ac:dyDescent="0.2"/>
  </sheetData>
  <printOptions horizontalCentered="1"/>
  <pageMargins left="0.25" right="0.25" top="0.25" bottom="0.25" header="0.25" footer="0.25"/>
  <pageSetup scale="60" orientation="landscape" horizontalDpi="4294967292" verticalDpi="4294967292" r:id="rId1"/>
  <headerFooter alignWithMargins="0">
    <oddFooter>&amp;L&amp;"Times New Roman,Italic"&amp;F/&amp;A&amp;R&amp;"Times New Roman,Italic"&amp;D &amp;T</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6386" r:id="rId4" name="Button 2">
              <controlPr defaultSize="0" print="0" autoFill="0" autoLine="0" autoPict="0" macro="[1]!Macro2">
                <anchor moveWithCells="1" sizeWithCells="1">
                  <from>
                    <xdr:col>7</xdr:col>
                    <xdr:colOff>47625</xdr:colOff>
                    <xdr:row>0</xdr:row>
                    <xdr:rowOff>104775</xdr:rowOff>
                  </from>
                  <to>
                    <xdr:col>9</xdr:col>
                    <xdr:colOff>771525</xdr:colOff>
                    <xdr:row>7</xdr:row>
                    <xdr:rowOff>38100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AX240"/>
  <sheetViews>
    <sheetView zoomScale="75" workbookViewId="0">
      <pane xSplit="2" ySplit="6" topLeftCell="C41" activePane="bottomRight" state="frozen"/>
      <selection activeCell="D9" sqref="D9:D13"/>
      <selection pane="topRight" activeCell="D9" sqref="D9:D13"/>
      <selection pane="bottomLeft" activeCell="D9" sqref="D9:D13"/>
      <selection pane="bottomRight" activeCell="S72" sqref="S72"/>
    </sheetView>
  </sheetViews>
  <sheetFormatPr defaultRowHeight="12.75" x14ac:dyDescent="0.2"/>
  <cols>
    <col min="1" max="1" width="23.85546875" style="13" customWidth="1"/>
    <col min="2" max="2" width="14.85546875" style="13" customWidth="1"/>
    <col min="3" max="3" width="12.42578125" style="13" customWidth="1"/>
    <col min="4" max="4" width="14.85546875" style="13" customWidth="1"/>
    <col min="5" max="5" width="16"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B1" s="815">
        <f>M38</f>
        <v>0</v>
      </c>
      <c r="D1" s="321"/>
      <c r="E1" s="321"/>
      <c r="F1" s="325"/>
      <c r="G1" s="324"/>
      <c r="H1" s="1"/>
      <c r="I1" s="1"/>
      <c r="J1" s="1"/>
      <c r="K1" s="1"/>
      <c r="L1" s="1"/>
      <c r="M1" s="1"/>
      <c r="N1" s="1"/>
      <c r="O1" s="1"/>
    </row>
    <row r="2" spans="1:37" ht="12.75" customHeight="1" x14ac:dyDescent="0.25">
      <c r="A2" s="101" t="s">
        <v>75</v>
      </c>
      <c r="D2" s="1"/>
      <c r="E2" s="321"/>
      <c r="F2" s="325"/>
      <c r="G2" s="1"/>
      <c r="H2" s="1"/>
      <c r="I2" s="1"/>
      <c r="J2" s="1"/>
      <c r="K2" s="1"/>
      <c r="L2" s="1"/>
      <c r="M2" s="1"/>
      <c r="N2" s="1"/>
      <c r="O2" s="1"/>
    </row>
    <row r="3" spans="1:37" ht="12.75" customHeight="1" x14ac:dyDescent="0.25">
      <c r="A3" s="257" t="s">
        <v>76</v>
      </c>
      <c r="B3" s="322" t="s">
        <v>512</v>
      </c>
      <c r="C3" s="322" t="s">
        <v>78</v>
      </c>
      <c r="D3" s="1"/>
      <c r="E3" s="846"/>
      <c r="F3" s="325"/>
      <c r="G3" s="1"/>
      <c r="H3" s="1"/>
      <c r="I3" s="1"/>
      <c r="J3" s="1"/>
      <c r="K3" s="1"/>
      <c r="L3" s="1"/>
      <c r="M3" s="1"/>
      <c r="N3" s="1"/>
      <c r="O3" s="1"/>
    </row>
    <row r="4" spans="1:37" ht="12.75" customHeight="1" x14ac:dyDescent="0.25">
      <c r="A4" s="257" t="s">
        <v>79</v>
      </c>
      <c r="B4" s="323">
        <f>Front!B4</f>
        <v>36831</v>
      </c>
      <c r="D4" s="1"/>
      <c r="E4" s="321"/>
      <c r="F4" s="1"/>
      <c r="G4" s="1"/>
      <c r="H4" s="1"/>
      <c r="I4" s="1"/>
      <c r="J4" s="1"/>
      <c r="K4" s="1"/>
      <c r="L4" s="1"/>
      <c r="M4" s="1"/>
      <c r="N4" s="1"/>
      <c r="O4" s="1"/>
    </row>
    <row r="5" spans="1:37" ht="12.75" customHeight="1" thickBot="1" x14ac:dyDescent="0.3">
      <c r="A5" s="257" t="s">
        <v>80</v>
      </c>
      <c r="B5" s="570">
        <f>Front!B5</f>
        <v>36847</v>
      </c>
      <c r="C5" s="15"/>
      <c r="V5" s="24"/>
      <c r="W5" s="24"/>
      <c r="X5" s="24"/>
      <c r="Y5" s="24"/>
      <c r="Z5" s="24"/>
      <c r="AA5" s="24"/>
    </row>
    <row r="6" spans="1:37" ht="12.75" customHeight="1" x14ac:dyDescent="0.25">
      <c r="A6" s="257" t="s">
        <v>81</v>
      </c>
      <c r="B6" s="776">
        <f>Front!$E$12</f>
        <v>949838</v>
      </c>
      <c r="C6" s="15"/>
      <c r="K6" s="123" t="s">
        <v>82</v>
      </c>
      <c r="L6" s="62"/>
      <c r="M6" s="62"/>
      <c r="N6" s="62"/>
      <c r="O6" s="62"/>
      <c r="P6" s="62"/>
      <c r="Q6" s="62"/>
      <c r="R6" s="7"/>
      <c r="S6" s="102" t="s">
        <v>83</v>
      </c>
      <c r="T6" s="102"/>
      <c r="V6" s="123" t="s">
        <v>84</v>
      </c>
      <c r="W6" s="62"/>
      <c r="X6" s="62"/>
      <c r="Y6" s="62"/>
      <c r="Z6" s="62"/>
      <c r="AA6" s="7"/>
    </row>
    <row r="7" spans="1:37" ht="12.75" customHeight="1" x14ac:dyDescent="0.2">
      <c r="D7" s="103" t="s">
        <v>93</v>
      </c>
      <c r="E7" s="103" t="s">
        <v>94</v>
      </c>
      <c r="K7" s="64"/>
      <c r="L7" s="65" t="s">
        <v>278</v>
      </c>
      <c r="M7" s="65" t="s">
        <v>88</v>
      </c>
      <c r="N7" s="65" t="s">
        <v>88</v>
      </c>
      <c r="O7" s="65" t="s">
        <v>88</v>
      </c>
      <c r="P7" s="65" t="s">
        <v>88</v>
      </c>
      <c r="Q7" s="65" t="s">
        <v>88</v>
      </c>
      <c r="R7" s="66" t="s">
        <v>4</v>
      </c>
      <c r="S7" s="103" t="s">
        <v>89</v>
      </c>
      <c r="T7" s="103" t="s">
        <v>90</v>
      </c>
      <c r="V7" s="67" t="s">
        <v>91</v>
      </c>
      <c r="W7" s="24"/>
      <c r="X7" s="24"/>
      <c r="Y7" s="24"/>
      <c r="Z7" s="24"/>
      <c r="AA7" s="68"/>
    </row>
    <row r="8" spans="1:37" ht="12.75" customHeight="1" x14ac:dyDescent="0.2">
      <c r="A8" s="16" t="s">
        <v>92</v>
      </c>
      <c r="D8" s="553"/>
      <c r="E8" s="287"/>
      <c r="G8" s="17" t="s">
        <v>95</v>
      </c>
      <c r="H8" s="17"/>
      <c r="K8" s="124" t="s">
        <v>96</v>
      </c>
      <c r="L8" s="24"/>
      <c r="M8" s="24"/>
      <c r="N8" s="24"/>
      <c r="O8" s="24"/>
      <c r="P8" s="24"/>
      <c r="Q8" s="9"/>
      <c r="R8" s="68"/>
      <c r="V8" s="67" t="s">
        <v>97</v>
      </c>
      <c r="W8" s="24"/>
      <c r="X8" s="24"/>
      <c r="Y8" s="24"/>
      <c r="Z8" s="24"/>
      <c r="AA8" s="68"/>
    </row>
    <row r="9" spans="1:37" ht="12.75" customHeight="1" x14ac:dyDescent="0.2">
      <c r="A9" s="13" t="s">
        <v>98</v>
      </c>
      <c r="D9" s="553">
        <v>2434415</v>
      </c>
      <c r="E9" s="553">
        <v>2441837</v>
      </c>
      <c r="F9" s="1" t="s">
        <v>99</v>
      </c>
      <c r="G9" s="19" t="s">
        <v>100</v>
      </c>
      <c r="H9" s="19"/>
      <c r="I9" s="13">
        <v>16839621</v>
      </c>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
      <c r="A10" s="13" t="s">
        <v>102</v>
      </c>
      <c r="D10" s="554"/>
      <c r="E10" s="554"/>
      <c r="F10" s="1" t="s">
        <v>99</v>
      </c>
      <c r="G10" s="19" t="s">
        <v>100</v>
      </c>
      <c r="H10" s="19"/>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
      <c r="A11" s="13" t="s">
        <v>105</v>
      </c>
      <c r="D11" s="554">
        <v>0</v>
      </c>
      <c r="E11" s="554">
        <v>0</v>
      </c>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
      <c r="A12" s="13" t="s">
        <v>109</v>
      </c>
      <c r="D12" s="554">
        <v>0</v>
      </c>
      <c r="E12" s="554">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
      <c r="A13" s="13" t="s">
        <v>112</v>
      </c>
      <c r="D13" s="554">
        <v>0</v>
      </c>
      <c r="E13" s="554">
        <v>0</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25">
      <c r="A14" s="13" t="s">
        <v>115</v>
      </c>
      <c r="D14" s="555"/>
      <c r="E14" s="556">
        <f>+E159</f>
        <v>-5136</v>
      </c>
      <c r="F14" s="13" t="s">
        <v>116</v>
      </c>
      <c r="K14" s="67" t="s">
        <v>117</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118</v>
      </c>
      <c r="Z14" s="24"/>
      <c r="AA14" s="68"/>
    </row>
    <row r="15" spans="1:37" ht="12.75" customHeight="1" thickTop="1" x14ac:dyDescent="0.2">
      <c r="A15" s="13" t="s">
        <v>119</v>
      </c>
      <c r="D15" s="555"/>
      <c r="E15" s="556">
        <f>+L159</f>
        <v>0</v>
      </c>
      <c r="F15" s="13" t="s">
        <v>116</v>
      </c>
      <c r="K15" s="67" t="s">
        <v>120</v>
      </c>
      <c r="L15" s="249">
        <v>1</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2">
      <c r="A16" s="13" t="s">
        <v>124</v>
      </c>
      <c r="D16" s="555"/>
      <c r="E16" s="556">
        <f>+E185</f>
        <v>0</v>
      </c>
      <c r="F16" s="13" t="s">
        <v>116</v>
      </c>
      <c r="I16" s="23"/>
      <c r="J16" s="23"/>
      <c r="K16" s="67" t="s">
        <v>125</v>
      </c>
      <c r="L16" s="248">
        <v>0</v>
      </c>
      <c r="M16" s="248">
        <v>0</v>
      </c>
      <c r="N16" s="248">
        <v>0</v>
      </c>
      <c r="O16" s="248">
        <v>0</v>
      </c>
      <c r="P16" s="248">
        <v>0</v>
      </c>
      <c r="Q16" s="248">
        <v>0</v>
      </c>
      <c r="R16" s="251">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2"/>
      <c r="L17" s="122">
        <f t="shared" ref="L17:Q17" si="1">SUM(L15*L16)</f>
        <v>0</v>
      </c>
      <c r="M17" s="122">
        <f t="shared" si="1"/>
        <v>0</v>
      </c>
      <c r="N17" s="122">
        <f t="shared" si="1"/>
        <v>0</v>
      </c>
      <c r="O17" s="122">
        <f t="shared" si="1"/>
        <v>0</v>
      </c>
      <c r="P17" s="122">
        <f t="shared" si="1"/>
        <v>0</v>
      </c>
      <c r="Q17" s="122">
        <f t="shared" si="1"/>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8">
        <f>SUM(E9:E16)</f>
        <v>2436701</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SUM(E19)-SUM(B58+B59+B64+B65)</f>
        <v>2431462</v>
      </c>
      <c r="AA20" s="68"/>
      <c r="AB20" s="24"/>
      <c r="AC20" s="24"/>
      <c r="AD20" s="24"/>
      <c r="AE20" s="24"/>
      <c r="AF20" s="24"/>
      <c r="AG20" s="24"/>
      <c r="AH20" s="24"/>
      <c r="AI20" s="26"/>
      <c r="AJ20" s="24"/>
      <c r="AK20" s="24"/>
    </row>
    <row r="21" spans="1:37" ht="12.75" customHeight="1" thickBot="1" x14ac:dyDescent="0.25">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6" customHeight="1" x14ac:dyDescent="0.2">
      <c r="A22" s="13" t="s">
        <v>132</v>
      </c>
      <c r="E22" s="18">
        <v>0</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6" customHeight="1" x14ac:dyDescent="0.2">
      <c r="A23" s="13" t="s">
        <v>133</v>
      </c>
      <c r="E23" s="28">
        <f>B63</f>
        <v>0</v>
      </c>
      <c r="F23" s="13" t="s">
        <v>116</v>
      </c>
      <c r="G23" s="24"/>
      <c r="I23" s="24"/>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134</v>
      </c>
      <c r="E24" s="229">
        <f>E22+E23</f>
        <v>0</v>
      </c>
      <c r="F24" s="13" t="s">
        <v>116</v>
      </c>
      <c r="I24" s="24"/>
      <c r="J24" s="24"/>
      <c r="K24" s="67" t="s">
        <v>117</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135</v>
      </c>
      <c r="E25" s="22">
        <f>-M214</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136</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141</v>
      </c>
      <c r="E29" s="18">
        <v>0</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143</v>
      </c>
      <c r="E30" s="29">
        <f>B61</f>
        <v>0</v>
      </c>
      <c r="F30" s="13" t="s">
        <v>144</v>
      </c>
      <c r="I30" s="24"/>
      <c r="J30" s="24"/>
      <c r="K30" s="67" t="s">
        <v>145</v>
      </c>
      <c r="L30" s="24"/>
      <c r="M30" s="26">
        <v>2373199</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146</v>
      </c>
      <c r="E31" s="22">
        <f>B102</f>
        <v>0</v>
      </c>
      <c r="F31" s="13" t="s">
        <v>144</v>
      </c>
      <c r="I31" s="24"/>
      <c r="J31" s="24"/>
      <c r="K31" s="67" t="s">
        <v>147</v>
      </c>
      <c r="L31" s="24"/>
      <c r="M31" s="26">
        <v>0</v>
      </c>
      <c r="N31" s="27">
        <f>M31</f>
        <v>0</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148</v>
      </c>
      <c r="E32" s="29">
        <f>B118</f>
        <v>0</v>
      </c>
      <c r="F32" s="13" t="s">
        <v>144</v>
      </c>
      <c r="G32" s="19"/>
      <c r="K32" s="67" t="s">
        <v>149</v>
      </c>
      <c r="L32" s="24"/>
      <c r="M32" s="26">
        <v>0</v>
      </c>
      <c r="N32" s="27"/>
      <c r="O32" s="24" t="s">
        <v>142</v>
      </c>
      <c r="P32" s="24"/>
      <c r="Q32" s="24"/>
      <c r="R32" s="68"/>
      <c r="AI32" s="1"/>
    </row>
    <row r="33" spans="1:47" ht="12.75" customHeight="1" x14ac:dyDescent="0.2">
      <c r="A33" s="13" t="s">
        <v>150</v>
      </c>
      <c r="E33" s="22">
        <f>+B67</f>
        <v>0</v>
      </c>
      <c r="F33" s="13" t="s">
        <v>144</v>
      </c>
      <c r="K33" s="67"/>
      <c r="L33" s="9"/>
      <c r="M33" s="27"/>
      <c r="N33" s="27"/>
      <c r="O33" s="24"/>
      <c r="P33" s="24"/>
      <c r="Q33" s="24"/>
      <c r="R33" s="68"/>
    </row>
    <row r="34" spans="1:47" ht="12.75" customHeight="1" x14ac:dyDescent="0.2">
      <c r="A34" s="13" t="s">
        <v>151</v>
      </c>
      <c r="E34" s="22">
        <f>B69</f>
        <v>0</v>
      </c>
      <c r="F34" s="13" t="s">
        <v>144</v>
      </c>
      <c r="K34" s="67" t="s">
        <v>152</v>
      </c>
      <c r="L34" s="24"/>
      <c r="M34" s="27">
        <f>B76</f>
        <v>63502</v>
      </c>
      <c r="N34" s="27">
        <f>B63</f>
        <v>0</v>
      </c>
      <c r="O34" s="24" t="s">
        <v>153</v>
      </c>
      <c r="P34" s="24"/>
      <c r="Q34" s="24"/>
      <c r="R34" s="68"/>
    </row>
    <row r="35" spans="1:47" ht="12.75" customHeight="1" x14ac:dyDescent="0.2">
      <c r="A35" s="13" t="s">
        <v>154</v>
      </c>
      <c r="E35" s="22">
        <f>F238</f>
        <v>0</v>
      </c>
      <c r="F35" s="13" t="s">
        <v>144</v>
      </c>
      <c r="K35" s="67"/>
      <c r="L35" s="24"/>
      <c r="M35" s="27"/>
      <c r="N35" s="27"/>
      <c r="O35" s="24"/>
      <c r="P35" s="24"/>
      <c r="Q35" s="24"/>
      <c r="R35" s="68"/>
    </row>
    <row r="36" spans="1:47" ht="12.75" customHeight="1" thickBot="1" x14ac:dyDescent="0.25">
      <c r="A36" s="17" t="s">
        <v>155</v>
      </c>
      <c r="E36" s="228">
        <f>SUM(E29:E35)</f>
        <v>0</v>
      </c>
      <c r="K36" s="67" t="s">
        <v>156</v>
      </c>
      <c r="L36" s="9"/>
      <c r="M36" s="27">
        <f>SUM(M30:M34)</f>
        <v>2436701</v>
      </c>
      <c r="N36" s="27">
        <f>SUM(N30:N34)</f>
        <v>0</v>
      </c>
      <c r="O36" s="24"/>
      <c r="P36" s="24"/>
      <c r="Q36" s="24"/>
      <c r="R36" s="68"/>
    </row>
    <row r="37" spans="1:47" ht="12.75" customHeight="1" thickTop="1" x14ac:dyDescent="0.2">
      <c r="C37" s="46"/>
      <c r="D37" s="46"/>
      <c r="K37" s="206"/>
      <c r="L37" s="9"/>
      <c r="M37" s="9"/>
      <c r="N37" s="9"/>
      <c r="O37" s="24"/>
      <c r="P37" s="24"/>
      <c r="Q37" s="24"/>
      <c r="R37" s="68"/>
    </row>
    <row r="38" spans="1:47" ht="12.75" customHeight="1" thickBot="1" x14ac:dyDescent="0.3">
      <c r="A38" s="16" t="s">
        <v>157</v>
      </c>
      <c r="C38" s="45"/>
      <c r="D38" s="46"/>
      <c r="E38" s="228">
        <f>+E36+E26+E19</f>
        <v>2436701</v>
      </c>
      <c r="K38" s="67"/>
      <c r="L38" s="207" t="s">
        <v>158</v>
      </c>
      <c r="M38" s="208">
        <f>M36-E38</f>
        <v>0</v>
      </c>
      <c r="N38" s="209">
        <f>+N36-E26</f>
        <v>0</v>
      </c>
      <c r="O38" s="24"/>
      <c r="P38" s="24"/>
      <c r="Q38" s="24"/>
      <c r="R38" s="68"/>
      <c r="AN38" s="1"/>
      <c r="AO38" s="1"/>
      <c r="AP38" s="1"/>
      <c r="AQ38" s="1"/>
      <c r="AR38" s="1"/>
      <c r="AS38" s="1"/>
    </row>
    <row r="39" spans="1:47" ht="12.75" customHeight="1" thickTop="1" thickBot="1" x14ac:dyDescent="0.25">
      <c r="C39" s="46"/>
      <c r="D39" s="46"/>
      <c r="K39" s="74"/>
      <c r="L39" s="131"/>
      <c r="M39" s="131"/>
      <c r="N39" s="133"/>
      <c r="O39" s="131"/>
      <c r="P39" s="131"/>
      <c r="Q39" s="131"/>
      <c r="R39" s="132"/>
      <c r="AJ39" s="1"/>
      <c r="AK39" s="1"/>
      <c r="AN39" s="1"/>
      <c r="AO39" s="1"/>
      <c r="AP39" s="1"/>
      <c r="AQ39" s="1"/>
      <c r="AR39" s="1"/>
      <c r="AS39" s="1"/>
    </row>
    <row r="40" spans="1:47" ht="12.75" customHeight="1" x14ac:dyDescent="0.2">
      <c r="A40" s="318"/>
      <c r="B40" s="319"/>
      <c r="C40" s="434"/>
      <c r="D40" s="434"/>
      <c r="E40" s="319"/>
      <c r="F40" s="319"/>
      <c r="G40" s="319"/>
      <c r="H40" s="319"/>
      <c r="I40" s="319"/>
      <c r="J40" s="319"/>
      <c r="K40" s="320"/>
      <c r="L40" s="320"/>
      <c r="M40" s="320"/>
      <c r="N40" s="320"/>
      <c r="O40" s="320"/>
      <c r="P40" s="320"/>
      <c r="Q40" s="319"/>
      <c r="R40" s="319"/>
      <c r="S40" s="319"/>
      <c r="T40" s="319"/>
      <c r="U40" s="319"/>
      <c r="V40" s="319"/>
      <c r="W40" s="319"/>
      <c r="X40" s="319"/>
      <c r="Y40" s="319"/>
      <c r="Z40" s="319"/>
      <c r="AA40" s="319"/>
      <c r="AB40" s="319"/>
      <c r="AC40" s="319"/>
      <c r="AD40" s="319"/>
      <c r="AE40" s="319"/>
      <c r="AF40" s="319"/>
      <c r="AG40" s="319"/>
      <c r="AJ40" s="1"/>
      <c r="AK40" s="1"/>
      <c r="AN40" s="1"/>
      <c r="AO40" s="1"/>
      <c r="AP40" s="1"/>
      <c r="AQ40" s="1"/>
      <c r="AR40" s="1"/>
      <c r="AS40" s="1"/>
    </row>
    <row r="41" spans="1:47" ht="12.75" customHeight="1" x14ac:dyDescent="0.25">
      <c r="A41" s="56" t="s">
        <v>159</v>
      </c>
      <c r="B41" s="57"/>
      <c r="C41" s="46"/>
      <c r="D41" s="46"/>
      <c r="K41" s="1"/>
      <c r="L41" s="1"/>
      <c r="M41" s="43"/>
      <c r="N41" s="1"/>
      <c r="O41" s="1"/>
      <c r="P41" s="1"/>
      <c r="AJ41" s="1"/>
      <c r="AK41" s="1"/>
      <c r="AN41" s="1"/>
      <c r="AO41" s="1"/>
      <c r="AP41" s="1"/>
      <c r="AQ41" s="1"/>
      <c r="AR41" s="1"/>
      <c r="AS41" s="1"/>
    </row>
    <row r="42" spans="1:47" ht="12.75" customHeight="1" x14ac:dyDescent="0.2">
      <c r="B42" s="1"/>
      <c r="C42" s="19"/>
      <c r="AI42" s="106" t="s">
        <v>160</v>
      </c>
      <c r="AJ42" s="107"/>
      <c r="AK42" s="1"/>
      <c r="AN42" s="1"/>
      <c r="AO42" s="1"/>
      <c r="AP42" s="1"/>
      <c r="AQ42" s="1"/>
      <c r="AR42" s="1"/>
      <c r="AS42" s="1"/>
    </row>
    <row r="43" spans="1:47" ht="12.75" customHeight="1" x14ac:dyDescent="0.2">
      <c r="A43" s="30"/>
      <c r="B43" s="31" t="s">
        <v>161</v>
      </c>
      <c r="C43" s="32">
        <f t="shared" ref="C43:P43" si="3">SUM(C47:C76)-C61-C68-C69</f>
        <v>17956</v>
      </c>
      <c r="D43" s="32">
        <f t="shared" si="3"/>
        <v>-3039</v>
      </c>
      <c r="E43" s="32">
        <f t="shared" si="3"/>
        <v>1913</v>
      </c>
      <c r="F43" s="32">
        <f t="shared" si="3"/>
        <v>0</v>
      </c>
      <c r="G43" s="32">
        <f t="shared" si="3"/>
        <v>0</v>
      </c>
      <c r="H43" s="32">
        <f t="shared" si="3"/>
        <v>-2092</v>
      </c>
      <c r="I43" s="32">
        <f t="shared" si="3"/>
        <v>5358</v>
      </c>
      <c r="J43" s="32">
        <f t="shared" si="3"/>
        <v>10991</v>
      </c>
      <c r="K43" s="32">
        <f t="shared" si="3"/>
        <v>12910</v>
      </c>
      <c r="L43" s="32">
        <f t="shared" si="3"/>
        <v>-10280</v>
      </c>
      <c r="M43" s="32">
        <f t="shared" si="3"/>
        <v>0</v>
      </c>
      <c r="N43" s="32">
        <f t="shared" si="3"/>
        <v>0</v>
      </c>
      <c r="O43" s="32">
        <f t="shared" si="3"/>
        <v>3873</v>
      </c>
      <c r="P43" s="32">
        <f t="shared" si="3"/>
        <v>2859</v>
      </c>
      <c r="Q43" s="32">
        <f>SUM(Q47:Q76)-R61-Q68-Q69</f>
        <v>13667</v>
      </c>
      <c r="R43" s="32">
        <f>SUM(R47:R76)-S61-R68-R69</f>
        <v>1964</v>
      </c>
      <c r="S43" s="32">
        <f t="shared" ref="S43:AG43" si="4">SUM(S47:S76)-S61-S68-S69</f>
        <v>7422</v>
      </c>
      <c r="T43" s="32">
        <f t="shared" si="4"/>
        <v>0</v>
      </c>
      <c r="U43" s="32">
        <f t="shared" si="4"/>
        <v>0</v>
      </c>
      <c r="V43" s="32">
        <f t="shared" si="4"/>
        <v>0</v>
      </c>
      <c r="W43" s="32">
        <f t="shared" si="4"/>
        <v>0</v>
      </c>
      <c r="X43" s="32">
        <f t="shared" si="4"/>
        <v>0</v>
      </c>
      <c r="Y43" s="32">
        <f t="shared" si="4"/>
        <v>0</v>
      </c>
      <c r="Z43" s="32">
        <f t="shared" si="4"/>
        <v>0</v>
      </c>
      <c r="AA43" s="32">
        <f t="shared" si="4"/>
        <v>0</v>
      </c>
      <c r="AB43" s="32">
        <f t="shared" si="4"/>
        <v>0</v>
      </c>
      <c r="AC43" s="32">
        <f t="shared" si="4"/>
        <v>0</v>
      </c>
      <c r="AD43" s="32">
        <f t="shared" si="4"/>
        <v>0</v>
      </c>
      <c r="AE43" s="32">
        <f t="shared" si="4"/>
        <v>0</v>
      </c>
      <c r="AF43" s="32">
        <f t="shared" si="4"/>
        <v>0</v>
      </c>
      <c r="AG43" s="32">
        <f t="shared" si="4"/>
        <v>0</v>
      </c>
      <c r="AH43" s="1"/>
      <c r="AI43" s="108" t="s">
        <v>162</v>
      </c>
      <c r="AJ43" s="109" t="s">
        <v>163</v>
      </c>
      <c r="AK43" s="1"/>
      <c r="AL43" s="33"/>
      <c r="AN43" s="1"/>
      <c r="AO43" s="1"/>
      <c r="AP43" s="1"/>
      <c r="AQ43" s="1"/>
      <c r="AR43" s="1"/>
      <c r="AS43" s="1"/>
    </row>
    <row r="44" spans="1:47" s="99" customFormat="1" ht="12.75" customHeight="1" x14ac:dyDescent="0.25">
      <c r="A44" s="216" t="s">
        <v>164</v>
      </c>
      <c r="B44" s="116">
        <f>B4</f>
        <v>36831</v>
      </c>
      <c r="C44" s="104">
        <f>B44</f>
        <v>36831</v>
      </c>
      <c r="D44" s="104">
        <f t="shared" ref="D44:AG44" si="5">C44+1</f>
        <v>36832</v>
      </c>
      <c r="E44" s="104">
        <f t="shared" si="5"/>
        <v>36833</v>
      </c>
      <c r="F44" s="104">
        <f t="shared" si="5"/>
        <v>36834</v>
      </c>
      <c r="G44" s="104">
        <f t="shared" si="5"/>
        <v>36835</v>
      </c>
      <c r="H44" s="104">
        <f t="shared" si="5"/>
        <v>36836</v>
      </c>
      <c r="I44" s="104">
        <f t="shared" si="5"/>
        <v>36837</v>
      </c>
      <c r="J44" s="104">
        <f t="shared" si="5"/>
        <v>36838</v>
      </c>
      <c r="K44" s="104">
        <f t="shared" si="5"/>
        <v>36839</v>
      </c>
      <c r="L44" s="104">
        <f t="shared" si="5"/>
        <v>36840</v>
      </c>
      <c r="M44" s="104">
        <f t="shared" si="5"/>
        <v>36841</v>
      </c>
      <c r="N44" s="104">
        <f t="shared" si="5"/>
        <v>36842</v>
      </c>
      <c r="O44" s="104">
        <f t="shared" si="5"/>
        <v>36843</v>
      </c>
      <c r="P44" s="104">
        <f t="shared" si="5"/>
        <v>36844</v>
      </c>
      <c r="Q44" s="104">
        <f t="shared" si="5"/>
        <v>36845</v>
      </c>
      <c r="R44" s="104">
        <f t="shared" si="5"/>
        <v>36846</v>
      </c>
      <c r="S44" s="104">
        <f t="shared" si="5"/>
        <v>36847</v>
      </c>
      <c r="T44" s="104">
        <f t="shared" si="5"/>
        <v>36848</v>
      </c>
      <c r="U44" s="104">
        <f t="shared" si="5"/>
        <v>36849</v>
      </c>
      <c r="V44" s="104">
        <f t="shared" si="5"/>
        <v>36850</v>
      </c>
      <c r="W44" s="104">
        <f t="shared" si="5"/>
        <v>36851</v>
      </c>
      <c r="X44" s="104">
        <f t="shared" si="5"/>
        <v>36852</v>
      </c>
      <c r="Y44" s="104">
        <f t="shared" si="5"/>
        <v>36853</v>
      </c>
      <c r="Z44" s="104">
        <f t="shared" si="5"/>
        <v>36854</v>
      </c>
      <c r="AA44" s="104">
        <f t="shared" si="5"/>
        <v>36855</v>
      </c>
      <c r="AB44" s="104">
        <f t="shared" si="5"/>
        <v>36856</v>
      </c>
      <c r="AC44" s="104">
        <f t="shared" si="5"/>
        <v>36857</v>
      </c>
      <c r="AD44" s="104">
        <f t="shared" si="5"/>
        <v>36858</v>
      </c>
      <c r="AE44" s="104">
        <f t="shared" si="5"/>
        <v>36859</v>
      </c>
      <c r="AF44" s="104">
        <f t="shared" si="5"/>
        <v>36860</v>
      </c>
      <c r="AG44" s="104">
        <f t="shared" si="5"/>
        <v>36861</v>
      </c>
      <c r="AI44" s="110">
        <v>1</v>
      </c>
      <c r="AJ44" s="111" t="s">
        <v>165</v>
      </c>
      <c r="AL44" s="100"/>
    </row>
    <row r="45" spans="1:47" ht="12.75" customHeight="1" x14ac:dyDescent="0.25">
      <c r="A45" s="34"/>
      <c r="B45" s="34"/>
      <c r="C45" s="105" t="str">
        <f t="shared" ref="C45:AG45" si="6">LOOKUP((WEEKDAY(C44,1)),$AI$44:$AI$50,$AJ$44:$AJ$50)</f>
        <v>W</v>
      </c>
      <c r="D45" s="105" t="str">
        <f t="shared" si="6"/>
        <v>R</v>
      </c>
      <c r="E45" s="105" t="str">
        <f t="shared" si="6"/>
        <v>F</v>
      </c>
      <c r="F45" s="105" t="str">
        <f t="shared" si="6"/>
        <v>S</v>
      </c>
      <c r="G45" s="105" t="str">
        <f t="shared" si="6"/>
        <v>S</v>
      </c>
      <c r="H45" s="105" t="str">
        <f t="shared" si="6"/>
        <v>M</v>
      </c>
      <c r="I45" s="105" t="str">
        <f t="shared" si="6"/>
        <v>T</v>
      </c>
      <c r="J45" s="105" t="str">
        <f t="shared" si="6"/>
        <v>W</v>
      </c>
      <c r="K45" s="105" t="str">
        <f t="shared" si="6"/>
        <v>R</v>
      </c>
      <c r="L45" s="105" t="str">
        <f t="shared" si="6"/>
        <v>F</v>
      </c>
      <c r="M45" s="105" t="str">
        <f t="shared" si="6"/>
        <v>S</v>
      </c>
      <c r="N45" s="105" t="str">
        <f t="shared" si="6"/>
        <v>S</v>
      </c>
      <c r="O45" s="105" t="str">
        <f t="shared" si="6"/>
        <v>M</v>
      </c>
      <c r="P45" s="105" t="str">
        <f t="shared" si="6"/>
        <v>T</v>
      </c>
      <c r="Q45" s="105" t="str">
        <f t="shared" si="6"/>
        <v>W</v>
      </c>
      <c r="R45" s="105" t="str">
        <f t="shared" si="6"/>
        <v>R</v>
      </c>
      <c r="S45" s="105" t="str">
        <f t="shared" si="6"/>
        <v>F</v>
      </c>
      <c r="T45" s="105" t="str">
        <f t="shared" si="6"/>
        <v>S</v>
      </c>
      <c r="U45" s="105" t="str">
        <f t="shared" si="6"/>
        <v>S</v>
      </c>
      <c r="V45" s="105" t="str">
        <f t="shared" si="6"/>
        <v>M</v>
      </c>
      <c r="W45" s="105" t="str">
        <f t="shared" si="6"/>
        <v>T</v>
      </c>
      <c r="X45" s="105" t="str">
        <f t="shared" si="6"/>
        <v>W</v>
      </c>
      <c r="Y45" s="105" t="str">
        <f t="shared" si="6"/>
        <v>R</v>
      </c>
      <c r="Z45" s="105" t="str">
        <f t="shared" si="6"/>
        <v>F</v>
      </c>
      <c r="AA45" s="105" t="str">
        <f t="shared" si="6"/>
        <v>S</v>
      </c>
      <c r="AB45" s="105" t="str">
        <f t="shared" si="6"/>
        <v>S</v>
      </c>
      <c r="AC45" s="105" t="str">
        <f t="shared" si="6"/>
        <v>M</v>
      </c>
      <c r="AD45" s="105" t="str">
        <f t="shared" si="6"/>
        <v>T</v>
      </c>
      <c r="AE45" s="105" t="str">
        <f t="shared" si="6"/>
        <v>W</v>
      </c>
      <c r="AF45" s="105" t="str">
        <f t="shared" si="6"/>
        <v>R</v>
      </c>
      <c r="AG45" s="105" t="str">
        <f t="shared" si="6"/>
        <v>F</v>
      </c>
      <c r="AH45" s="1"/>
      <c r="AI45" s="112">
        <v>2</v>
      </c>
      <c r="AJ45" s="113" t="s">
        <v>166</v>
      </c>
      <c r="AK45" s="1"/>
      <c r="AL45" s="24"/>
      <c r="AN45" s="1"/>
      <c r="AO45" s="1"/>
      <c r="AP45" s="1"/>
      <c r="AQ45" s="1"/>
      <c r="AR45" s="1"/>
      <c r="AS45" s="1"/>
    </row>
    <row r="46" spans="1:47" ht="12.75" hidden="1" customHeight="1" thickBot="1" x14ac:dyDescent="0.3">
      <c r="A46" s="217"/>
      <c r="B46" s="35" t="s">
        <v>167</v>
      </c>
      <c r="C46" s="36"/>
      <c r="D46" s="36"/>
      <c r="E46" s="36"/>
      <c r="F46" s="36"/>
      <c r="G46" s="36"/>
      <c r="H46" s="36"/>
      <c r="I46" s="36"/>
      <c r="J46" s="36"/>
      <c r="K46" s="36"/>
      <c r="L46" s="36"/>
      <c r="M46" s="36"/>
      <c r="N46" s="36"/>
      <c r="O46" s="36"/>
      <c r="P46" s="280"/>
      <c r="Q46" s="36"/>
      <c r="R46" s="280"/>
      <c r="S46" s="36"/>
      <c r="T46" s="280"/>
      <c r="U46" s="36"/>
      <c r="V46" s="36"/>
      <c r="W46" s="280"/>
      <c r="X46" s="36"/>
      <c r="Y46" s="36"/>
      <c r="Z46" s="36"/>
      <c r="AA46" s="36"/>
      <c r="AB46" s="280"/>
      <c r="AC46" s="36"/>
      <c r="AD46" s="36"/>
      <c r="AE46" s="280"/>
      <c r="AF46" s="36"/>
      <c r="AG46" s="37"/>
      <c r="AH46" s="1"/>
      <c r="AI46" s="112">
        <v>3</v>
      </c>
      <c r="AJ46" s="113" t="s">
        <v>168</v>
      </c>
      <c r="AK46" s="1"/>
      <c r="AL46" s="24"/>
      <c r="AN46" s="1"/>
      <c r="AO46" s="1"/>
      <c r="AP46" s="1"/>
      <c r="AQ46" s="1"/>
      <c r="AR46" s="1"/>
      <c r="AS46" s="1"/>
    </row>
    <row r="47" spans="1:47" ht="12.75" hidden="1" customHeight="1" thickTop="1" x14ac:dyDescent="0.2">
      <c r="A47" s="22" t="s">
        <v>169</v>
      </c>
      <c r="B47" s="39">
        <f t="shared" ref="B47:B70" si="7">SUM(C47:AG47)</f>
        <v>0</v>
      </c>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1"/>
      <c r="AI47" s="112">
        <v>4</v>
      </c>
      <c r="AJ47" s="113" t="s">
        <v>170</v>
      </c>
      <c r="AK47" s="1"/>
      <c r="AL47" s="41"/>
      <c r="AM47" s="42"/>
      <c r="AN47" s="43"/>
      <c r="AO47" s="1"/>
      <c r="AP47" s="1"/>
      <c r="AQ47" s="1"/>
      <c r="AR47" s="1"/>
      <c r="AS47" s="1"/>
    </row>
    <row r="48" spans="1:47" ht="12.75" hidden="1" customHeight="1" x14ac:dyDescent="0.2">
      <c r="A48" s="44" t="s">
        <v>171</v>
      </c>
      <c r="B48" s="39">
        <f t="shared" si="7"/>
        <v>0</v>
      </c>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1"/>
      <c r="AI48" s="112">
        <v>5</v>
      </c>
      <c r="AJ48" s="113" t="s">
        <v>172</v>
      </c>
      <c r="AK48" s="1"/>
      <c r="AL48" s="41"/>
      <c r="AM48" s="45"/>
      <c r="AN48" s="47"/>
      <c r="AO48" s="41"/>
      <c r="AP48" s="41"/>
      <c r="AQ48" s="41"/>
      <c r="AR48" s="41"/>
      <c r="AS48" s="41"/>
      <c r="AT48" s="46"/>
      <c r="AU48" s="46"/>
    </row>
    <row r="49" spans="1:50" ht="12.75" hidden="1" customHeight="1" thickTop="1" x14ac:dyDescent="0.2">
      <c r="A49" s="44" t="s">
        <v>173</v>
      </c>
      <c r="B49" s="39">
        <f t="shared" si="7"/>
        <v>0</v>
      </c>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1"/>
      <c r="AI49" s="112">
        <v>6</v>
      </c>
      <c r="AJ49" s="113" t="s">
        <v>174</v>
      </c>
      <c r="AK49" s="1"/>
      <c r="AL49" s="41"/>
      <c r="AM49" s="45"/>
      <c r="AN49" s="47"/>
      <c r="AO49" s="41"/>
      <c r="AP49" s="41"/>
      <c r="AQ49" s="41"/>
      <c r="AR49" s="41"/>
      <c r="AS49" s="41"/>
      <c r="AT49" s="46"/>
      <c r="AU49" s="46"/>
    </row>
    <row r="50" spans="1:50" ht="12.75" hidden="1" customHeight="1" x14ac:dyDescent="0.2">
      <c r="A50" s="44" t="s">
        <v>175</v>
      </c>
      <c r="B50" s="39">
        <f t="shared" si="7"/>
        <v>0</v>
      </c>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1"/>
      <c r="AI50" s="114">
        <v>7</v>
      </c>
      <c r="AJ50" s="115" t="s">
        <v>165</v>
      </c>
      <c r="AK50" s="1"/>
      <c r="AL50" s="48"/>
      <c r="AM50" s="48"/>
      <c r="AN50" s="47"/>
      <c r="AO50" s="41"/>
      <c r="AP50" s="41"/>
      <c r="AQ50" s="41"/>
      <c r="AR50" s="41"/>
      <c r="AS50" s="41"/>
      <c r="AT50" s="46"/>
      <c r="AU50" s="46"/>
    </row>
    <row r="51" spans="1:50" ht="12.75" customHeight="1" x14ac:dyDescent="0.2">
      <c r="A51" s="44" t="s">
        <v>176</v>
      </c>
      <c r="B51" s="39">
        <f t="shared" si="7"/>
        <v>61409</v>
      </c>
      <c r="C51" s="20">
        <v>17503</v>
      </c>
      <c r="D51" s="20"/>
      <c r="E51" s="20">
        <v>1631</v>
      </c>
      <c r="F51" s="20"/>
      <c r="G51" s="20"/>
      <c r="H51" s="20">
        <v>-2983</v>
      </c>
      <c r="I51" s="20">
        <v>5005</v>
      </c>
      <c r="J51" s="20">
        <v>10726</v>
      </c>
      <c r="K51" s="20">
        <v>12603</v>
      </c>
      <c r="L51" s="20">
        <v>-10560</v>
      </c>
      <c r="M51" s="20"/>
      <c r="N51" s="20"/>
      <c r="O51" s="20">
        <v>2941</v>
      </c>
      <c r="P51" s="20">
        <v>2403</v>
      </c>
      <c r="Q51" s="20">
        <v>13339</v>
      </c>
      <c r="R51" s="20">
        <v>1658</v>
      </c>
      <c r="S51" s="20">
        <v>7143</v>
      </c>
      <c r="T51" s="20"/>
      <c r="U51" s="20"/>
      <c r="V51" s="20"/>
      <c r="W51" s="20"/>
      <c r="X51" s="20"/>
      <c r="Y51" s="20"/>
      <c r="Z51" s="20"/>
      <c r="AA51" s="20"/>
      <c r="AB51" s="20"/>
      <c r="AC51" s="20"/>
      <c r="AD51" s="20"/>
      <c r="AE51" s="20"/>
      <c r="AF51" s="20"/>
      <c r="AG51" s="20"/>
      <c r="AH51" s="1"/>
      <c r="AI51" s="46"/>
      <c r="AJ51" s="1"/>
      <c r="AK51" s="1"/>
      <c r="AL51" s="48"/>
      <c r="AM51" s="42"/>
      <c r="AN51" s="43"/>
      <c r="AO51" s="1"/>
      <c r="AP51" s="1"/>
      <c r="AQ51" s="1"/>
      <c r="AR51" s="1"/>
      <c r="AS51" s="1"/>
    </row>
    <row r="52" spans="1:50" ht="12.75" hidden="1" customHeight="1" x14ac:dyDescent="0.2">
      <c r="A52" s="44" t="s">
        <v>177</v>
      </c>
      <c r="B52" s="39">
        <f t="shared" si="7"/>
        <v>0</v>
      </c>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1"/>
      <c r="AI52" s="46"/>
      <c r="AJ52" s="1"/>
      <c r="AK52" s="1"/>
      <c r="AL52" s="48"/>
      <c r="AM52" s="42"/>
      <c r="AN52" s="43"/>
      <c r="AO52" s="1"/>
      <c r="AP52" s="1"/>
      <c r="AQ52" s="1"/>
      <c r="AR52" s="1"/>
      <c r="AS52" s="1"/>
    </row>
    <row r="53" spans="1:50" ht="12.75" customHeight="1" x14ac:dyDescent="0.2">
      <c r="A53" s="22" t="s">
        <v>178</v>
      </c>
      <c r="B53" s="39">
        <f t="shared" si="7"/>
        <v>138</v>
      </c>
      <c r="C53" s="20"/>
      <c r="D53" s="20"/>
      <c r="E53" s="20"/>
      <c r="F53" s="20"/>
      <c r="G53" s="20"/>
      <c r="H53" s="20"/>
      <c r="I53" s="20"/>
      <c r="J53" s="20"/>
      <c r="K53" s="20"/>
      <c r="L53" s="20"/>
      <c r="M53" s="20"/>
      <c r="N53" s="20"/>
      <c r="O53" s="20"/>
      <c r="P53" s="20">
        <v>138</v>
      </c>
      <c r="Q53" s="20"/>
      <c r="R53" s="20"/>
      <c r="S53" s="20"/>
      <c r="T53" s="20"/>
      <c r="U53" s="20"/>
      <c r="V53" s="20"/>
      <c r="W53" s="20"/>
      <c r="X53" s="20"/>
      <c r="Y53" s="20"/>
      <c r="Z53" s="20"/>
      <c r="AA53" s="20"/>
      <c r="AB53" s="20"/>
      <c r="AC53" s="20"/>
      <c r="AD53" s="20"/>
      <c r="AE53" s="20"/>
      <c r="AF53" s="20"/>
      <c r="AG53" s="20"/>
      <c r="AH53" s="1"/>
      <c r="AJ53" s="1"/>
      <c r="AK53" s="1"/>
      <c r="AL53" s="41"/>
      <c r="AM53" s="42"/>
      <c r="AN53" s="43"/>
      <c r="AO53" s="1"/>
      <c r="AP53" s="1"/>
      <c r="AQ53" s="1"/>
      <c r="AR53" s="1"/>
      <c r="AS53" s="1"/>
    </row>
    <row r="54" spans="1:50" ht="12.75" customHeight="1" x14ac:dyDescent="0.2">
      <c r="A54" s="22" t="s">
        <v>179</v>
      </c>
      <c r="B54" s="39">
        <f t="shared" si="7"/>
        <v>-3291</v>
      </c>
      <c r="C54" s="20"/>
      <c r="D54" s="20">
        <v>-3291</v>
      </c>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1"/>
      <c r="AJ54" s="1"/>
      <c r="AK54" s="1"/>
      <c r="AL54" s="41"/>
      <c r="AM54" s="42"/>
      <c r="AN54" s="43"/>
      <c r="AO54" s="1"/>
      <c r="AP54" s="1"/>
      <c r="AQ54" s="1"/>
      <c r="AR54" s="1"/>
      <c r="AS54" s="1"/>
    </row>
    <row r="55" spans="1:50" ht="12.75" customHeight="1" x14ac:dyDescent="0.2">
      <c r="A55" s="22" t="s">
        <v>180</v>
      </c>
      <c r="B55" s="39">
        <f t="shared" si="7"/>
        <v>0</v>
      </c>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1"/>
      <c r="AJ55" s="1"/>
      <c r="AK55" s="1"/>
      <c r="AL55" s="41"/>
      <c r="AM55" s="42"/>
      <c r="AN55" s="43"/>
      <c r="AO55" s="1"/>
      <c r="AP55" s="1"/>
      <c r="AQ55" s="1"/>
      <c r="AR55" s="1"/>
      <c r="AS55" s="1"/>
    </row>
    <row r="56" spans="1:50" ht="12.75" customHeight="1" x14ac:dyDescent="0.2">
      <c r="A56" s="22" t="s">
        <v>181</v>
      </c>
      <c r="B56" s="39">
        <f t="shared" si="7"/>
        <v>0</v>
      </c>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1"/>
      <c r="AI56" s="46"/>
      <c r="AJ56" s="1"/>
      <c r="AK56" s="1"/>
      <c r="AL56" s="41"/>
      <c r="AM56" s="42"/>
      <c r="AN56" s="43"/>
      <c r="AO56" s="1"/>
      <c r="AP56" s="1"/>
      <c r="AQ56" s="1"/>
      <c r="AR56" s="1"/>
      <c r="AS56" s="1"/>
    </row>
    <row r="57" spans="1:50" ht="12.75" customHeight="1" x14ac:dyDescent="0.2">
      <c r="A57" s="44" t="s">
        <v>182</v>
      </c>
      <c r="B57" s="39">
        <f t="shared" si="7"/>
        <v>0</v>
      </c>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1"/>
      <c r="AI57" s="46"/>
      <c r="AJ57" s="1"/>
      <c r="AK57" s="1"/>
      <c r="AL57" s="41"/>
      <c r="AM57" s="42"/>
      <c r="AN57" s="43"/>
      <c r="AO57" s="1"/>
      <c r="AP57" s="1"/>
      <c r="AQ57" s="1"/>
      <c r="AR57" s="1"/>
      <c r="AS57" s="1"/>
    </row>
    <row r="58" spans="1:50" ht="12.75" customHeight="1" x14ac:dyDescent="0.2">
      <c r="A58" s="44" t="s">
        <v>183</v>
      </c>
      <c r="B58" s="39">
        <f t="shared" si="7"/>
        <v>-60</v>
      </c>
      <c r="C58" s="20">
        <v>70</v>
      </c>
      <c r="D58" s="20">
        <v>-52</v>
      </c>
      <c r="E58" s="20">
        <v>-24</v>
      </c>
      <c r="F58" s="20"/>
      <c r="G58" s="20"/>
      <c r="H58" s="20">
        <v>-25</v>
      </c>
      <c r="I58" s="20">
        <v>47</v>
      </c>
      <c r="J58" s="20">
        <v>-42</v>
      </c>
      <c r="K58" s="20">
        <v>-1</v>
      </c>
      <c r="L58" s="20">
        <v>-29</v>
      </c>
      <c r="M58" s="20"/>
      <c r="N58" s="20"/>
      <c r="O58" s="20">
        <v>7</v>
      </c>
      <c r="P58" s="20">
        <v>9</v>
      </c>
      <c r="Q58" s="20">
        <v>17</v>
      </c>
      <c r="R58" s="20">
        <v>-4</v>
      </c>
      <c r="S58" s="20">
        <v>-33</v>
      </c>
      <c r="T58" s="20"/>
      <c r="U58" s="20"/>
      <c r="V58" s="20"/>
      <c r="W58" s="20"/>
      <c r="X58" s="20"/>
      <c r="Y58" s="20"/>
      <c r="Z58" s="20"/>
      <c r="AA58" s="20"/>
      <c r="AB58" s="20"/>
      <c r="AC58" s="20"/>
      <c r="AD58" s="20"/>
      <c r="AE58" s="20"/>
      <c r="AF58" s="20"/>
      <c r="AG58" s="20"/>
      <c r="AH58" s="1"/>
      <c r="AI58" s="46"/>
      <c r="AJ58" s="1"/>
      <c r="AK58" s="1"/>
      <c r="AL58" s="41"/>
      <c r="AM58" s="48"/>
      <c r="AN58" s="47"/>
      <c r="AO58" s="41"/>
      <c r="AP58" s="41"/>
      <c r="AQ58" s="41"/>
      <c r="AR58" s="41"/>
      <c r="AS58" s="41"/>
      <c r="AT58" s="46"/>
      <c r="AU58" s="46"/>
      <c r="AV58" s="46"/>
      <c r="AW58" s="46"/>
      <c r="AX58" s="46"/>
    </row>
    <row r="59" spans="1:50" ht="12.75" customHeight="1" x14ac:dyDescent="0.2">
      <c r="A59" s="44" t="s">
        <v>184</v>
      </c>
      <c r="B59" s="39">
        <f t="shared" si="7"/>
        <v>5299</v>
      </c>
      <c r="C59" s="20">
        <v>380</v>
      </c>
      <c r="D59" s="20">
        <v>305</v>
      </c>
      <c r="E59" s="20">
        <v>305</v>
      </c>
      <c r="F59" s="20"/>
      <c r="G59" s="20"/>
      <c r="H59" s="20">
        <v>917</v>
      </c>
      <c r="I59" s="20">
        <v>306</v>
      </c>
      <c r="J59" s="20">
        <v>306</v>
      </c>
      <c r="K59" s="20">
        <v>307</v>
      </c>
      <c r="L59" s="20">
        <v>309</v>
      </c>
      <c r="M59" s="20"/>
      <c r="N59" s="20"/>
      <c r="O59" s="20">
        <v>925</v>
      </c>
      <c r="P59" s="20">
        <v>309</v>
      </c>
      <c r="Q59" s="20">
        <v>309</v>
      </c>
      <c r="R59" s="20">
        <v>310</v>
      </c>
      <c r="S59" s="20">
        <v>311</v>
      </c>
      <c r="T59" s="20"/>
      <c r="U59" s="20"/>
      <c r="V59" s="20"/>
      <c r="W59" s="20"/>
      <c r="X59" s="20"/>
      <c r="Y59" s="20"/>
      <c r="Z59" s="20"/>
      <c r="AA59" s="20"/>
      <c r="AB59" s="20"/>
      <c r="AC59" s="20"/>
      <c r="AD59" s="20"/>
      <c r="AE59" s="20"/>
      <c r="AF59" s="20"/>
      <c r="AG59" s="20"/>
      <c r="AH59" s="1"/>
      <c r="AI59" s="46"/>
      <c r="AJ59" s="1"/>
      <c r="AK59" s="1"/>
      <c r="AL59" s="41"/>
      <c r="AM59" s="48"/>
      <c r="AN59" s="47"/>
      <c r="AO59" s="41"/>
      <c r="AP59" s="41"/>
      <c r="AQ59" s="41"/>
      <c r="AR59" s="41"/>
      <c r="AS59" s="41"/>
      <c r="AT59" s="46"/>
      <c r="AU59" s="46"/>
      <c r="AV59" s="46"/>
      <c r="AW59" s="46"/>
      <c r="AX59" s="46"/>
    </row>
    <row r="60" spans="1:50" ht="12.75" customHeight="1" x14ac:dyDescent="0.2">
      <c r="A60" s="44" t="s">
        <v>185</v>
      </c>
      <c r="B60" s="39">
        <f t="shared" si="7"/>
        <v>0</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1"/>
      <c r="AI60" s="46"/>
      <c r="AJ60" s="1"/>
      <c r="AK60" s="1"/>
      <c r="AL60" s="41"/>
      <c r="AM60" s="48"/>
      <c r="AN60" s="47"/>
      <c r="AO60" s="41"/>
      <c r="AP60" s="41"/>
      <c r="AQ60" s="41"/>
      <c r="AR60" s="41"/>
      <c r="AS60" s="41"/>
      <c r="AT60" s="46"/>
      <c r="AU60" s="46"/>
      <c r="AV60" s="46"/>
      <c r="AW60" s="46"/>
      <c r="AX60" s="46"/>
    </row>
    <row r="61" spans="1:50" ht="12.75" customHeight="1" x14ac:dyDescent="0.2">
      <c r="A61" s="44" t="s">
        <v>186</v>
      </c>
      <c r="B61" s="39">
        <f t="shared" si="7"/>
        <v>0</v>
      </c>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1"/>
      <c r="AJ61" s="1"/>
      <c r="AK61" s="1"/>
      <c r="AL61" s="41"/>
      <c r="AM61" s="42"/>
      <c r="AN61" s="43"/>
      <c r="AO61" s="1"/>
      <c r="AP61" s="1"/>
      <c r="AQ61" s="1"/>
      <c r="AR61" s="1"/>
      <c r="AS61" s="1"/>
    </row>
    <row r="62" spans="1:50" ht="12.75" customHeight="1" x14ac:dyDescent="0.2">
      <c r="A62" s="44" t="s">
        <v>187</v>
      </c>
      <c r="B62" s="39">
        <f t="shared" si="7"/>
        <v>7</v>
      </c>
      <c r="C62" s="20">
        <f>2+1</f>
        <v>3</v>
      </c>
      <c r="D62" s="20">
        <f>-1</f>
        <v>-1</v>
      </c>
      <c r="E62" s="20">
        <v>1</v>
      </c>
      <c r="F62" s="20"/>
      <c r="G62" s="20"/>
      <c r="H62" s="20">
        <f>-1</f>
        <v>-1</v>
      </c>
      <c r="I62" s="20"/>
      <c r="J62" s="20">
        <f>2-1</f>
        <v>1</v>
      </c>
      <c r="K62" s="20">
        <f>2-1</f>
        <v>1</v>
      </c>
      <c r="L62" s="20">
        <f>-1+1</f>
        <v>0</v>
      </c>
      <c r="M62" s="20"/>
      <c r="N62" s="20"/>
      <c r="O62" s="20">
        <f>1-1</f>
        <v>0</v>
      </c>
      <c r="P62" s="20"/>
      <c r="Q62" s="20">
        <f>2</f>
        <v>2</v>
      </c>
      <c r="R62" s="20"/>
      <c r="S62" s="20">
        <f>1</f>
        <v>1</v>
      </c>
      <c r="T62" s="20"/>
      <c r="U62" s="20"/>
      <c r="V62" s="20"/>
      <c r="W62" s="20"/>
      <c r="X62" s="20"/>
      <c r="Y62" s="20"/>
      <c r="Z62" s="20"/>
      <c r="AA62" s="20"/>
      <c r="AB62" s="20"/>
      <c r="AC62" s="20"/>
      <c r="AD62" s="20"/>
      <c r="AE62" s="20"/>
      <c r="AF62" s="20"/>
      <c r="AG62" s="20"/>
      <c r="AH62" s="1"/>
      <c r="AJ62" s="1"/>
      <c r="AK62" s="1"/>
      <c r="AL62" s="41"/>
      <c r="AM62" s="42"/>
      <c r="AN62" s="43"/>
      <c r="AO62" s="43"/>
      <c r="AP62" s="1"/>
      <c r="AQ62" s="1"/>
      <c r="AR62" s="1"/>
      <c r="AS62" s="1"/>
    </row>
    <row r="63" spans="1:50" ht="12.75" hidden="1" customHeight="1" x14ac:dyDescent="0.2">
      <c r="A63" s="44" t="s">
        <v>140</v>
      </c>
      <c r="B63" s="39">
        <f t="shared" si="7"/>
        <v>0</v>
      </c>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1"/>
      <c r="AI63" s="46"/>
      <c r="AJ63" s="1"/>
      <c r="AK63" s="1"/>
      <c r="AL63" s="41"/>
      <c r="AM63" s="42"/>
      <c r="AN63" s="43"/>
      <c r="AO63" s="1"/>
      <c r="AP63" s="1"/>
      <c r="AQ63" s="1"/>
      <c r="AR63" s="1"/>
      <c r="AS63" s="1"/>
    </row>
    <row r="64" spans="1:50" ht="12.75" hidden="1" customHeight="1" x14ac:dyDescent="0.2">
      <c r="A64" s="44" t="s">
        <v>188</v>
      </c>
      <c r="B64" s="39">
        <f t="shared" si="7"/>
        <v>0</v>
      </c>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1"/>
      <c r="AI64" s="46"/>
      <c r="AJ64" s="1"/>
      <c r="AK64" s="1"/>
      <c r="AL64" s="48"/>
      <c r="AM64" s="42"/>
      <c r="AN64" s="1"/>
      <c r="AO64" s="1"/>
      <c r="AP64" s="1"/>
      <c r="AQ64" s="1"/>
      <c r="AR64" s="1"/>
      <c r="AS64" s="1"/>
    </row>
    <row r="65" spans="1:45" ht="12.75" hidden="1" customHeight="1" x14ac:dyDescent="0.2">
      <c r="A65" s="22" t="s">
        <v>189</v>
      </c>
      <c r="B65" s="39">
        <f t="shared" si="7"/>
        <v>0</v>
      </c>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1"/>
      <c r="AJ65" s="1"/>
      <c r="AK65" s="1"/>
      <c r="AL65" s="41"/>
      <c r="AM65" s="42"/>
      <c r="AN65" s="1"/>
      <c r="AO65" s="1"/>
      <c r="AP65" s="1"/>
      <c r="AQ65" s="1"/>
      <c r="AR65" s="1"/>
      <c r="AS65" s="1"/>
    </row>
    <row r="66" spans="1:45" ht="12.75" hidden="1" customHeight="1" x14ac:dyDescent="0.2">
      <c r="A66" s="22" t="s">
        <v>190</v>
      </c>
      <c r="B66" s="39">
        <f t="shared" si="7"/>
        <v>0</v>
      </c>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1"/>
      <c r="AI66" s="46"/>
      <c r="AJ66" s="1"/>
      <c r="AK66" s="1"/>
      <c r="AL66" s="41"/>
      <c r="AM66" s="42"/>
      <c r="AN66" s="1"/>
      <c r="AO66" s="1"/>
      <c r="AP66" s="1"/>
      <c r="AQ66" s="1"/>
      <c r="AR66" s="1"/>
      <c r="AS66" s="1"/>
    </row>
    <row r="67" spans="1:45" ht="12.75" hidden="1" customHeight="1" x14ac:dyDescent="0.2">
      <c r="A67" s="22" t="s">
        <v>191</v>
      </c>
      <c r="B67" s="39">
        <f t="shared" si="7"/>
        <v>0</v>
      </c>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1"/>
      <c r="AI67" s="46"/>
      <c r="AJ67" s="1"/>
      <c r="AK67" s="1"/>
      <c r="AL67" s="41"/>
      <c r="AM67" s="42"/>
      <c r="AN67" s="1"/>
      <c r="AO67" s="1"/>
      <c r="AP67" s="1"/>
      <c r="AQ67" s="1"/>
      <c r="AR67" s="1"/>
      <c r="AS67" s="1"/>
    </row>
    <row r="68" spans="1:45" ht="12.75" hidden="1" customHeight="1" x14ac:dyDescent="0.2">
      <c r="A68" s="22" t="s">
        <v>192</v>
      </c>
      <c r="B68" s="39">
        <f t="shared" si="7"/>
        <v>0</v>
      </c>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J68" s="1"/>
      <c r="AK68" s="1"/>
      <c r="AL68" s="41"/>
      <c r="AM68" s="42"/>
      <c r="AN68" s="1"/>
      <c r="AO68" s="1"/>
      <c r="AP68" s="1"/>
      <c r="AQ68" s="1"/>
      <c r="AR68" s="1"/>
      <c r="AS68" s="1"/>
    </row>
    <row r="69" spans="1:45" ht="12.75" hidden="1" customHeight="1" x14ac:dyDescent="0.2">
      <c r="A69" s="44" t="s">
        <v>193</v>
      </c>
      <c r="B69" s="39">
        <f t="shared" si="7"/>
        <v>0</v>
      </c>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1"/>
      <c r="AI69" s="46"/>
      <c r="AJ69" s="1"/>
      <c r="AK69" s="1"/>
      <c r="AL69" s="41"/>
      <c r="AM69" s="42"/>
      <c r="AN69" s="1"/>
      <c r="AO69" s="1"/>
      <c r="AP69" s="1"/>
      <c r="AQ69" s="1"/>
      <c r="AR69" s="1"/>
      <c r="AS69" s="1"/>
    </row>
    <row r="70" spans="1:45" ht="12.75" hidden="1" customHeight="1" x14ac:dyDescent="0.2">
      <c r="A70" s="22" t="s">
        <v>194</v>
      </c>
      <c r="B70" s="39">
        <f t="shared" si="7"/>
        <v>0</v>
      </c>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J70" s="1"/>
      <c r="AK70" s="1"/>
      <c r="AL70" s="41"/>
      <c r="AM70" s="42"/>
      <c r="AN70" s="1"/>
      <c r="AO70" s="1"/>
      <c r="AP70" s="1"/>
      <c r="AQ70" s="1"/>
      <c r="AR70" s="1"/>
      <c r="AS70" s="1"/>
    </row>
    <row r="71" spans="1:45" ht="12.75" hidden="1" customHeight="1" x14ac:dyDescent="0.2">
      <c r="A71" s="22" t="s">
        <v>195</v>
      </c>
      <c r="B71" s="39" t="s">
        <v>196</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197</v>
      </c>
      <c r="B76" s="52">
        <f>SUM(B47:B75)-B61-B68-B69</f>
        <v>63502</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C78" s="13">
        <f>(+B58+B59)*-1</f>
        <v>-5239</v>
      </c>
      <c r="AH78" s="24"/>
      <c r="AJ78" s="24"/>
      <c r="AK78" s="20"/>
      <c r="AL78" s="41"/>
      <c r="AM78" s="42"/>
    </row>
    <row r="79" spans="1:45" ht="12.75" customHeight="1" x14ac:dyDescent="0.25">
      <c r="A79" s="56" t="s">
        <v>273</v>
      </c>
      <c r="B79" s="57"/>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t="s">
        <v>161</v>
      </c>
      <c r="C81" s="32">
        <f t="shared" ref="C81:AG81" si="8">SUM(C85:C101)</f>
        <v>0</v>
      </c>
      <c r="D81" s="32">
        <f t="shared" si="8"/>
        <v>0</v>
      </c>
      <c r="E81" s="32">
        <f t="shared" si="8"/>
        <v>0</v>
      </c>
      <c r="F81" s="32">
        <f t="shared" si="8"/>
        <v>0</v>
      </c>
      <c r="G81" s="32">
        <f t="shared" si="8"/>
        <v>0</v>
      </c>
      <c r="H81" s="32">
        <f t="shared" si="8"/>
        <v>0</v>
      </c>
      <c r="I81" s="32">
        <f t="shared" si="8"/>
        <v>0</v>
      </c>
      <c r="J81" s="32">
        <f t="shared" si="8"/>
        <v>0</v>
      </c>
      <c r="K81" s="32">
        <f t="shared" si="8"/>
        <v>0</v>
      </c>
      <c r="L81" s="32">
        <f t="shared" si="8"/>
        <v>0</v>
      </c>
      <c r="M81" s="32">
        <f t="shared" si="8"/>
        <v>0</v>
      </c>
      <c r="N81" s="32">
        <f t="shared" si="8"/>
        <v>0</v>
      </c>
      <c r="O81" s="32">
        <f t="shared" si="8"/>
        <v>0</v>
      </c>
      <c r="P81" s="32">
        <f t="shared" si="8"/>
        <v>0</v>
      </c>
      <c r="Q81" s="32">
        <f t="shared" si="8"/>
        <v>0</v>
      </c>
      <c r="R81" s="32">
        <f t="shared" si="8"/>
        <v>0</v>
      </c>
      <c r="S81" s="32">
        <f t="shared" si="8"/>
        <v>0</v>
      </c>
      <c r="T81" s="32">
        <f t="shared" si="8"/>
        <v>0</v>
      </c>
      <c r="U81" s="32">
        <f t="shared" si="8"/>
        <v>0</v>
      </c>
      <c r="V81" s="32">
        <f t="shared" si="8"/>
        <v>0</v>
      </c>
      <c r="W81" s="32">
        <f t="shared" si="8"/>
        <v>0</v>
      </c>
      <c r="X81" s="32">
        <f t="shared" si="8"/>
        <v>0</v>
      </c>
      <c r="Y81" s="32">
        <f t="shared" si="8"/>
        <v>0</v>
      </c>
      <c r="Z81" s="32">
        <f t="shared" si="8"/>
        <v>0</v>
      </c>
      <c r="AA81" s="32">
        <f t="shared" si="8"/>
        <v>0</v>
      </c>
      <c r="AB81" s="32">
        <f t="shared" si="8"/>
        <v>0</v>
      </c>
      <c r="AC81" s="32">
        <f t="shared" si="8"/>
        <v>0</v>
      </c>
      <c r="AD81" s="32">
        <f t="shared" si="8"/>
        <v>0</v>
      </c>
      <c r="AE81" s="32">
        <f t="shared" si="8"/>
        <v>0</v>
      </c>
      <c r="AF81" s="32">
        <f t="shared" si="8"/>
        <v>0</v>
      </c>
      <c r="AG81" s="32">
        <f t="shared" si="8"/>
        <v>0</v>
      </c>
      <c r="AH81" s="1"/>
      <c r="AI81" s="117"/>
      <c r="AJ81" s="118"/>
      <c r="AK81" s="1"/>
      <c r="AL81" s="33"/>
      <c r="AN81" s="1"/>
      <c r="AO81" s="1"/>
      <c r="AP81" s="1"/>
      <c r="AQ81" s="1"/>
      <c r="AR81" s="1"/>
      <c r="AS81" s="1"/>
    </row>
    <row r="82" spans="1:45" s="99" customFormat="1" ht="12.75" customHeight="1" x14ac:dyDescent="0.25">
      <c r="A82" s="216" t="s">
        <v>199</v>
      </c>
      <c r="B82" s="116">
        <f t="shared" ref="B82:AG82" si="9">B44</f>
        <v>36831</v>
      </c>
      <c r="C82" s="104">
        <f t="shared" si="9"/>
        <v>36831</v>
      </c>
      <c r="D82" s="104">
        <f t="shared" si="9"/>
        <v>36832</v>
      </c>
      <c r="E82" s="104">
        <f t="shared" si="9"/>
        <v>36833</v>
      </c>
      <c r="F82" s="104">
        <f t="shared" si="9"/>
        <v>36834</v>
      </c>
      <c r="G82" s="104">
        <f t="shared" si="9"/>
        <v>36835</v>
      </c>
      <c r="H82" s="104">
        <f t="shared" si="9"/>
        <v>36836</v>
      </c>
      <c r="I82" s="104">
        <f t="shared" si="9"/>
        <v>36837</v>
      </c>
      <c r="J82" s="104">
        <f t="shared" si="9"/>
        <v>36838</v>
      </c>
      <c r="K82" s="104">
        <f t="shared" si="9"/>
        <v>36839</v>
      </c>
      <c r="L82" s="104">
        <f t="shared" si="9"/>
        <v>36840</v>
      </c>
      <c r="M82" s="104">
        <f t="shared" si="9"/>
        <v>36841</v>
      </c>
      <c r="N82" s="104">
        <f t="shared" si="9"/>
        <v>36842</v>
      </c>
      <c r="O82" s="104">
        <f t="shared" si="9"/>
        <v>36843</v>
      </c>
      <c r="P82" s="104">
        <f t="shared" si="9"/>
        <v>36844</v>
      </c>
      <c r="Q82" s="104">
        <f t="shared" si="9"/>
        <v>36845</v>
      </c>
      <c r="R82" s="104">
        <f t="shared" si="9"/>
        <v>36846</v>
      </c>
      <c r="S82" s="104">
        <f t="shared" si="9"/>
        <v>36847</v>
      </c>
      <c r="T82" s="104">
        <f t="shared" si="9"/>
        <v>36848</v>
      </c>
      <c r="U82" s="104">
        <f t="shared" si="9"/>
        <v>36849</v>
      </c>
      <c r="V82" s="104">
        <f t="shared" si="9"/>
        <v>36850</v>
      </c>
      <c r="W82" s="104">
        <f t="shared" si="9"/>
        <v>36851</v>
      </c>
      <c r="X82" s="104">
        <f t="shared" si="9"/>
        <v>36852</v>
      </c>
      <c r="Y82" s="104">
        <f t="shared" si="9"/>
        <v>36853</v>
      </c>
      <c r="Z82" s="104">
        <f t="shared" si="9"/>
        <v>36854</v>
      </c>
      <c r="AA82" s="104">
        <f t="shared" si="9"/>
        <v>36855</v>
      </c>
      <c r="AB82" s="104">
        <f t="shared" si="9"/>
        <v>36856</v>
      </c>
      <c r="AC82" s="104">
        <f t="shared" si="9"/>
        <v>36857</v>
      </c>
      <c r="AD82" s="104">
        <f t="shared" si="9"/>
        <v>36858</v>
      </c>
      <c r="AE82" s="104">
        <f t="shared" si="9"/>
        <v>36859</v>
      </c>
      <c r="AF82" s="104">
        <f t="shared" si="9"/>
        <v>36860</v>
      </c>
      <c r="AG82" s="104">
        <f t="shared" si="9"/>
        <v>36861</v>
      </c>
      <c r="AI82" s="117"/>
      <c r="AJ82" s="119"/>
      <c r="AL82" s="100"/>
    </row>
    <row r="83" spans="1:45" ht="12.75" customHeight="1" x14ac:dyDescent="0.25">
      <c r="A83" s="34"/>
      <c r="B83" s="34"/>
      <c r="C83" s="105" t="str">
        <f t="shared" ref="C83:AG83" si="10">C45</f>
        <v>W</v>
      </c>
      <c r="D83" s="105" t="str">
        <f t="shared" si="10"/>
        <v>R</v>
      </c>
      <c r="E83" s="105" t="str">
        <f t="shared" si="10"/>
        <v>F</v>
      </c>
      <c r="F83" s="105" t="str">
        <f t="shared" si="10"/>
        <v>S</v>
      </c>
      <c r="G83" s="105" t="str">
        <f t="shared" si="10"/>
        <v>S</v>
      </c>
      <c r="H83" s="105" t="str">
        <f t="shared" si="10"/>
        <v>M</v>
      </c>
      <c r="I83" s="105" t="str">
        <f t="shared" si="10"/>
        <v>T</v>
      </c>
      <c r="J83" s="105" t="str">
        <f t="shared" si="10"/>
        <v>W</v>
      </c>
      <c r="K83" s="105" t="str">
        <f t="shared" si="10"/>
        <v>R</v>
      </c>
      <c r="L83" s="105" t="str">
        <f t="shared" si="10"/>
        <v>F</v>
      </c>
      <c r="M83" s="105" t="str">
        <f t="shared" si="10"/>
        <v>S</v>
      </c>
      <c r="N83" s="105" t="str">
        <f t="shared" si="10"/>
        <v>S</v>
      </c>
      <c r="O83" s="105" t="str">
        <f t="shared" si="10"/>
        <v>M</v>
      </c>
      <c r="P83" s="105" t="str">
        <f t="shared" si="10"/>
        <v>T</v>
      </c>
      <c r="Q83" s="105" t="str">
        <f t="shared" si="10"/>
        <v>W</v>
      </c>
      <c r="R83" s="105" t="str">
        <f t="shared" si="10"/>
        <v>R</v>
      </c>
      <c r="S83" s="105" t="str">
        <f t="shared" si="10"/>
        <v>F</v>
      </c>
      <c r="T83" s="105" t="str">
        <f t="shared" si="10"/>
        <v>S</v>
      </c>
      <c r="U83" s="105" t="str">
        <f t="shared" si="10"/>
        <v>S</v>
      </c>
      <c r="V83" s="105" t="str">
        <f t="shared" si="10"/>
        <v>M</v>
      </c>
      <c r="W83" s="105" t="str">
        <f t="shared" si="10"/>
        <v>T</v>
      </c>
      <c r="X83" s="105" t="str">
        <f t="shared" si="10"/>
        <v>W</v>
      </c>
      <c r="Y83" s="105" t="str">
        <f t="shared" si="10"/>
        <v>R</v>
      </c>
      <c r="Z83" s="105" t="str">
        <f t="shared" si="10"/>
        <v>F</v>
      </c>
      <c r="AA83" s="105" t="str">
        <f t="shared" si="10"/>
        <v>S</v>
      </c>
      <c r="AB83" s="105" t="str">
        <f t="shared" si="10"/>
        <v>S</v>
      </c>
      <c r="AC83" s="105" t="str">
        <f t="shared" si="10"/>
        <v>M</v>
      </c>
      <c r="AD83" s="105" t="str">
        <f t="shared" si="10"/>
        <v>T</v>
      </c>
      <c r="AE83" s="105" t="str">
        <f t="shared" si="10"/>
        <v>W</v>
      </c>
      <c r="AF83" s="105" t="str">
        <f t="shared" si="10"/>
        <v>R</v>
      </c>
      <c r="AG83" s="105" t="str">
        <f t="shared" si="10"/>
        <v>F</v>
      </c>
      <c r="AH83" s="1"/>
      <c r="AI83" s="117"/>
      <c r="AJ83" s="118"/>
      <c r="AK83" s="1"/>
      <c r="AL83" s="24"/>
      <c r="AN83" s="1"/>
      <c r="AO83" s="1"/>
      <c r="AP83" s="1"/>
      <c r="AQ83" s="1"/>
      <c r="AR83" s="1"/>
      <c r="AS83" s="1"/>
    </row>
    <row r="84" spans="1:45" ht="12.75" customHeight="1" thickBot="1" x14ac:dyDescent="0.3">
      <c r="A84" s="217"/>
      <c r="B84" s="35" t="s">
        <v>167</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200</v>
      </c>
      <c r="B85" s="39">
        <f t="shared" ref="B85:B97" si="11">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201</v>
      </c>
      <c r="B86" s="39">
        <f t="shared" si="11"/>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202</v>
      </c>
      <c r="B87" s="39">
        <f t="shared" si="11"/>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203</v>
      </c>
      <c r="B88" s="39">
        <f t="shared" si="11"/>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204</v>
      </c>
      <c r="B89" s="39">
        <f t="shared" si="11"/>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205</v>
      </c>
      <c r="B90" s="39">
        <f t="shared" si="11"/>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206</v>
      </c>
      <c r="B91" s="39">
        <f t="shared" si="11"/>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207</v>
      </c>
      <c r="B92" s="39">
        <f t="shared" si="11"/>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208</v>
      </c>
      <c r="B93" s="39">
        <f t="shared" si="11"/>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209</v>
      </c>
      <c r="B94" s="39">
        <f t="shared" si="11"/>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210</v>
      </c>
      <c r="B95" s="39">
        <f t="shared" si="11"/>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211</v>
      </c>
      <c r="B96" s="39">
        <f t="shared" si="11"/>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212</v>
      </c>
      <c r="B97" s="39">
        <f t="shared" si="11"/>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19" t="s">
        <v>213</v>
      </c>
      <c r="B102" s="51">
        <f>SUM(B87:B101)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161</v>
      </c>
      <c r="C104" s="32">
        <f t="shared" ref="C104:AG104" si="12">SUM(C108:C117)</f>
        <v>0</v>
      </c>
      <c r="D104" s="32">
        <f t="shared" si="12"/>
        <v>0</v>
      </c>
      <c r="E104" s="32">
        <f t="shared" si="12"/>
        <v>0</v>
      </c>
      <c r="F104" s="32">
        <f t="shared" si="12"/>
        <v>0</v>
      </c>
      <c r="G104" s="32">
        <f t="shared" si="12"/>
        <v>0</v>
      </c>
      <c r="H104" s="32">
        <f t="shared" si="12"/>
        <v>0</v>
      </c>
      <c r="I104" s="32">
        <f t="shared" si="12"/>
        <v>0</v>
      </c>
      <c r="J104" s="32">
        <f t="shared" si="12"/>
        <v>0</v>
      </c>
      <c r="K104" s="32">
        <f t="shared" si="12"/>
        <v>0</v>
      </c>
      <c r="L104" s="32">
        <f t="shared" si="12"/>
        <v>0</v>
      </c>
      <c r="M104" s="32">
        <f t="shared" si="12"/>
        <v>0</v>
      </c>
      <c r="N104" s="32">
        <f t="shared" si="12"/>
        <v>0</v>
      </c>
      <c r="O104" s="32">
        <f t="shared" si="12"/>
        <v>0</v>
      </c>
      <c r="P104" s="32">
        <f t="shared" si="12"/>
        <v>0</v>
      </c>
      <c r="Q104" s="32">
        <f t="shared" si="12"/>
        <v>0</v>
      </c>
      <c r="R104" s="32">
        <f t="shared" si="12"/>
        <v>0</v>
      </c>
      <c r="S104" s="32">
        <f t="shared" si="12"/>
        <v>0</v>
      </c>
      <c r="T104" s="32">
        <f t="shared" si="12"/>
        <v>0</v>
      </c>
      <c r="U104" s="32">
        <f t="shared" si="12"/>
        <v>0</v>
      </c>
      <c r="V104" s="32">
        <f t="shared" si="12"/>
        <v>0</v>
      </c>
      <c r="W104" s="32">
        <f t="shared" si="12"/>
        <v>0</v>
      </c>
      <c r="X104" s="32">
        <f t="shared" si="12"/>
        <v>0</v>
      </c>
      <c r="Y104" s="32">
        <f t="shared" si="12"/>
        <v>0</v>
      </c>
      <c r="Z104" s="32">
        <f t="shared" si="12"/>
        <v>0</v>
      </c>
      <c r="AA104" s="32">
        <f t="shared" si="12"/>
        <v>0</v>
      </c>
      <c r="AB104" s="32">
        <f t="shared" si="12"/>
        <v>0</v>
      </c>
      <c r="AC104" s="32">
        <f t="shared" si="12"/>
        <v>0</v>
      </c>
      <c r="AD104" s="32">
        <f t="shared" si="12"/>
        <v>0</v>
      </c>
      <c r="AE104" s="32">
        <f t="shared" si="12"/>
        <v>0</v>
      </c>
      <c r="AF104" s="32">
        <f t="shared" si="12"/>
        <v>0</v>
      </c>
      <c r="AG104" s="32">
        <f t="shared" si="12"/>
        <v>0</v>
      </c>
      <c r="AH104" s="1"/>
      <c r="AI104" s="117"/>
      <c r="AJ104" s="118"/>
      <c r="AK104" s="1"/>
      <c r="AL104" s="33"/>
      <c r="AN104" s="1"/>
      <c r="AO104" s="1"/>
      <c r="AP104" s="1"/>
      <c r="AQ104" s="1"/>
      <c r="AR104" s="1"/>
      <c r="AS104" s="1"/>
    </row>
    <row r="105" spans="1:45" s="99" customFormat="1" ht="12.75" customHeight="1" x14ac:dyDescent="0.25">
      <c r="A105" s="216" t="s">
        <v>214</v>
      </c>
      <c r="B105" s="116">
        <f t="shared" ref="B105:AG105" si="13">B44</f>
        <v>36831</v>
      </c>
      <c r="C105" s="104">
        <f t="shared" si="13"/>
        <v>36831</v>
      </c>
      <c r="D105" s="104">
        <f t="shared" si="13"/>
        <v>36832</v>
      </c>
      <c r="E105" s="104">
        <f t="shared" si="13"/>
        <v>36833</v>
      </c>
      <c r="F105" s="104">
        <f t="shared" si="13"/>
        <v>36834</v>
      </c>
      <c r="G105" s="104">
        <f t="shared" si="13"/>
        <v>36835</v>
      </c>
      <c r="H105" s="104">
        <f t="shared" si="13"/>
        <v>36836</v>
      </c>
      <c r="I105" s="104">
        <f t="shared" si="13"/>
        <v>36837</v>
      </c>
      <c r="J105" s="104">
        <f t="shared" si="13"/>
        <v>36838</v>
      </c>
      <c r="K105" s="104">
        <f t="shared" si="13"/>
        <v>36839</v>
      </c>
      <c r="L105" s="104">
        <f t="shared" si="13"/>
        <v>36840</v>
      </c>
      <c r="M105" s="104">
        <f t="shared" si="13"/>
        <v>36841</v>
      </c>
      <c r="N105" s="104">
        <f t="shared" si="13"/>
        <v>36842</v>
      </c>
      <c r="O105" s="104">
        <f t="shared" si="13"/>
        <v>36843</v>
      </c>
      <c r="P105" s="104">
        <f t="shared" si="13"/>
        <v>36844</v>
      </c>
      <c r="Q105" s="104">
        <f t="shared" si="13"/>
        <v>36845</v>
      </c>
      <c r="R105" s="104">
        <f t="shared" si="13"/>
        <v>36846</v>
      </c>
      <c r="S105" s="104">
        <f t="shared" si="13"/>
        <v>36847</v>
      </c>
      <c r="T105" s="104">
        <f t="shared" si="13"/>
        <v>36848</v>
      </c>
      <c r="U105" s="104">
        <f t="shared" si="13"/>
        <v>36849</v>
      </c>
      <c r="V105" s="104">
        <f t="shared" si="13"/>
        <v>36850</v>
      </c>
      <c r="W105" s="104">
        <f t="shared" si="13"/>
        <v>36851</v>
      </c>
      <c r="X105" s="104">
        <f t="shared" si="13"/>
        <v>36852</v>
      </c>
      <c r="Y105" s="104">
        <f t="shared" si="13"/>
        <v>36853</v>
      </c>
      <c r="Z105" s="104">
        <f t="shared" si="13"/>
        <v>36854</v>
      </c>
      <c r="AA105" s="104">
        <f t="shared" si="13"/>
        <v>36855</v>
      </c>
      <c r="AB105" s="104">
        <f t="shared" si="13"/>
        <v>36856</v>
      </c>
      <c r="AC105" s="104">
        <f t="shared" si="13"/>
        <v>36857</v>
      </c>
      <c r="AD105" s="104">
        <f t="shared" si="13"/>
        <v>36858</v>
      </c>
      <c r="AE105" s="104">
        <f t="shared" si="13"/>
        <v>36859</v>
      </c>
      <c r="AF105" s="104">
        <f t="shared" si="13"/>
        <v>36860</v>
      </c>
      <c r="AG105" s="104">
        <f t="shared" si="13"/>
        <v>36861</v>
      </c>
      <c r="AI105" s="117"/>
      <c r="AJ105" s="119"/>
      <c r="AL105" s="100"/>
    </row>
    <row r="106" spans="1:45" ht="12.75" customHeight="1" x14ac:dyDescent="0.25">
      <c r="A106" s="34"/>
      <c r="B106" s="34"/>
      <c r="C106" s="105" t="str">
        <f t="shared" ref="C106:AG106" si="14">C45</f>
        <v>W</v>
      </c>
      <c r="D106" s="105" t="str">
        <f t="shared" si="14"/>
        <v>R</v>
      </c>
      <c r="E106" s="105" t="str">
        <f t="shared" si="14"/>
        <v>F</v>
      </c>
      <c r="F106" s="105" t="str">
        <f t="shared" si="14"/>
        <v>S</v>
      </c>
      <c r="G106" s="105" t="str">
        <f t="shared" si="14"/>
        <v>S</v>
      </c>
      <c r="H106" s="105" t="str">
        <f t="shared" si="14"/>
        <v>M</v>
      </c>
      <c r="I106" s="105" t="str">
        <f t="shared" si="14"/>
        <v>T</v>
      </c>
      <c r="J106" s="105" t="str">
        <f t="shared" si="14"/>
        <v>W</v>
      </c>
      <c r="K106" s="105" t="str">
        <f t="shared" si="14"/>
        <v>R</v>
      </c>
      <c r="L106" s="105" t="str">
        <f t="shared" si="14"/>
        <v>F</v>
      </c>
      <c r="M106" s="105" t="str">
        <f t="shared" si="14"/>
        <v>S</v>
      </c>
      <c r="N106" s="105" t="str">
        <f t="shared" si="14"/>
        <v>S</v>
      </c>
      <c r="O106" s="105" t="str">
        <f t="shared" si="14"/>
        <v>M</v>
      </c>
      <c r="P106" s="105" t="str">
        <f t="shared" si="14"/>
        <v>T</v>
      </c>
      <c r="Q106" s="105" t="str">
        <f t="shared" si="14"/>
        <v>W</v>
      </c>
      <c r="R106" s="105" t="str">
        <f t="shared" si="14"/>
        <v>R</v>
      </c>
      <c r="S106" s="105" t="str">
        <f t="shared" si="14"/>
        <v>F</v>
      </c>
      <c r="T106" s="105" t="str">
        <f t="shared" si="14"/>
        <v>S</v>
      </c>
      <c r="U106" s="105" t="str">
        <f t="shared" si="14"/>
        <v>S</v>
      </c>
      <c r="V106" s="105" t="str">
        <f t="shared" si="14"/>
        <v>M</v>
      </c>
      <c r="W106" s="105" t="str">
        <f t="shared" si="14"/>
        <v>T</v>
      </c>
      <c r="X106" s="105" t="str">
        <f t="shared" si="14"/>
        <v>W</v>
      </c>
      <c r="Y106" s="105" t="str">
        <f t="shared" si="14"/>
        <v>R</v>
      </c>
      <c r="Z106" s="105" t="str">
        <f t="shared" si="14"/>
        <v>F</v>
      </c>
      <c r="AA106" s="105" t="str">
        <f t="shared" si="14"/>
        <v>S</v>
      </c>
      <c r="AB106" s="105" t="str">
        <f t="shared" si="14"/>
        <v>S</v>
      </c>
      <c r="AC106" s="105" t="str">
        <f t="shared" si="14"/>
        <v>M</v>
      </c>
      <c r="AD106" s="105" t="str">
        <f t="shared" si="14"/>
        <v>T</v>
      </c>
      <c r="AE106" s="105" t="str">
        <f t="shared" si="14"/>
        <v>W</v>
      </c>
      <c r="AF106" s="105" t="str">
        <f t="shared" si="14"/>
        <v>R</v>
      </c>
      <c r="AG106" s="105" t="str">
        <f t="shared" si="14"/>
        <v>F</v>
      </c>
      <c r="AH106" s="1"/>
      <c r="AI106" s="117"/>
      <c r="AJ106" s="118"/>
      <c r="AK106" s="1"/>
      <c r="AL106" s="24"/>
      <c r="AN106" s="1"/>
      <c r="AO106" s="1"/>
      <c r="AP106" s="1"/>
      <c r="AQ106" s="1"/>
      <c r="AR106" s="1"/>
      <c r="AS106" s="1"/>
    </row>
    <row r="107" spans="1:45" ht="12.75" customHeight="1" thickBot="1" x14ac:dyDescent="0.3">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205</v>
      </c>
      <c r="B108" s="39">
        <f t="shared" ref="B108:B113" si="15">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207</v>
      </c>
      <c r="B109" s="39">
        <f t="shared" si="15"/>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208</v>
      </c>
      <c r="B110" s="39">
        <f t="shared" si="15"/>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209</v>
      </c>
      <c r="B111" s="39">
        <f t="shared" si="15"/>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210</v>
      </c>
      <c r="B112" s="39">
        <f t="shared" si="15"/>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212</v>
      </c>
      <c r="B113" s="39">
        <f t="shared" si="15"/>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216</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217</v>
      </c>
      <c r="B124" s="76"/>
      <c r="C124" s="77"/>
      <c r="D124" s="77"/>
      <c r="E124" s="78"/>
      <c r="G124" s="75" t="s">
        <v>218</v>
      </c>
      <c r="H124" s="75"/>
      <c r="I124" s="76"/>
      <c r="J124" s="77"/>
      <c r="K124" s="77"/>
      <c r="L124" s="78"/>
      <c r="M124" s="9"/>
      <c r="N124" s="9"/>
      <c r="O124" s="1"/>
      <c r="P124" s="1"/>
    </row>
    <row r="125" spans="1:39" ht="12.75" customHeight="1" thickTop="1" x14ac:dyDescent="0.2">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
      <c r="A126" s="153">
        <v>36800</v>
      </c>
      <c r="B126" s="24" t="s">
        <v>519</v>
      </c>
      <c r="C126" s="24"/>
      <c r="D126" s="38"/>
      <c r="E126" s="141">
        <v>-5136</v>
      </c>
      <c r="G126" s="79"/>
      <c r="H126" s="80"/>
      <c r="I126" s="24"/>
      <c r="J126" s="1"/>
      <c r="K126" s="149"/>
      <c r="L126" s="141"/>
      <c r="M126" s="1"/>
      <c r="N126" s="1"/>
      <c r="O126" s="1"/>
      <c r="P126" s="1"/>
    </row>
    <row r="127" spans="1:39" ht="12.75" customHeight="1" x14ac:dyDescent="0.2">
      <c r="A127" s="436"/>
      <c r="B127" s="24"/>
      <c r="C127" s="1"/>
      <c r="D127" s="49"/>
      <c r="E127" s="141"/>
      <c r="G127" s="81"/>
      <c r="H127" s="9"/>
      <c r="I127" s="82"/>
      <c r="J127" s="1"/>
      <c r="K127" s="149"/>
      <c r="L127" s="141"/>
      <c r="M127" s="1"/>
      <c r="N127" s="1"/>
      <c r="O127" s="1"/>
      <c r="P127" s="1"/>
    </row>
    <row r="128" spans="1:39" ht="12.75" customHeight="1" x14ac:dyDescent="0.2">
      <c r="A128" s="436"/>
      <c r="B128" s="24"/>
      <c r="C128" s="1"/>
      <c r="D128" s="49"/>
      <c r="E128" s="141"/>
      <c r="G128" s="81"/>
      <c r="H128" s="24"/>
      <c r="I128" s="1"/>
      <c r="J128" s="1"/>
      <c r="K128" s="149"/>
      <c r="L128" s="141"/>
      <c r="M128" s="1"/>
      <c r="N128" s="1"/>
      <c r="O128" s="1"/>
      <c r="P128" s="1"/>
    </row>
    <row r="129" spans="1:16" ht="12.75" customHeight="1" x14ac:dyDescent="0.2">
      <c r="A129" s="153"/>
      <c r="B129" s="24"/>
      <c r="C129" s="1"/>
      <c r="D129" s="38"/>
      <c r="E129" s="141"/>
      <c r="G129" s="81"/>
      <c r="H129" s="24"/>
      <c r="I129" s="1"/>
      <c r="J129" s="1"/>
      <c r="K129" s="38"/>
      <c r="L129" s="142"/>
      <c r="M129" s="1"/>
      <c r="N129" s="1"/>
      <c r="O129" s="1"/>
      <c r="P129" s="1"/>
    </row>
    <row r="130" spans="1:16" ht="12.75" customHeight="1" x14ac:dyDescent="0.2">
      <c r="A130" s="153"/>
      <c r="B130" s="24"/>
      <c r="C130" s="1"/>
      <c r="D130" s="38"/>
      <c r="E130" s="141"/>
      <c r="G130" s="81"/>
      <c r="H130" s="24"/>
      <c r="I130" s="1"/>
      <c r="J130" s="1"/>
      <c r="K130" s="38"/>
      <c r="L130" s="141"/>
      <c r="M130" s="1"/>
      <c r="N130" s="1"/>
      <c r="O130" s="1"/>
      <c r="P130" s="1"/>
    </row>
    <row r="131" spans="1:16" ht="12.75" customHeight="1" x14ac:dyDescent="0.2">
      <c r="A131" s="153"/>
      <c r="B131" s="24"/>
      <c r="C131" s="24"/>
      <c r="D131" s="38"/>
      <c r="E131" s="141"/>
      <c r="G131" s="81"/>
      <c r="H131" s="24"/>
      <c r="I131" s="1"/>
      <c r="J131" s="1"/>
      <c r="K131" s="38"/>
      <c r="L131" s="141"/>
      <c r="M131" s="1"/>
      <c r="N131" s="1"/>
      <c r="O131" s="1"/>
      <c r="P131" s="1"/>
    </row>
    <row r="132" spans="1:16" ht="12.75" customHeight="1" x14ac:dyDescent="0.2">
      <c r="A132" s="153"/>
      <c r="B132" s="24"/>
      <c r="C132" s="24"/>
      <c r="D132" s="38"/>
      <c r="E132" s="141"/>
      <c r="G132" s="81"/>
      <c r="H132" s="1"/>
      <c r="I132" s="1"/>
      <c r="J132" s="1"/>
      <c r="K132" s="149"/>
      <c r="L132" s="142"/>
      <c r="M132" s="1"/>
      <c r="N132" s="1"/>
      <c r="O132" s="1"/>
      <c r="P132" s="1"/>
    </row>
    <row r="133" spans="1:16" ht="12.75" customHeight="1" x14ac:dyDescent="0.2">
      <c r="A133" s="153"/>
      <c r="B133" s="24"/>
      <c r="C133" s="24"/>
      <c r="D133" s="38"/>
      <c r="E133" s="141"/>
      <c r="G133" s="81"/>
      <c r="H133" s="24"/>
      <c r="I133" s="1"/>
      <c r="J133" s="1"/>
      <c r="K133" s="38"/>
      <c r="L133" s="142"/>
      <c r="M133" s="1"/>
      <c r="N133" s="1"/>
      <c r="O133" s="1"/>
      <c r="P133" s="1"/>
    </row>
    <row r="134" spans="1:16" ht="12.75" customHeight="1" x14ac:dyDescent="0.2">
      <c r="A134" s="153"/>
      <c r="B134" s="24"/>
      <c r="C134" s="24"/>
      <c r="D134" s="38"/>
      <c r="E134" s="141"/>
      <c r="G134" s="81"/>
      <c r="H134" s="24"/>
      <c r="I134" s="1"/>
      <c r="J134" s="1"/>
      <c r="K134" s="38"/>
      <c r="L134" s="141"/>
      <c r="M134" s="43"/>
      <c r="N134" s="42"/>
      <c r="O134" s="1"/>
      <c r="P134" s="1"/>
    </row>
    <row r="135" spans="1:16" ht="12.75" customHeight="1" x14ac:dyDescent="0.2">
      <c r="A135" s="153"/>
      <c r="B135" s="24"/>
      <c r="C135" s="24"/>
      <c r="D135" s="38"/>
      <c r="E135" s="141"/>
      <c r="G135" s="81"/>
      <c r="H135" s="24"/>
      <c r="I135" s="1"/>
      <c r="J135" s="1"/>
      <c r="K135" s="38"/>
      <c r="L135" s="141"/>
      <c r="M135" s="43"/>
      <c r="N135" s="1"/>
      <c r="O135" s="1"/>
      <c r="P135" s="1"/>
    </row>
    <row r="136" spans="1:16" ht="12.75" customHeight="1" x14ac:dyDescent="0.2">
      <c r="A136" s="153"/>
      <c r="B136" s="24"/>
      <c r="C136" s="24"/>
      <c r="D136" s="38"/>
      <c r="E136" s="141"/>
      <c r="G136" s="81"/>
      <c r="H136" s="24"/>
      <c r="I136" s="1"/>
      <c r="J136" s="1"/>
      <c r="K136" s="38"/>
      <c r="L136" s="141"/>
      <c r="M136" s="1"/>
      <c r="N136" s="43"/>
      <c r="O136" s="1"/>
      <c r="P136" s="1"/>
    </row>
    <row r="137" spans="1:16" ht="12.75" customHeight="1" x14ac:dyDescent="0.2">
      <c r="A137" s="153"/>
      <c r="B137" s="24"/>
      <c r="C137" s="24"/>
      <c r="D137" s="38"/>
      <c r="E137" s="141"/>
      <c r="G137" s="81"/>
      <c r="H137" s="24"/>
      <c r="I137" s="1"/>
      <c r="J137" s="1"/>
      <c r="K137" s="38"/>
      <c r="L137" s="141"/>
      <c r="M137" s="1"/>
      <c r="N137" s="43"/>
      <c r="O137" s="1"/>
      <c r="P137" s="1"/>
    </row>
    <row r="138" spans="1:16" ht="12.75" customHeight="1" x14ac:dyDescent="0.2">
      <c r="A138" s="153"/>
      <c r="B138" s="24"/>
      <c r="C138" s="24"/>
      <c r="D138" s="38"/>
      <c r="E138" s="141"/>
      <c r="G138" s="81"/>
      <c r="H138" s="24"/>
      <c r="I138" s="1"/>
      <c r="J138" s="1"/>
      <c r="K138" s="38"/>
      <c r="L138" s="141"/>
      <c r="M138" s="1"/>
      <c r="N138" s="1"/>
      <c r="O138" s="1"/>
      <c r="P138" s="1"/>
    </row>
    <row r="139" spans="1:16" ht="12.75" customHeight="1" x14ac:dyDescent="0.2">
      <c r="A139" s="153"/>
      <c r="B139" s="24"/>
      <c r="C139" s="24"/>
      <c r="D139" s="38"/>
      <c r="E139" s="141"/>
      <c r="G139" s="81"/>
      <c r="H139" s="24"/>
      <c r="I139" s="1"/>
      <c r="J139" s="1"/>
      <c r="K139" s="38"/>
      <c r="L139" s="141"/>
      <c r="M139" s="1"/>
      <c r="N139" s="1"/>
      <c r="O139" s="1"/>
      <c r="P139" s="1"/>
    </row>
    <row r="140" spans="1:16" ht="12.75" customHeight="1" x14ac:dyDescent="0.2">
      <c r="A140" s="153"/>
      <c r="B140" s="24"/>
      <c r="C140" s="24"/>
      <c r="D140" s="38"/>
      <c r="E140" s="141"/>
      <c r="G140" s="81"/>
      <c r="H140" s="24"/>
      <c r="I140" s="1"/>
      <c r="J140" s="1"/>
      <c r="K140" s="38"/>
      <c r="L140" s="141"/>
      <c r="M140" s="1"/>
      <c r="N140" s="1"/>
      <c r="O140" s="1"/>
      <c r="P140" s="1"/>
    </row>
    <row r="141" spans="1:16" ht="12.75" customHeight="1" x14ac:dyDescent="0.2">
      <c r="A141" s="153"/>
      <c r="B141" s="24"/>
      <c r="C141" s="24"/>
      <c r="D141" s="38"/>
      <c r="E141" s="141"/>
      <c r="G141" s="81"/>
      <c r="H141" s="24"/>
      <c r="I141" s="1"/>
      <c r="J141" s="1"/>
      <c r="K141" s="38"/>
      <c r="L141" s="141"/>
      <c r="M141" s="1"/>
      <c r="N141" s="1"/>
      <c r="O141" s="1"/>
      <c r="P141" s="1"/>
    </row>
    <row r="142" spans="1:16" ht="12.75" customHeight="1" x14ac:dyDescent="0.2">
      <c r="A142" s="153"/>
      <c r="B142" s="24"/>
      <c r="C142" s="24"/>
      <c r="D142" s="38"/>
      <c r="E142" s="141"/>
      <c r="G142" s="81"/>
      <c r="H142" s="24"/>
      <c r="I142" s="1"/>
      <c r="J142" s="1"/>
      <c r="K142" s="38"/>
      <c r="L142" s="141"/>
      <c r="M142" s="1"/>
      <c r="N142" s="1"/>
      <c r="O142" s="1"/>
      <c r="P142" s="1"/>
    </row>
    <row r="143" spans="1:16" ht="12.75" customHeight="1" x14ac:dyDescent="0.2">
      <c r="A143" s="153"/>
      <c r="B143" s="24"/>
      <c r="C143" s="24"/>
      <c r="D143" s="38"/>
      <c r="E143" s="141"/>
      <c r="G143" s="81"/>
      <c r="H143" s="24"/>
      <c r="I143" s="1"/>
      <c r="J143" s="1"/>
      <c r="K143" s="38"/>
      <c r="L143" s="141"/>
      <c r="M143" s="1"/>
      <c r="N143" s="1"/>
      <c r="O143" s="1"/>
      <c r="P143" s="1"/>
    </row>
    <row r="144" spans="1:16" ht="12.75" customHeight="1" x14ac:dyDescent="0.2">
      <c r="A144" s="153"/>
      <c r="B144" s="24"/>
      <c r="C144" s="24"/>
      <c r="D144" s="38"/>
      <c r="E144" s="141"/>
      <c r="G144" s="81"/>
      <c r="H144" s="24"/>
      <c r="I144" s="1"/>
      <c r="J144" s="1"/>
      <c r="K144" s="38"/>
      <c r="L144" s="141"/>
      <c r="M144" s="1"/>
      <c r="N144" s="1"/>
      <c r="O144" s="1"/>
      <c r="P144" s="1"/>
    </row>
    <row r="145" spans="1:16" ht="12.75" customHeight="1" x14ac:dyDescent="0.2">
      <c r="A145" s="153"/>
      <c r="B145" s="24"/>
      <c r="C145" s="24"/>
      <c r="D145" s="38"/>
      <c r="E145" s="141"/>
      <c r="G145" s="81"/>
      <c r="H145" s="24"/>
      <c r="I145" s="1"/>
      <c r="J145" s="1"/>
      <c r="K145" s="38"/>
      <c r="L145" s="141"/>
      <c r="M145" s="1"/>
      <c r="N145" s="1"/>
      <c r="O145" s="1"/>
      <c r="P145" s="1"/>
    </row>
    <row r="146" spans="1:16" ht="12.75" customHeight="1" x14ac:dyDescent="0.2">
      <c r="A146" s="153"/>
      <c r="B146" s="24"/>
      <c r="C146" s="24"/>
      <c r="D146" s="38"/>
      <c r="E146" s="141"/>
      <c r="G146" s="81"/>
      <c r="H146" s="24"/>
      <c r="I146" s="1"/>
      <c r="J146" s="1"/>
      <c r="K146" s="38"/>
      <c r="L146" s="141"/>
      <c r="M146" s="1"/>
      <c r="N146" s="1"/>
      <c r="O146" s="1"/>
      <c r="P146" s="1"/>
    </row>
    <row r="147" spans="1:16" ht="12.75" customHeight="1" x14ac:dyDescent="0.2">
      <c r="A147" s="153"/>
      <c r="B147" s="24"/>
      <c r="C147" s="24"/>
      <c r="D147" s="38"/>
      <c r="E147" s="141"/>
      <c r="G147" s="81"/>
      <c r="H147" s="24"/>
      <c r="I147" s="1"/>
      <c r="J147" s="1"/>
      <c r="K147" s="38"/>
      <c r="L147" s="141"/>
      <c r="M147" s="1"/>
      <c r="N147" s="1"/>
      <c r="O147" s="1"/>
      <c r="P147" s="1"/>
    </row>
    <row r="148" spans="1:16" ht="12.75" customHeight="1" x14ac:dyDescent="0.2">
      <c r="A148" s="153"/>
      <c r="B148" s="24"/>
      <c r="C148" s="24"/>
      <c r="D148" s="38"/>
      <c r="E148" s="141"/>
      <c r="G148" s="81"/>
      <c r="H148" s="24"/>
      <c r="I148" s="1"/>
      <c r="J148" s="1"/>
      <c r="K148" s="38"/>
      <c r="L148" s="141"/>
      <c r="M148" s="1"/>
      <c r="N148" s="1"/>
      <c r="O148" s="1"/>
      <c r="P148" s="1"/>
    </row>
    <row r="149" spans="1:16" ht="12.75" customHeight="1" x14ac:dyDescent="0.2">
      <c r="A149" s="153"/>
      <c r="B149" s="24"/>
      <c r="C149" s="24"/>
      <c r="D149" s="38"/>
      <c r="E149" s="141"/>
      <c r="G149" s="81"/>
      <c r="H149" s="24"/>
      <c r="I149" s="1"/>
      <c r="J149" s="1"/>
      <c r="K149" s="38"/>
      <c r="L149" s="141"/>
      <c r="M149" s="1"/>
      <c r="N149" s="1"/>
      <c r="O149" s="1"/>
      <c r="P149" s="1"/>
    </row>
    <row r="150" spans="1:16" ht="12.75" customHeight="1" x14ac:dyDescent="0.2">
      <c r="A150" s="153"/>
      <c r="B150" s="24"/>
      <c r="C150" s="24"/>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3"/>
      <c r="M158" s="1"/>
      <c r="N158" s="1"/>
      <c r="O158" s="1"/>
      <c r="P158" s="1"/>
    </row>
    <row r="159" spans="1:16" ht="12.75" customHeight="1" thickBot="1" x14ac:dyDescent="0.25">
      <c r="A159" s="63"/>
      <c r="B159" s="24"/>
      <c r="C159" s="24"/>
      <c r="D159" s="145" t="s">
        <v>241</v>
      </c>
      <c r="E159" s="144">
        <f>SUM(E126:E158)</f>
        <v>-5136</v>
      </c>
      <c r="G159" s="63"/>
      <c r="H159" s="24"/>
      <c r="I159" s="1"/>
      <c r="J159" s="1"/>
      <c r="K159" s="145" t="s">
        <v>242</v>
      </c>
      <c r="L159" s="144">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243</v>
      </c>
      <c r="B163" s="77"/>
      <c r="C163" s="77"/>
      <c r="D163" s="77"/>
      <c r="E163" s="78"/>
      <c r="AJ163" s="1"/>
      <c r="AK163" s="1"/>
      <c r="AL163" s="1"/>
      <c r="AM163" s="1"/>
    </row>
    <row r="164" spans="1:39" ht="12.75" customHeight="1" thickTop="1" x14ac:dyDescent="0.2">
      <c r="A164" s="136" t="s">
        <v>219</v>
      </c>
      <c r="B164" s="137" t="s">
        <v>220</v>
      </c>
      <c r="C164" s="138"/>
      <c r="D164" s="139"/>
      <c r="E164" s="210" t="s">
        <v>221</v>
      </c>
      <c r="AJ164" s="1"/>
      <c r="AK164" s="1"/>
      <c r="AL164" s="1"/>
      <c r="AM164" s="1"/>
    </row>
    <row r="165" spans="1:39" ht="12.75" customHeight="1" x14ac:dyDescent="0.2">
      <c r="A165" s="221"/>
      <c r="B165" s="24"/>
      <c r="C165" s="24"/>
      <c r="D165" s="38"/>
      <c r="E165" s="141"/>
      <c r="AJ165" s="1"/>
      <c r="AK165" s="1"/>
      <c r="AL165" s="1"/>
      <c r="AM165" s="1"/>
    </row>
    <row r="166" spans="1:39" ht="12.75" customHeight="1" x14ac:dyDescent="0.2">
      <c r="A166" s="221"/>
      <c r="B166" s="24"/>
      <c r="C166" s="24"/>
      <c r="D166" s="38"/>
      <c r="E166" s="141"/>
      <c r="AJ166" s="1"/>
      <c r="AK166" s="1"/>
      <c r="AL166" s="1"/>
      <c r="AM166" s="1"/>
    </row>
    <row r="167" spans="1:39" ht="12.75" customHeight="1" x14ac:dyDescent="0.2">
      <c r="A167" s="221"/>
      <c r="B167" s="24"/>
      <c r="C167" s="24"/>
      <c r="D167" s="38"/>
      <c r="E167" s="141"/>
      <c r="AJ167" s="1"/>
      <c r="AK167" s="1"/>
      <c r="AL167" s="1"/>
      <c r="AM167" s="1"/>
    </row>
    <row r="168" spans="1:39" ht="12.75" customHeight="1" x14ac:dyDescent="0.2">
      <c r="A168" s="221"/>
      <c r="B168" s="24"/>
      <c r="C168" s="24"/>
      <c r="D168" s="38"/>
      <c r="E168" s="142"/>
      <c r="AJ168" s="1"/>
      <c r="AK168" s="1"/>
      <c r="AL168" s="1"/>
      <c r="AM168" s="1"/>
    </row>
    <row r="169" spans="1:39" ht="12.75" customHeight="1" x14ac:dyDescent="0.2">
      <c r="A169" s="221"/>
      <c r="B169" s="24"/>
      <c r="C169" s="24"/>
      <c r="D169" s="38"/>
      <c r="E169" s="141"/>
      <c r="AJ169" s="1"/>
      <c r="AK169" s="1"/>
      <c r="AL169" s="1"/>
      <c r="AM169" s="1"/>
    </row>
    <row r="170" spans="1:39" ht="12.75" customHeight="1" x14ac:dyDescent="0.2">
      <c r="A170" s="221"/>
      <c r="B170" s="24"/>
      <c r="C170" s="24"/>
      <c r="D170" s="38"/>
      <c r="E170" s="141"/>
      <c r="AJ170" s="1"/>
      <c r="AK170" s="1"/>
      <c r="AL170" s="1"/>
      <c r="AM170" s="1"/>
    </row>
    <row r="171" spans="1:39" ht="12.75" customHeight="1" x14ac:dyDescent="0.2">
      <c r="A171" s="221"/>
      <c r="B171" s="24"/>
      <c r="C171" s="82"/>
      <c r="D171" s="140"/>
      <c r="E171" s="142"/>
      <c r="AJ171" s="1"/>
      <c r="AK171" s="1"/>
      <c r="AL171" s="1"/>
      <c r="AM171" s="1"/>
    </row>
    <row r="172" spans="1:39" ht="12.75" customHeight="1" x14ac:dyDescent="0.2">
      <c r="A172" s="221"/>
      <c r="B172" s="80"/>
      <c r="C172" s="82"/>
      <c r="D172" s="140"/>
      <c r="E172" s="142"/>
      <c r="AJ172" s="1"/>
      <c r="AK172" s="1"/>
      <c r="AL172" s="1"/>
      <c r="AM172" s="1"/>
    </row>
    <row r="173" spans="1:39" ht="12.75" customHeight="1" x14ac:dyDescent="0.2">
      <c r="A173" s="221"/>
      <c r="B173" s="80"/>
      <c r="C173" s="24"/>
      <c r="D173" s="38"/>
      <c r="E173" s="141"/>
      <c r="AJ173" s="1"/>
      <c r="AK173" s="1"/>
      <c r="AL173" s="1"/>
      <c r="AM173" s="1"/>
    </row>
    <row r="174" spans="1:39" ht="12.75" customHeight="1" x14ac:dyDescent="0.2">
      <c r="A174" s="221"/>
      <c r="B174" s="24"/>
      <c r="C174" s="24"/>
      <c r="D174" s="38"/>
      <c r="E174" s="141"/>
      <c r="AJ174" s="1"/>
      <c r="AK174" s="1"/>
      <c r="AL174" s="1"/>
      <c r="AM174" s="1"/>
    </row>
    <row r="175" spans="1:39" ht="12.75" customHeight="1" x14ac:dyDescent="0.2">
      <c r="A175" s="221"/>
      <c r="B175" s="24"/>
      <c r="C175" s="24"/>
      <c r="D175" s="38"/>
      <c r="E175" s="142"/>
      <c r="AJ175" s="1"/>
      <c r="AK175" s="1"/>
      <c r="AL175" s="1"/>
      <c r="AM175" s="1"/>
    </row>
    <row r="176" spans="1:39" ht="12.75" customHeight="1" x14ac:dyDescent="0.2">
      <c r="A176" s="221"/>
      <c r="B176" s="24"/>
      <c r="C176" s="24"/>
      <c r="D176" s="38"/>
      <c r="E176" s="141"/>
      <c r="AJ176" s="1"/>
      <c r="AK176" s="1"/>
      <c r="AL176" s="1"/>
      <c r="AM176" s="1"/>
    </row>
    <row r="177" spans="1:39" ht="12.75" customHeight="1" x14ac:dyDescent="0.2">
      <c r="A177" s="221"/>
      <c r="B177" s="24"/>
      <c r="C177" s="24"/>
      <c r="D177" s="38"/>
      <c r="E177" s="141"/>
      <c r="AJ177" s="1"/>
      <c r="AK177" s="1"/>
      <c r="AL177" s="1"/>
      <c r="AM177" s="1"/>
    </row>
    <row r="178" spans="1:39" ht="12.75" customHeight="1" x14ac:dyDescent="0.2">
      <c r="A178" s="221"/>
      <c r="B178" s="9"/>
      <c r="C178" s="82"/>
      <c r="D178" s="140"/>
      <c r="E178" s="142"/>
      <c r="AJ178" s="1"/>
      <c r="AK178" s="1"/>
      <c r="AL178" s="1"/>
      <c r="AM178" s="1"/>
    </row>
    <row r="179" spans="1:39" ht="12.75" customHeight="1" x14ac:dyDescent="0.2">
      <c r="A179" s="221"/>
      <c r="B179" s="9"/>
      <c r="C179" s="82"/>
      <c r="D179" s="140"/>
      <c r="E179" s="142"/>
      <c r="AJ179" s="1"/>
      <c r="AK179" s="1"/>
      <c r="AL179" s="1"/>
      <c r="AM179" s="1"/>
    </row>
    <row r="180" spans="1:39" ht="12.75" customHeight="1" x14ac:dyDescent="0.2">
      <c r="A180" s="221"/>
      <c r="B180" s="9"/>
      <c r="C180" s="82"/>
      <c r="D180" s="140"/>
      <c r="E180" s="141"/>
      <c r="AJ180" s="1"/>
      <c r="AK180" s="1"/>
      <c r="AL180" s="1"/>
      <c r="AM180" s="1"/>
    </row>
    <row r="181" spans="1:39" ht="12.75" customHeight="1" x14ac:dyDescent="0.2">
      <c r="A181" s="221"/>
      <c r="B181" s="24"/>
      <c r="C181" s="24"/>
      <c r="D181" s="38"/>
      <c r="E181" s="141"/>
      <c r="AJ181" s="1"/>
      <c r="AK181" s="1"/>
      <c r="AL181" s="1"/>
      <c r="AM181" s="1"/>
    </row>
    <row r="182" spans="1:39" ht="12.75" customHeight="1" x14ac:dyDescent="0.2">
      <c r="A182" s="221"/>
      <c r="B182" s="24"/>
      <c r="C182" s="24"/>
      <c r="D182" s="38"/>
      <c r="E182" s="141"/>
      <c r="AJ182" s="1"/>
      <c r="AK182" s="1"/>
      <c r="AL182" s="1"/>
      <c r="AM182" s="1"/>
    </row>
    <row r="183" spans="1:39" ht="12.75" customHeight="1" x14ac:dyDescent="0.2">
      <c r="A183" s="221"/>
      <c r="B183" s="24"/>
      <c r="C183" s="24"/>
      <c r="D183" s="38"/>
      <c r="E183" s="141"/>
      <c r="AJ183" s="1"/>
      <c r="AK183" s="1"/>
      <c r="AL183" s="1"/>
      <c r="AM183" s="1"/>
    </row>
    <row r="184" spans="1:39" ht="12.75" customHeight="1" x14ac:dyDescent="0.2">
      <c r="A184" s="221"/>
      <c r="B184" s="24"/>
      <c r="C184" s="24"/>
      <c r="D184" s="38"/>
      <c r="E184" s="143"/>
      <c r="AJ184" s="1"/>
      <c r="AK184" s="1"/>
      <c r="AL184" s="1"/>
      <c r="AM184" s="1"/>
    </row>
    <row r="185" spans="1:39" ht="12.75" customHeight="1" thickBot="1" x14ac:dyDescent="0.25">
      <c r="A185" s="222"/>
      <c r="B185" s="24"/>
      <c r="C185" s="24"/>
      <c r="D185" s="145" t="s">
        <v>244</v>
      </c>
      <c r="E185" s="144">
        <f>SUM(E165:E184)</f>
        <v>0</v>
      </c>
      <c r="AJ185" s="1"/>
      <c r="AK185" s="1"/>
      <c r="AL185" s="1"/>
      <c r="AM185" s="1"/>
    </row>
    <row r="186" spans="1:39" ht="12.75" customHeight="1" thickTop="1" thickBot="1" x14ac:dyDescent="0.25">
      <c r="A186" s="220"/>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245</v>
      </c>
      <c r="B189" s="59"/>
      <c r="C189" s="59"/>
      <c r="D189" s="59"/>
      <c r="E189" s="59"/>
      <c r="F189" s="59"/>
      <c r="G189" s="59"/>
      <c r="H189" s="59"/>
      <c r="I189" s="59"/>
      <c r="J189" s="59"/>
      <c r="K189" s="59"/>
      <c r="L189" s="59"/>
      <c r="M189" s="60"/>
      <c r="O189" s="1"/>
      <c r="P189" s="1"/>
      <c r="Q189" s="1"/>
      <c r="R189" s="1"/>
    </row>
    <row r="190" spans="1:39" ht="12.75" customHeight="1" x14ac:dyDescent="0.2">
      <c r="A190" s="85" t="s">
        <v>246</v>
      </c>
      <c r="B190" s="86" t="s">
        <v>219</v>
      </c>
      <c r="C190" s="87" t="s">
        <v>247</v>
      </c>
      <c r="D190" s="88" t="s">
        <v>248</v>
      </c>
      <c r="E190" s="135" t="s">
        <v>220</v>
      </c>
      <c r="F190" s="89"/>
      <c r="G190" s="89"/>
      <c r="H190" s="89"/>
      <c r="I190" s="89"/>
      <c r="J190" s="89"/>
      <c r="K190" s="89"/>
      <c r="L190" s="89"/>
      <c r="M190" s="211" t="s">
        <v>221</v>
      </c>
      <c r="O190" s="1"/>
      <c r="P190" s="1"/>
      <c r="Q190" s="1"/>
      <c r="R190" s="1"/>
    </row>
    <row r="191" spans="1:39" ht="12.75" customHeight="1" x14ac:dyDescent="0.2">
      <c r="A191" s="227"/>
      <c r="B191" s="134"/>
      <c r="C191" s="224"/>
      <c r="D191" s="38"/>
      <c r="E191" s="24"/>
      <c r="F191" s="24"/>
      <c r="G191" s="24"/>
      <c r="H191" s="24"/>
      <c r="I191" s="24"/>
      <c r="J191" s="24"/>
      <c r="K191" s="24"/>
      <c r="L191" s="24"/>
      <c r="M191" s="91"/>
      <c r="O191" s="1"/>
      <c r="P191" s="1"/>
      <c r="Q191" s="1"/>
      <c r="R191" s="1"/>
    </row>
    <row r="192" spans="1:39" ht="12.75" customHeight="1" x14ac:dyDescent="0.2">
      <c r="A192" s="227"/>
      <c r="B192" s="134"/>
      <c r="C192" s="224"/>
      <c r="D192" s="38"/>
      <c r="E192" s="24"/>
      <c r="F192" s="24"/>
      <c r="G192" s="24"/>
      <c r="H192" s="24"/>
      <c r="I192" s="24"/>
      <c r="J192" s="24"/>
      <c r="K192" s="24"/>
      <c r="L192" s="24"/>
      <c r="M192" s="91"/>
      <c r="O192" s="1"/>
      <c r="P192" s="1"/>
      <c r="Q192" s="1"/>
      <c r="R192" s="1"/>
    </row>
    <row r="193" spans="1:18" ht="12.75" customHeight="1" x14ac:dyDescent="0.2">
      <c r="A193" s="227"/>
      <c r="B193" s="134"/>
      <c r="C193" s="224"/>
      <c r="D193" s="38"/>
      <c r="E193" s="24"/>
      <c r="F193" s="24"/>
      <c r="G193" s="24"/>
      <c r="H193" s="24"/>
      <c r="I193" s="24"/>
      <c r="J193" s="24"/>
      <c r="K193" s="24"/>
      <c r="L193" s="24"/>
      <c r="M193" s="91"/>
      <c r="O193" s="1"/>
      <c r="P193" s="1"/>
      <c r="Q193" s="1"/>
      <c r="R193" s="1"/>
    </row>
    <row r="194" spans="1:18" ht="12.75" customHeight="1" x14ac:dyDescent="0.2">
      <c r="A194" s="227"/>
      <c r="B194" s="134"/>
      <c r="C194" s="224"/>
      <c r="D194" s="38"/>
      <c r="E194" s="24"/>
      <c r="F194" s="24"/>
      <c r="G194" s="24"/>
      <c r="H194" s="24"/>
      <c r="I194" s="24"/>
      <c r="J194" s="24"/>
      <c r="K194" s="24"/>
      <c r="L194" s="24"/>
      <c r="M194" s="91"/>
      <c r="O194" s="1"/>
      <c r="P194" s="1"/>
      <c r="Q194" s="1"/>
      <c r="R194" s="1"/>
    </row>
    <row r="195" spans="1:18" ht="12.75" customHeight="1" x14ac:dyDescent="0.2">
      <c r="A195" s="227"/>
      <c r="B195" s="134"/>
      <c r="C195" s="224"/>
      <c r="D195" s="38"/>
      <c r="E195" s="24"/>
      <c r="F195" s="24"/>
      <c r="G195" s="24"/>
      <c r="H195" s="24"/>
      <c r="I195" s="24"/>
      <c r="J195" s="24"/>
      <c r="K195" s="24"/>
      <c r="L195" s="24"/>
      <c r="M195" s="91"/>
      <c r="O195" s="1"/>
      <c r="P195" s="1"/>
      <c r="Q195" s="1"/>
      <c r="R195" s="1"/>
    </row>
    <row r="196" spans="1:18" ht="12.75" customHeight="1" x14ac:dyDescent="0.2">
      <c r="A196" s="227"/>
      <c r="B196" s="134"/>
      <c r="C196" s="224"/>
      <c r="D196" s="38"/>
      <c r="E196" s="24"/>
      <c r="F196" s="24"/>
      <c r="G196" s="24"/>
      <c r="H196" s="24"/>
      <c r="I196" s="24"/>
      <c r="J196" s="24"/>
      <c r="K196" s="24"/>
      <c r="L196" s="24"/>
      <c r="M196" s="91"/>
    </row>
    <row r="197" spans="1:18" ht="12.75" customHeight="1" x14ac:dyDescent="0.2">
      <c r="A197" s="227"/>
      <c r="B197" s="134"/>
      <c r="C197" s="224"/>
      <c r="D197" s="38"/>
      <c r="E197" s="24"/>
      <c r="F197" s="24"/>
      <c r="G197" s="24"/>
      <c r="H197" s="24"/>
      <c r="I197" s="24"/>
      <c r="J197" s="24"/>
      <c r="K197" s="24"/>
      <c r="L197" s="24"/>
      <c r="M197" s="91"/>
    </row>
    <row r="198" spans="1:18" ht="12.75" customHeight="1" x14ac:dyDescent="0.2">
      <c r="A198" s="227"/>
      <c r="B198" s="134"/>
      <c r="C198" s="224"/>
      <c r="D198" s="38"/>
      <c r="E198" s="24"/>
      <c r="F198" s="24"/>
      <c r="G198" s="24"/>
      <c r="H198" s="24"/>
      <c r="I198" s="24"/>
      <c r="J198" s="24"/>
      <c r="K198" s="24"/>
      <c r="L198" s="24"/>
      <c r="M198" s="91"/>
    </row>
    <row r="199" spans="1:18" ht="12.75" customHeight="1" x14ac:dyDescent="0.2">
      <c r="A199" s="227"/>
      <c r="B199" s="134"/>
      <c r="C199" s="224"/>
      <c r="D199" s="38"/>
      <c r="E199" s="24"/>
      <c r="F199" s="24"/>
      <c r="G199" s="24"/>
      <c r="H199" s="24"/>
      <c r="I199" s="24"/>
      <c r="J199" s="24"/>
      <c r="K199" s="24"/>
      <c r="L199" s="24"/>
      <c r="M199" s="91"/>
    </row>
    <row r="200" spans="1:18" ht="12.75" customHeight="1" x14ac:dyDescent="0.2">
      <c r="A200" s="227"/>
      <c r="B200" s="134"/>
      <c r="C200" s="224"/>
      <c r="D200" s="38"/>
      <c r="E200" s="24"/>
      <c r="F200" s="24"/>
      <c r="G200" s="24"/>
      <c r="H200" s="24"/>
      <c r="I200" s="24"/>
      <c r="J200" s="24"/>
      <c r="K200" s="24"/>
      <c r="L200" s="24"/>
      <c r="M200" s="91"/>
    </row>
    <row r="201" spans="1:18" ht="12.75" customHeight="1" x14ac:dyDescent="0.2">
      <c r="A201" s="90"/>
      <c r="B201" s="134"/>
      <c r="C201" s="224"/>
      <c r="D201" s="38"/>
      <c r="E201" s="24"/>
      <c r="F201" s="24"/>
      <c r="G201" s="24"/>
      <c r="H201" s="24"/>
      <c r="I201" s="24"/>
      <c r="J201" s="24"/>
      <c r="K201" s="24"/>
      <c r="L201" s="24"/>
      <c r="M201" s="91"/>
    </row>
    <row r="202" spans="1:18" ht="12.75" customHeight="1" x14ac:dyDescent="0.2">
      <c r="A202" s="90"/>
      <c r="B202" s="134"/>
      <c r="C202" s="224"/>
      <c r="D202" s="38"/>
      <c r="E202" s="24"/>
      <c r="F202" s="24"/>
      <c r="G202" s="24"/>
      <c r="H202" s="24"/>
      <c r="I202" s="24"/>
      <c r="J202" s="24"/>
      <c r="K202" s="24"/>
      <c r="L202" s="24"/>
      <c r="M202" s="91"/>
    </row>
    <row r="203" spans="1:18" ht="12.75" customHeight="1" x14ac:dyDescent="0.2">
      <c r="A203" s="90"/>
      <c r="B203" s="134"/>
      <c r="C203" s="224"/>
      <c r="D203" s="38"/>
      <c r="E203" s="24"/>
      <c r="F203" s="24"/>
      <c r="G203" s="24"/>
      <c r="H203" s="24"/>
      <c r="I203" s="24"/>
      <c r="J203" s="24"/>
      <c r="K203" s="24"/>
      <c r="L203" s="24"/>
      <c r="M203" s="91"/>
    </row>
    <row r="204" spans="1:18" ht="12.75" customHeight="1" x14ac:dyDescent="0.2">
      <c r="A204" s="90"/>
      <c r="B204" s="134"/>
      <c r="C204" s="224"/>
      <c r="D204" s="38"/>
      <c r="E204" s="24"/>
      <c r="F204" s="24"/>
      <c r="G204" s="24"/>
      <c r="H204" s="24"/>
      <c r="I204" s="24"/>
      <c r="J204" s="24"/>
      <c r="K204" s="24"/>
      <c r="L204" s="24"/>
      <c r="M204" s="91"/>
    </row>
    <row r="205" spans="1:18" ht="12.75" customHeight="1" x14ac:dyDescent="0.2">
      <c r="A205" s="90"/>
      <c r="B205" s="134"/>
      <c r="C205" s="226"/>
      <c r="D205" s="38"/>
      <c r="E205" s="24"/>
      <c r="F205" s="24"/>
      <c r="G205" s="24"/>
      <c r="H205" s="24"/>
      <c r="I205" s="24"/>
      <c r="J205" s="24"/>
      <c r="K205" s="24"/>
      <c r="L205" s="24"/>
      <c r="M205" s="91"/>
    </row>
    <row r="206" spans="1:18" ht="12.75" customHeight="1" x14ac:dyDescent="0.2">
      <c r="A206" s="90"/>
      <c r="B206" s="134"/>
      <c r="C206" s="226"/>
      <c r="D206" s="38"/>
      <c r="E206" s="24"/>
      <c r="F206" s="24"/>
      <c r="G206" s="24"/>
      <c r="H206" s="24"/>
      <c r="I206" s="24"/>
      <c r="J206" s="24"/>
      <c r="K206" s="24"/>
      <c r="L206" s="24"/>
      <c r="M206" s="91"/>
    </row>
    <row r="207" spans="1:18" ht="12.75" customHeight="1" x14ac:dyDescent="0.2">
      <c r="A207" s="90"/>
      <c r="B207" s="134"/>
      <c r="C207" s="226"/>
      <c r="D207" s="38"/>
      <c r="E207" s="24"/>
      <c r="F207" s="24"/>
      <c r="G207" s="24"/>
      <c r="H207" s="24"/>
      <c r="I207" s="24"/>
      <c r="J207" s="24"/>
      <c r="K207" s="24"/>
      <c r="L207" s="24"/>
      <c r="M207" s="91"/>
    </row>
    <row r="208" spans="1:18" ht="12.75" customHeight="1" x14ac:dyDescent="0.2">
      <c r="A208" s="90"/>
      <c r="B208" s="134"/>
      <c r="C208" s="225"/>
      <c r="D208" s="38"/>
      <c r="E208" s="24"/>
      <c r="F208" s="24"/>
      <c r="G208" s="24"/>
      <c r="H208" s="24"/>
      <c r="I208" s="24"/>
      <c r="J208" s="24"/>
      <c r="K208" s="24"/>
      <c r="L208" s="24"/>
      <c r="M208" s="91"/>
    </row>
    <row r="209" spans="1:14" ht="12.75" customHeight="1" x14ac:dyDescent="0.2">
      <c r="A209" s="90"/>
      <c r="B209" s="134"/>
      <c r="C209" s="225"/>
      <c r="D209" s="38"/>
      <c r="E209" s="24"/>
      <c r="F209" s="24"/>
      <c r="G209" s="24"/>
      <c r="H209" s="24"/>
      <c r="I209" s="24"/>
      <c r="J209" s="24"/>
      <c r="K209" s="24"/>
      <c r="L209" s="24"/>
      <c r="M209" s="91"/>
    </row>
    <row r="210" spans="1:14" ht="12.75" customHeight="1" x14ac:dyDescent="0.2">
      <c r="A210" s="90"/>
      <c r="B210" s="134"/>
      <c r="C210" s="225"/>
      <c r="D210" s="38"/>
      <c r="E210" s="24"/>
      <c r="F210" s="24"/>
      <c r="G210" s="24"/>
      <c r="H210" s="24"/>
      <c r="I210" s="24"/>
      <c r="J210" s="24"/>
      <c r="K210" s="24"/>
      <c r="L210" s="24"/>
      <c r="M210" s="91"/>
    </row>
    <row r="211" spans="1:14" ht="12.75" customHeight="1" x14ac:dyDescent="0.2">
      <c r="A211" s="90"/>
      <c r="B211" s="134"/>
      <c r="C211" s="225"/>
      <c r="D211" s="38"/>
      <c r="E211" s="24"/>
      <c r="F211" s="24"/>
      <c r="G211" s="24"/>
      <c r="H211" s="24"/>
      <c r="I211" s="24"/>
      <c r="J211" s="24"/>
      <c r="K211" s="24"/>
      <c r="L211" s="24"/>
      <c r="M211" s="91"/>
    </row>
    <row r="212" spans="1:14" ht="12.75" customHeight="1" x14ac:dyDescent="0.2">
      <c r="A212" s="90"/>
      <c r="B212" s="134"/>
      <c r="C212" s="225"/>
      <c r="D212" s="38"/>
      <c r="E212" s="24"/>
      <c r="F212" s="24"/>
      <c r="G212" s="24"/>
      <c r="H212" s="24"/>
      <c r="I212" s="24"/>
      <c r="J212" s="24"/>
      <c r="K212" s="24"/>
      <c r="L212" s="24"/>
      <c r="M212" s="91"/>
    </row>
    <row r="213" spans="1:14" ht="12.75" customHeight="1" x14ac:dyDescent="0.2">
      <c r="A213" s="90"/>
      <c r="B213" s="134"/>
      <c r="C213" s="225"/>
      <c r="D213" s="38"/>
      <c r="E213" s="24"/>
      <c r="F213" s="24"/>
      <c r="G213" s="24"/>
      <c r="H213" s="24"/>
      <c r="I213" s="24"/>
      <c r="J213" s="24"/>
      <c r="K213" s="24"/>
      <c r="L213" s="24"/>
      <c r="M213" s="91"/>
    </row>
    <row r="214" spans="1:14" ht="12.75" customHeight="1" thickBot="1" x14ac:dyDescent="0.25">
      <c r="A214" s="90"/>
      <c r="B214" s="134"/>
      <c r="C214" s="223"/>
      <c r="D214" s="38"/>
      <c r="E214" s="24"/>
      <c r="F214" s="24"/>
      <c r="G214" s="24"/>
      <c r="H214" s="24"/>
      <c r="I214" s="24"/>
      <c r="J214" s="24"/>
      <c r="K214" s="24"/>
      <c r="L214" s="145" t="s">
        <v>249</v>
      </c>
      <c r="M214" s="92">
        <f>SUM(M191:M213)</f>
        <v>0</v>
      </c>
    </row>
    <row r="215" spans="1:14" ht="12.75" customHeight="1" thickTop="1" thickBot="1" x14ac:dyDescent="0.25">
      <c r="A215" s="93"/>
      <c r="B215" s="151"/>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5" t="s">
        <v>250</v>
      </c>
      <c r="B218" s="154"/>
      <c r="C218" s="154"/>
      <c r="D218" s="154"/>
      <c r="E218" s="154"/>
      <c r="F218" s="157"/>
      <c r="G218" s="94"/>
      <c r="H218" s="94"/>
      <c r="I218" s="94"/>
      <c r="J218" s="94"/>
      <c r="K218" s="94"/>
      <c r="L218" s="94"/>
      <c r="M218" s="94"/>
      <c r="N218" s="94"/>
    </row>
    <row r="219" spans="1:14" ht="12.75" customHeight="1" thickBot="1" x14ac:dyDescent="0.25">
      <c r="A219" s="156" t="s">
        <v>246</v>
      </c>
      <c r="B219" s="95" t="s">
        <v>219</v>
      </c>
      <c r="C219" s="96" t="s">
        <v>247</v>
      </c>
      <c r="D219" s="165" t="s">
        <v>248</v>
      </c>
      <c r="E219" s="166"/>
      <c r="F219" s="158" t="s">
        <v>221</v>
      </c>
      <c r="G219" s="94"/>
      <c r="H219" s="94"/>
      <c r="I219" s="94"/>
      <c r="J219" s="94"/>
      <c r="K219" s="94"/>
      <c r="L219" s="94"/>
      <c r="M219" s="94"/>
      <c r="N219" s="94"/>
    </row>
    <row r="220" spans="1:14" ht="12.75" customHeight="1" x14ac:dyDescent="0.2">
      <c r="A220" s="231"/>
      <c r="B220" s="134"/>
      <c r="C220" s="97"/>
      <c r="D220" s="24"/>
      <c r="E220" s="167"/>
      <c r="F220" s="232"/>
      <c r="G220" s="98"/>
      <c r="H220" s="98"/>
      <c r="I220" s="98"/>
      <c r="J220" s="98"/>
      <c r="K220" s="98"/>
      <c r="L220" s="98"/>
      <c r="M220" s="98"/>
      <c r="N220" s="98"/>
    </row>
    <row r="221" spans="1:14" ht="12.75" customHeight="1" x14ac:dyDescent="0.2">
      <c r="A221" s="231"/>
      <c r="B221" s="134"/>
      <c r="C221" s="94"/>
      <c r="D221" s="233"/>
      <c r="E221" s="167"/>
      <c r="F221" s="159"/>
      <c r="G221" s="98"/>
      <c r="H221" s="98"/>
      <c r="I221" s="98"/>
      <c r="J221" s="98"/>
      <c r="K221" s="98"/>
      <c r="L221" s="98"/>
      <c r="M221" s="98"/>
      <c r="N221" s="98"/>
    </row>
    <row r="222" spans="1:14" ht="12.75" customHeight="1" x14ac:dyDescent="0.2">
      <c r="A222" s="231"/>
      <c r="B222" s="134"/>
      <c r="C222" s="94"/>
      <c r="D222" s="233"/>
      <c r="E222" s="167"/>
      <c r="F222" s="160"/>
      <c r="G222" s="94"/>
      <c r="H222" s="94"/>
      <c r="I222" s="94"/>
      <c r="J222" s="94"/>
      <c r="K222" s="94"/>
      <c r="L222" s="94"/>
      <c r="M222" s="94"/>
      <c r="N222" s="94"/>
    </row>
    <row r="223" spans="1:14" ht="12.75" customHeight="1" x14ac:dyDescent="0.2">
      <c r="A223" s="231"/>
      <c r="B223" s="134"/>
      <c r="C223" s="94"/>
      <c r="D223" s="233"/>
      <c r="E223" s="167"/>
      <c r="F223" s="160"/>
      <c r="G223" s="94"/>
      <c r="H223" s="94"/>
      <c r="I223" s="94"/>
      <c r="J223" s="94"/>
      <c r="K223" s="94"/>
      <c r="L223" s="94"/>
      <c r="M223" s="94"/>
      <c r="N223" s="94"/>
    </row>
    <row r="224" spans="1:14" ht="12.75" customHeight="1" x14ac:dyDescent="0.2">
      <c r="A224" s="231"/>
      <c r="B224" s="134"/>
      <c r="C224" s="94"/>
      <c r="D224" s="233"/>
      <c r="E224" s="167"/>
      <c r="F224" s="160"/>
      <c r="G224" s="94"/>
      <c r="H224" s="94"/>
      <c r="I224" s="94"/>
      <c r="J224" s="94"/>
      <c r="K224" s="94"/>
      <c r="L224" s="94"/>
      <c r="M224" s="94"/>
      <c r="N224" s="94"/>
    </row>
    <row r="225" spans="1:14" ht="12.75" customHeight="1" x14ac:dyDescent="0.2">
      <c r="A225" s="231"/>
      <c r="B225" s="134"/>
      <c r="C225" s="94"/>
      <c r="D225" s="233"/>
      <c r="E225" s="167"/>
      <c r="F225" s="160"/>
      <c r="G225" s="94"/>
      <c r="H225" s="94"/>
      <c r="I225" s="94"/>
      <c r="J225" s="94"/>
      <c r="K225" s="94"/>
      <c r="L225" s="94"/>
      <c r="M225" s="94"/>
      <c r="N225" s="94"/>
    </row>
    <row r="226" spans="1:14" ht="12.75" customHeight="1" x14ac:dyDescent="0.2">
      <c r="A226" s="231"/>
      <c r="B226" s="134"/>
      <c r="C226" s="94"/>
      <c r="D226" s="233"/>
      <c r="E226" s="167"/>
      <c r="F226" s="160"/>
      <c r="G226" s="94"/>
      <c r="H226" s="94"/>
      <c r="I226" s="94"/>
      <c r="J226" s="94"/>
      <c r="K226" s="94"/>
      <c r="L226" s="94"/>
      <c r="M226" s="94"/>
      <c r="N226" s="94"/>
    </row>
    <row r="227" spans="1:14" ht="12.75" customHeight="1" x14ac:dyDescent="0.2">
      <c r="A227" s="231"/>
      <c r="B227" s="134"/>
      <c r="C227" s="94"/>
      <c r="D227" s="233"/>
      <c r="E227" s="167"/>
      <c r="F227" s="160"/>
      <c r="G227" s="94"/>
      <c r="H227" s="94"/>
      <c r="I227" s="94"/>
      <c r="J227" s="94"/>
      <c r="K227" s="94"/>
      <c r="L227" s="94"/>
      <c r="M227" s="94"/>
      <c r="N227" s="94"/>
    </row>
    <row r="228" spans="1:14" ht="12.75" customHeight="1" x14ac:dyDescent="0.2">
      <c r="A228" s="231"/>
      <c r="B228" s="134"/>
      <c r="C228" s="94"/>
      <c r="D228" s="233"/>
      <c r="E228" s="167"/>
      <c r="F228" s="160"/>
      <c r="G228" s="94"/>
      <c r="H228" s="94"/>
      <c r="I228" s="94"/>
      <c r="J228" s="94"/>
      <c r="K228" s="94"/>
      <c r="L228" s="94"/>
      <c r="M228" s="94"/>
      <c r="N228" s="94"/>
    </row>
    <row r="229" spans="1:14" ht="12.75" customHeight="1" x14ac:dyDescent="0.2">
      <c r="A229" s="231"/>
      <c r="B229" s="134"/>
      <c r="C229" s="94"/>
      <c r="D229" s="233"/>
      <c r="E229" s="167"/>
      <c r="F229" s="160"/>
      <c r="G229" s="94"/>
      <c r="H229" s="94"/>
      <c r="I229" s="94"/>
      <c r="J229" s="94"/>
      <c r="K229" s="94"/>
      <c r="L229" s="94"/>
      <c r="M229" s="94"/>
      <c r="N229" s="94"/>
    </row>
    <row r="230" spans="1:14" ht="12.75" customHeight="1" x14ac:dyDescent="0.2">
      <c r="A230" s="231"/>
      <c r="B230" s="134"/>
      <c r="C230" s="94"/>
      <c r="D230" s="233"/>
      <c r="E230" s="167"/>
      <c r="F230" s="160"/>
      <c r="G230" s="94"/>
      <c r="H230" s="94"/>
      <c r="I230" s="94"/>
      <c r="J230" s="94"/>
      <c r="K230" s="94"/>
      <c r="L230" s="94"/>
      <c r="M230" s="94"/>
      <c r="N230" s="94"/>
    </row>
    <row r="231" spans="1:14" ht="12.75" customHeight="1" x14ac:dyDescent="0.2">
      <c r="A231" s="231"/>
      <c r="B231" s="134"/>
      <c r="C231" s="94"/>
      <c r="D231" s="233"/>
      <c r="E231" s="167"/>
      <c r="F231" s="160"/>
      <c r="G231" s="94"/>
      <c r="H231" s="94"/>
      <c r="I231" s="94"/>
      <c r="J231" s="94"/>
      <c r="K231" s="94"/>
      <c r="L231" s="94"/>
      <c r="M231" s="94"/>
      <c r="N231" s="94"/>
    </row>
    <row r="232" spans="1:14" ht="12.75" customHeight="1" x14ac:dyDescent="0.2">
      <c r="A232" s="231"/>
      <c r="B232" s="134"/>
      <c r="C232" s="94"/>
      <c r="D232" s="233"/>
      <c r="E232" s="167"/>
      <c r="F232" s="160"/>
      <c r="G232" s="94"/>
      <c r="H232" s="94"/>
      <c r="I232" s="94"/>
      <c r="J232" s="94"/>
      <c r="K232" s="94"/>
      <c r="L232" s="94"/>
      <c r="M232" s="94"/>
      <c r="N232" s="94"/>
    </row>
    <row r="233" spans="1:14" ht="12.75" customHeight="1" x14ac:dyDescent="0.2">
      <c r="A233" s="231"/>
      <c r="B233" s="134"/>
      <c r="C233" s="94"/>
      <c r="D233" s="233"/>
      <c r="E233" s="167"/>
      <c r="F233" s="160"/>
      <c r="G233" s="94"/>
      <c r="H233" s="94"/>
      <c r="I233" s="94"/>
      <c r="J233" s="94"/>
      <c r="K233" s="94"/>
      <c r="L233" s="94"/>
      <c r="M233" s="94"/>
      <c r="N233" s="94"/>
    </row>
    <row r="234" spans="1:14" ht="12.75" customHeight="1" x14ac:dyDescent="0.2">
      <c r="A234" s="231"/>
      <c r="B234" s="134"/>
      <c r="C234" s="94"/>
      <c r="D234" s="233"/>
      <c r="E234" s="167"/>
      <c r="F234" s="160"/>
      <c r="G234" s="94"/>
      <c r="H234" s="94"/>
      <c r="I234" s="94"/>
      <c r="J234" s="94"/>
      <c r="K234" s="94"/>
      <c r="L234" s="94"/>
      <c r="M234" s="94"/>
      <c r="N234" s="94"/>
    </row>
    <row r="235" spans="1:14" ht="12.75" customHeight="1" x14ac:dyDescent="0.2">
      <c r="A235" s="231"/>
      <c r="B235" s="134"/>
      <c r="C235" s="94"/>
      <c r="D235" s="233"/>
      <c r="E235" s="167"/>
      <c r="F235" s="160"/>
      <c r="G235" s="94"/>
      <c r="H235" s="94"/>
      <c r="I235" s="94"/>
      <c r="J235" s="94"/>
      <c r="K235" s="94"/>
      <c r="L235" s="94"/>
      <c r="M235" s="94"/>
      <c r="N235" s="94"/>
    </row>
    <row r="236" spans="1:14" ht="12.75" customHeight="1" x14ac:dyDescent="0.2">
      <c r="A236" s="231"/>
      <c r="B236" s="134"/>
      <c r="C236" s="94"/>
      <c r="D236" s="233"/>
      <c r="E236" s="167"/>
      <c r="F236" s="160"/>
      <c r="G236" s="94"/>
      <c r="H236" s="94"/>
      <c r="I236" s="94"/>
      <c r="J236" s="94"/>
      <c r="K236" s="94"/>
      <c r="L236" s="94"/>
      <c r="M236" s="94"/>
      <c r="N236" s="94"/>
    </row>
    <row r="237" spans="1:14" ht="12.75" customHeight="1" x14ac:dyDescent="0.2">
      <c r="A237" s="231"/>
      <c r="B237" s="134"/>
      <c r="C237" s="94"/>
      <c r="D237" s="233"/>
      <c r="E237" s="167"/>
      <c r="F237" s="160"/>
      <c r="G237" s="94"/>
      <c r="H237" s="94"/>
      <c r="I237" s="94"/>
      <c r="J237" s="94"/>
      <c r="K237" s="94"/>
      <c r="L237" s="94"/>
      <c r="M237" s="94"/>
      <c r="N237" s="94"/>
    </row>
    <row r="238" spans="1:14" ht="12.75" customHeight="1" thickBot="1" x14ac:dyDescent="0.25">
      <c r="A238" s="231"/>
      <c r="B238" s="134"/>
      <c r="C238" s="94"/>
      <c r="D238" s="94"/>
      <c r="E238" s="145" t="s">
        <v>251</v>
      </c>
      <c r="F238" s="168">
        <f>SUM(F219:F237)</f>
        <v>0</v>
      </c>
      <c r="G238" s="94"/>
      <c r="H238" s="94"/>
      <c r="I238" s="94"/>
      <c r="J238" s="94"/>
      <c r="K238" s="94"/>
      <c r="L238" s="94"/>
      <c r="M238" s="94"/>
      <c r="N238" s="94"/>
    </row>
    <row r="239" spans="1:14" ht="12.75" customHeight="1" thickTop="1" thickBot="1" x14ac:dyDescent="0.25">
      <c r="A239" s="161"/>
      <c r="B239" s="162"/>
      <c r="C239" s="163"/>
      <c r="D239" s="163"/>
      <c r="E239" s="212"/>
      <c r="F239" s="164"/>
      <c r="G239" s="94"/>
      <c r="H239" s="94"/>
      <c r="I239" s="94"/>
      <c r="J239" s="94"/>
      <c r="K239" s="94"/>
      <c r="L239" s="94"/>
      <c r="M239" s="94"/>
      <c r="N239" s="94"/>
    </row>
    <row r="240" spans="1:14" ht="12.75" customHeight="1" thickTop="1" x14ac:dyDescent="0.2"/>
  </sheetData>
  <printOptions horizontalCentered="1"/>
  <pageMargins left="0.25" right="0.25" top="0.25" bottom="0.25" header="0.25" footer="0.25"/>
  <pageSetup scale="19" orientation="landscape" horizontalDpi="4294967292" verticalDpi="4294967292" r:id="rId1"/>
  <headerFooter alignWithMargins="0">
    <oddFooter>&amp;L&amp;"Times New Roman,Italic"&amp;F/&amp;A&amp;R&amp;"Times New Roman,Italic"&amp;D &amp;T</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AX240"/>
  <sheetViews>
    <sheetView zoomScale="75" workbookViewId="0">
      <pane xSplit="2" ySplit="6" topLeftCell="C41" activePane="bottomRight" state="frozen"/>
      <selection activeCell="D9" sqref="D9:D13"/>
      <selection pane="topRight" activeCell="D9" sqref="D9:D13"/>
      <selection pane="bottomLeft" activeCell="D9" sqref="D9:D13"/>
      <selection pane="bottomRight" activeCell="S63" sqref="S63"/>
    </sheetView>
  </sheetViews>
  <sheetFormatPr defaultRowHeight="12.75" x14ac:dyDescent="0.2"/>
  <cols>
    <col min="1" max="1" width="23.85546875" style="13" customWidth="1"/>
    <col min="2" max="2" width="20.42578125" style="13" customWidth="1"/>
    <col min="3"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B1" s="815">
        <f>M38</f>
        <v>0</v>
      </c>
      <c r="D1" s="1"/>
      <c r="E1" s="1"/>
      <c r="F1" s="1"/>
      <c r="G1" s="1"/>
      <c r="H1" s="1"/>
      <c r="I1" s="1"/>
      <c r="J1" s="1"/>
      <c r="K1" s="1"/>
      <c r="L1" s="1"/>
      <c r="M1" s="1"/>
      <c r="N1" s="1"/>
      <c r="O1" s="1"/>
    </row>
    <row r="2" spans="1:37" ht="12.75" customHeight="1" x14ac:dyDescent="0.25">
      <c r="A2" s="101" t="s">
        <v>75</v>
      </c>
      <c r="D2" s="1"/>
      <c r="E2" s="1"/>
      <c r="F2" s="1"/>
      <c r="G2" s="1"/>
      <c r="H2" s="1"/>
      <c r="I2" s="1"/>
      <c r="J2" s="1"/>
      <c r="K2" s="1"/>
      <c r="L2" s="1"/>
      <c r="M2" s="1"/>
      <c r="N2" s="1"/>
      <c r="O2" s="1"/>
    </row>
    <row r="3" spans="1:37" ht="12.75" customHeight="1" x14ac:dyDescent="0.25">
      <c r="A3" s="257" t="s">
        <v>76</v>
      </c>
      <c r="B3" s="322" t="s">
        <v>472</v>
      </c>
      <c r="C3" s="322" t="s">
        <v>78</v>
      </c>
      <c r="D3" s="1"/>
      <c r="E3" s="1"/>
      <c r="F3" s="1"/>
      <c r="G3" s="1"/>
      <c r="H3" s="1"/>
      <c r="I3" s="1"/>
      <c r="J3" s="1"/>
      <c r="K3" s="1"/>
      <c r="L3" s="1"/>
      <c r="M3" s="1"/>
      <c r="N3" s="1"/>
      <c r="O3" s="1"/>
    </row>
    <row r="4" spans="1:37" ht="12.75" customHeight="1" x14ac:dyDescent="0.25">
      <c r="A4" s="257" t="s">
        <v>79</v>
      </c>
      <c r="B4" s="323">
        <f>Front!B4</f>
        <v>36831</v>
      </c>
      <c r="D4" s="1"/>
      <c r="E4" s="1"/>
      <c r="F4" s="1"/>
      <c r="G4" s="1"/>
      <c r="H4" s="1"/>
      <c r="I4" s="1"/>
      <c r="J4" s="1"/>
      <c r="K4" s="1"/>
      <c r="L4" s="1"/>
      <c r="M4" s="1"/>
      <c r="N4" s="1"/>
      <c r="O4" s="1"/>
    </row>
    <row r="5" spans="1:37" ht="12.75" customHeight="1" thickBot="1" x14ac:dyDescent="0.3">
      <c r="A5" s="257" t="s">
        <v>80</v>
      </c>
      <c r="B5" s="570">
        <f>Front!B5</f>
        <v>36847</v>
      </c>
      <c r="C5" s="15"/>
      <c r="V5" s="24"/>
      <c r="W5" s="24"/>
      <c r="X5" s="24"/>
      <c r="Y5" s="24"/>
      <c r="Z5" s="24"/>
      <c r="AA5" s="24"/>
    </row>
    <row r="6" spans="1:37" ht="12.75" customHeight="1" x14ac:dyDescent="0.25">
      <c r="A6" s="257" t="s">
        <v>81</v>
      </c>
      <c r="B6" s="776">
        <f>Front!$D$12</f>
        <v>949837</v>
      </c>
      <c r="C6" s="15"/>
      <c r="K6" s="123" t="s">
        <v>82</v>
      </c>
      <c r="L6" s="62"/>
      <c r="M6" s="62"/>
      <c r="N6" s="62"/>
      <c r="O6" s="62"/>
      <c r="P6" s="62"/>
      <c r="Q6" s="62"/>
      <c r="R6" s="7"/>
      <c r="S6" s="102" t="s">
        <v>83</v>
      </c>
      <c r="T6" s="102"/>
      <c r="V6" s="123" t="s">
        <v>84</v>
      </c>
      <c r="W6" s="62"/>
      <c r="X6" s="62"/>
      <c r="Y6" s="62"/>
      <c r="Z6" s="62"/>
      <c r="AA6" s="7"/>
    </row>
    <row r="7" spans="1:37" ht="12.75" customHeight="1" x14ac:dyDescent="0.2">
      <c r="B7" s="506"/>
      <c r="K7" s="64"/>
      <c r="L7" s="65" t="s">
        <v>88</v>
      </c>
      <c r="M7" s="65" t="s">
        <v>88</v>
      </c>
      <c r="N7" s="65" t="s">
        <v>88</v>
      </c>
      <c r="O7" s="65" t="s">
        <v>88</v>
      </c>
      <c r="P7" s="65" t="s">
        <v>88</v>
      </c>
      <c r="Q7" s="65" t="s">
        <v>88</v>
      </c>
      <c r="R7" s="66" t="s">
        <v>4</v>
      </c>
      <c r="S7" s="103" t="s">
        <v>89</v>
      </c>
      <c r="T7" s="103" t="s">
        <v>90</v>
      </c>
      <c r="V7" s="67" t="s">
        <v>91</v>
      </c>
      <c r="W7" s="24"/>
      <c r="X7" s="24"/>
      <c r="Y7" s="24"/>
      <c r="Z7" s="24"/>
      <c r="AA7" s="68"/>
    </row>
    <row r="8" spans="1:37" ht="12.75" customHeight="1" x14ac:dyDescent="0.2">
      <c r="A8" s="16" t="s">
        <v>92</v>
      </c>
      <c r="D8" s="103" t="s">
        <v>93</v>
      </c>
      <c r="E8" s="103" t="s">
        <v>94</v>
      </c>
      <c r="G8" s="17" t="s">
        <v>95</v>
      </c>
      <c r="H8" s="17"/>
      <c r="K8" s="124" t="s">
        <v>96</v>
      </c>
      <c r="L8" s="24"/>
      <c r="M8" s="24"/>
      <c r="N8" s="24"/>
      <c r="O8" s="24"/>
      <c r="P8" s="24"/>
      <c r="Q8" s="9"/>
      <c r="R8" s="68"/>
      <c r="V8" s="67" t="s">
        <v>97</v>
      </c>
      <c r="W8" s="24"/>
      <c r="X8" s="24"/>
      <c r="Y8" s="24"/>
      <c r="Z8" s="24"/>
      <c r="AA8" s="68"/>
    </row>
    <row r="9" spans="1:37" ht="12.75" customHeight="1" x14ac:dyDescent="0.2">
      <c r="A9" s="13" t="s">
        <v>98</v>
      </c>
      <c r="D9" s="18">
        <v>32191381</v>
      </c>
      <c r="E9" s="18">
        <v>35284348</v>
      </c>
      <c r="F9" s="1" t="s">
        <v>99</v>
      </c>
      <c r="G9" s="19" t="s">
        <v>100</v>
      </c>
      <c r="H9" s="19"/>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
      <c r="A10" s="13" t="s">
        <v>102</v>
      </c>
      <c r="D10" s="21">
        <v>0</v>
      </c>
      <c r="E10" s="21">
        <v>0</v>
      </c>
      <c r="F10" s="1" t="s">
        <v>99</v>
      </c>
      <c r="G10" s="19" t="s">
        <v>100</v>
      </c>
      <c r="H10" s="19"/>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
      <c r="A11" s="13" t="s">
        <v>366</v>
      </c>
      <c r="D11" s="21">
        <v>0</v>
      </c>
      <c r="E11" s="21">
        <v>0</v>
      </c>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
      <c r="A12" s="13" t="s">
        <v>109</v>
      </c>
      <c r="D12" s="21">
        <v>0</v>
      </c>
      <c r="E12" s="21">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
      <c r="A13" s="13" t="s">
        <v>112</v>
      </c>
      <c r="D13" s="21">
        <v>-32866215</v>
      </c>
      <c r="E13" s="21">
        <v>-34825257</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25">
      <c r="A14" s="13" t="s">
        <v>115</v>
      </c>
      <c r="E14" s="22">
        <f>+E159</f>
        <v>-119544</v>
      </c>
      <c r="F14" s="13" t="s">
        <v>116</v>
      </c>
      <c r="K14" s="67" t="s">
        <v>117</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118</v>
      </c>
      <c r="Z14" s="24"/>
      <c r="AA14" s="68"/>
    </row>
    <row r="15" spans="1:37" ht="12.75" customHeight="1" thickTop="1" x14ac:dyDescent="0.2">
      <c r="A15" s="13" t="s">
        <v>119</v>
      </c>
      <c r="E15" s="22">
        <f>+L159</f>
        <v>0</v>
      </c>
      <c r="F15" s="13" t="s">
        <v>116</v>
      </c>
      <c r="K15" s="67" t="s">
        <v>120</v>
      </c>
      <c r="L15" s="249">
        <v>0</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2">
      <c r="A16" s="13" t="s">
        <v>124</v>
      </c>
      <c r="E16" s="22">
        <f>+E185</f>
        <v>0</v>
      </c>
      <c r="F16" s="13" t="s">
        <v>116</v>
      </c>
      <c r="I16" s="23"/>
      <c r="J16" s="23"/>
      <c r="K16" s="67" t="s">
        <v>125</v>
      </c>
      <c r="L16" s="248">
        <v>0</v>
      </c>
      <c r="M16" s="248">
        <v>0</v>
      </c>
      <c r="N16" s="248">
        <v>0</v>
      </c>
      <c r="O16" s="248">
        <v>0</v>
      </c>
      <c r="P16" s="248">
        <v>0</v>
      </c>
      <c r="Q16" s="248">
        <v>0</v>
      </c>
      <c r="R16" s="251">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2"/>
      <c r="L17" s="122">
        <f t="shared" ref="L17:Q17" si="1">SUM(L15*L16)</f>
        <v>0</v>
      </c>
      <c r="M17" s="122">
        <f t="shared" si="1"/>
        <v>0</v>
      </c>
      <c r="N17" s="122">
        <f t="shared" si="1"/>
        <v>0</v>
      </c>
      <c r="O17" s="122">
        <f t="shared" si="1"/>
        <v>0</v>
      </c>
      <c r="P17" s="122">
        <f t="shared" si="1"/>
        <v>0</v>
      </c>
      <c r="Q17" s="122">
        <f t="shared" si="1"/>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8">
        <f>SUM(E9:E16)</f>
        <v>339547</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SUM(E19)-SUM(B58+B59)-SUM(B64:B65)</f>
        <v>349032</v>
      </c>
      <c r="AA20" s="68"/>
      <c r="AB20" s="24"/>
      <c r="AC20" s="24"/>
      <c r="AD20" s="24"/>
      <c r="AE20" s="24"/>
      <c r="AF20" s="24"/>
      <c r="AG20" s="24"/>
      <c r="AH20" s="24"/>
      <c r="AI20" s="26"/>
      <c r="AJ20" s="24"/>
      <c r="AK20" s="24"/>
    </row>
    <row r="21" spans="1:37" ht="12.75" customHeight="1" thickBot="1" x14ac:dyDescent="0.25">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75" customHeight="1" x14ac:dyDescent="0.2">
      <c r="A22" s="13" t="s">
        <v>132</v>
      </c>
      <c r="E22" s="18">
        <v>0</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133</v>
      </c>
      <c r="E23" s="28">
        <f>B63</f>
        <v>0</v>
      </c>
      <c r="F23" s="1" t="s">
        <v>99</v>
      </c>
      <c r="G23" s="24"/>
      <c r="I23" s="24"/>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134</v>
      </c>
      <c r="E24" s="229">
        <f>E22+E23</f>
        <v>0</v>
      </c>
      <c r="F24" s="13" t="s">
        <v>116</v>
      </c>
      <c r="I24" s="24"/>
      <c r="J24" s="24"/>
      <c r="K24" s="67" t="s">
        <v>117</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135</v>
      </c>
      <c r="E25" s="22">
        <f>-M214</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136</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141</v>
      </c>
      <c r="E29" s="18">
        <v>2431713</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143</v>
      </c>
      <c r="E30" s="29">
        <f>B61</f>
        <v>-283140</v>
      </c>
      <c r="F30" s="13" t="s">
        <v>144</v>
      </c>
      <c r="I30" s="24"/>
      <c r="J30" s="24"/>
      <c r="K30" s="67" t="s">
        <v>145</v>
      </c>
      <c r="L30" s="24"/>
      <c r="M30" s="26">
        <v>582322</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146</v>
      </c>
      <c r="E31" s="22">
        <f>B102</f>
        <v>0</v>
      </c>
      <c r="F31" s="13" t="s">
        <v>144</v>
      </c>
      <c r="I31" s="24"/>
      <c r="J31" s="24"/>
      <c r="K31" s="67" t="s">
        <v>147</v>
      </c>
      <c r="L31" s="24"/>
      <c r="M31" s="26">
        <v>0</v>
      </c>
      <c r="N31" s="27">
        <f>M31</f>
        <v>0</v>
      </c>
      <c r="O31" s="24" t="s">
        <v>142</v>
      </c>
      <c r="P31" s="24"/>
      <c r="Q31" s="24"/>
      <c r="R31" s="68"/>
      <c r="S31" s="24"/>
      <c r="T31" s="24"/>
      <c r="U31" s="24"/>
      <c r="V31" s="24"/>
      <c r="W31" s="24"/>
      <c r="X31" s="24"/>
      <c r="Y31" s="825"/>
      <c r="Z31" s="24"/>
      <c r="AA31" s="24"/>
      <c r="AB31" s="24"/>
      <c r="AC31" s="24"/>
      <c r="AD31" s="24"/>
      <c r="AE31" s="24"/>
      <c r="AF31" s="24"/>
      <c r="AG31" s="24"/>
      <c r="AH31" s="24"/>
      <c r="AI31" s="9"/>
      <c r="AJ31" s="24"/>
      <c r="AK31" s="24"/>
    </row>
    <row r="32" spans="1:37" ht="12.75" customHeight="1" x14ac:dyDescent="0.2">
      <c r="A32" s="13" t="s">
        <v>148</v>
      </c>
      <c r="E32" s="29">
        <f>B118</f>
        <v>0</v>
      </c>
      <c r="F32" s="13" t="s">
        <v>144</v>
      </c>
      <c r="G32" s="19"/>
      <c r="K32" s="67" t="s">
        <v>149</v>
      </c>
      <c r="L32" s="24"/>
      <c r="M32" s="26">
        <v>2431713</v>
      </c>
      <c r="N32" s="27"/>
      <c r="O32" s="24" t="s">
        <v>142</v>
      </c>
      <c r="P32" s="24"/>
      <c r="Q32" s="24"/>
      <c r="R32" s="68"/>
      <c r="Y32" s="826"/>
      <c r="AI32" s="1"/>
    </row>
    <row r="33" spans="1:47" ht="12.75" customHeight="1" x14ac:dyDescent="0.2">
      <c r="A33" s="13" t="s">
        <v>268</v>
      </c>
      <c r="E33" s="22">
        <f>B68</f>
        <v>0</v>
      </c>
      <c r="F33" s="13" t="s">
        <v>144</v>
      </c>
      <c r="K33" s="67"/>
      <c r="L33" s="9"/>
      <c r="M33" s="27"/>
      <c r="N33" s="27"/>
      <c r="O33" s="24"/>
      <c r="P33" s="24"/>
      <c r="Q33" s="24"/>
      <c r="R33" s="68"/>
      <c r="Y33" s="826"/>
    </row>
    <row r="34" spans="1:47" ht="12.75" customHeight="1" x14ac:dyDescent="0.2">
      <c r="A34" s="13" t="s">
        <v>151</v>
      </c>
      <c r="E34" s="22">
        <f>B69</f>
        <v>0</v>
      </c>
      <c r="F34" s="13" t="s">
        <v>144</v>
      </c>
      <c r="K34" s="67" t="s">
        <v>152</v>
      </c>
      <c r="L34" s="24"/>
      <c r="M34" s="27">
        <f>B76</f>
        <v>-525915</v>
      </c>
      <c r="N34" s="27">
        <f>B63</f>
        <v>0</v>
      </c>
      <c r="O34" s="24" t="s">
        <v>153</v>
      </c>
      <c r="P34" s="24"/>
      <c r="Q34" s="24"/>
      <c r="R34" s="68"/>
    </row>
    <row r="35" spans="1:47" ht="12.75" customHeight="1" x14ac:dyDescent="0.2">
      <c r="A35" s="13" t="s">
        <v>154</v>
      </c>
      <c r="E35" s="22">
        <f>F238</f>
        <v>0</v>
      </c>
      <c r="F35" s="13" t="s">
        <v>144</v>
      </c>
      <c r="K35" s="67"/>
      <c r="L35" s="24"/>
      <c r="M35" s="27"/>
      <c r="N35" s="27"/>
      <c r="O35" s="24"/>
      <c r="P35" s="24"/>
      <c r="Q35" s="24"/>
      <c r="R35" s="68"/>
    </row>
    <row r="36" spans="1:47" ht="12.75" customHeight="1" thickBot="1" x14ac:dyDescent="0.25">
      <c r="A36" s="17" t="s">
        <v>155</v>
      </c>
      <c r="E36" s="228">
        <f>SUM(E29:E35)</f>
        <v>2148573</v>
      </c>
      <c r="K36" s="67" t="s">
        <v>156</v>
      </c>
      <c r="L36" s="9"/>
      <c r="M36" s="27">
        <f>SUM(M30:M34)</f>
        <v>2488120</v>
      </c>
      <c r="N36" s="27">
        <f>SUM(N30:N34)</f>
        <v>0</v>
      </c>
      <c r="O36" s="24"/>
      <c r="P36" s="24"/>
      <c r="Q36" s="24"/>
      <c r="R36" s="68"/>
    </row>
    <row r="37" spans="1:47" ht="12.75" customHeight="1" thickTop="1" x14ac:dyDescent="0.2">
      <c r="K37" s="206"/>
      <c r="L37" s="9"/>
      <c r="M37" s="9"/>
      <c r="N37" s="9"/>
      <c r="O37" s="24"/>
      <c r="P37" s="24"/>
      <c r="Q37" s="24"/>
      <c r="R37" s="68"/>
    </row>
    <row r="38" spans="1:47" ht="12.75" customHeight="1" thickBot="1" x14ac:dyDescent="0.3">
      <c r="A38" s="16" t="s">
        <v>157</v>
      </c>
      <c r="C38" s="20"/>
      <c r="E38" s="228">
        <f>+E36+E26+E19</f>
        <v>2488120</v>
      </c>
      <c r="K38" s="67"/>
      <c r="L38" s="207" t="s">
        <v>158</v>
      </c>
      <c r="M38" s="208">
        <f>M36-E38</f>
        <v>0</v>
      </c>
      <c r="N38" s="209">
        <f>+N36-E26</f>
        <v>0</v>
      </c>
      <c r="O38" s="24"/>
      <c r="P38" s="24"/>
      <c r="Q38" s="24"/>
      <c r="R38" s="68"/>
      <c r="AN38" s="1"/>
      <c r="AO38" s="1"/>
      <c r="AP38" s="1"/>
      <c r="AQ38" s="1"/>
      <c r="AR38" s="1"/>
      <c r="AS38" s="1"/>
    </row>
    <row r="39" spans="1:47" ht="12.75" customHeight="1" thickTop="1" thickBot="1" x14ac:dyDescent="0.25">
      <c r="K39" s="74"/>
      <c r="L39" s="131"/>
      <c r="M39" s="131"/>
      <c r="N39" s="133"/>
      <c r="O39" s="131"/>
      <c r="P39" s="131"/>
      <c r="Q39" s="131"/>
      <c r="R39" s="132"/>
      <c r="AJ39" s="1"/>
      <c r="AK39" s="1"/>
      <c r="AN39" s="1"/>
      <c r="AO39" s="1"/>
      <c r="AP39" s="1"/>
      <c r="AQ39" s="1"/>
      <c r="AR39" s="1"/>
      <c r="AS39" s="1"/>
    </row>
    <row r="40" spans="1:47" ht="12.75" customHeight="1" x14ac:dyDescent="0.2">
      <c r="K40" s="24"/>
      <c r="L40" s="24"/>
      <c r="M40" s="24"/>
      <c r="N40" s="24"/>
      <c r="O40" s="24"/>
      <c r="P40" s="24"/>
      <c r="AJ40" s="1"/>
      <c r="AK40" s="1"/>
      <c r="AN40" s="1"/>
      <c r="AO40" s="1"/>
      <c r="AP40" s="1"/>
      <c r="AQ40" s="1"/>
      <c r="AR40" s="1"/>
      <c r="AS40" s="1"/>
    </row>
    <row r="41" spans="1:47" ht="12.75" customHeight="1" x14ac:dyDescent="0.25">
      <c r="A41" s="56" t="s">
        <v>159</v>
      </c>
      <c r="B41" s="57"/>
      <c r="K41" s="1"/>
      <c r="L41" s="1"/>
      <c r="M41" s="43"/>
      <c r="N41" s="1"/>
      <c r="O41" s="1"/>
      <c r="P41" s="1"/>
      <c r="AJ41" s="1"/>
      <c r="AK41" s="1"/>
      <c r="AN41" s="1"/>
      <c r="AO41" s="1"/>
      <c r="AP41" s="1"/>
      <c r="AQ41" s="1"/>
      <c r="AR41" s="1"/>
      <c r="AS41" s="1"/>
    </row>
    <row r="42" spans="1:47" ht="12.75" customHeight="1" x14ac:dyDescent="0.2">
      <c r="B42" s="1"/>
      <c r="C42" s="19"/>
      <c r="AI42" s="106" t="s">
        <v>160</v>
      </c>
      <c r="AJ42" s="107"/>
      <c r="AK42" s="1"/>
      <c r="AN42" s="1"/>
      <c r="AO42" s="1"/>
      <c r="AP42" s="1"/>
      <c r="AQ42" s="1"/>
      <c r="AR42" s="1"/>
      <c r="AS42" s="1"/>
    </row>
    <row r="43" spans="1:47" ht="12.75" customHeight="1" x14ac:dyDescent="0.2">
      <c r="A43" s="30"/>
      <c r="B43" s="31" t="s">
        <v>161</v>
      </c>
      <c r="C43" s="32">
        <f t="shared" ref="C43:R43" si="3">SUM(C47:C76)-C61-C68-C69</f>
        <v>403339</v>
      </c>
      <c r="D43" s="32">
        <f t="shared" si="3"/>
        <v>-8675</v>
      </c>
      <c r="E43" s="32">
        <f t="shared" si="3"/>
        <v>-677357</v>
      </c>
      <c r="F43" s="32">
        <f t="shared" si="3"/>
        <v>0</v>
      </c>
      <c r="G43" s="32">
        <f t="shared" si="3"/>
        <v>0</v>
      </c>
      <c r="H43" s="32">
        <f t="shared" si="3"/>
        <v>365244</v>
      </c>
      <c r="I43" s="32">
        <f t="shared" si="3"/>
        <v>514093</v>
      </c>
      <c r="J43" s="32">
        <f t="shared" si="3"/>
        <v>-27370</v>
      </c>
      <c r="K43" s="32">
        <f t="shared" si="3"/>
        <v>-1227804</v>
      </c>
      <c r="L43" s="32">
        <f t="shared" si="3"/>
        <v>105474</v>
      </c>
      <c r="M43" s="32">
        <f t="shared" si="3"/>
        <v>0</v>
      </c>
      <c r="N43" s="32">
        <f t="shared" si="3"/>
        <v>0</v>
      </c>
      <c r="O43" s="32">
        <f t="shared" si="3"/>
        <v>1448531</v>
      </c>
      <c r="P43" s="32">
        <f t="shared" si="3"/>
        <v>145906</v>
      </c>
      <c r="Q43" s="32">
        <f t="shared" si="3"/>
        <v>999035</v>
      </c>
      <c r="R43" s="32">
        <f t="shared" si="3"/>
        <v>-3700256</v>
      </c>
      <c r="S43" s="32">
        <f t="shared" ref="S43:AG43" si="4">SUM(S47:S76)-S61-S68-S69</f>
        <v>1133925</v>
      </c>
      <c r="T43" s="32">
        <f t="shared" si="4"/>
        <v>0</v>
      </c>
      <c r="U43" s="32">
        <f t="shared" si="4"/>
        <v>0</v>
      </c>
      <c r="V43" s="32">
        <f t="shared" si="4"/>
        <v>0</v>
      </c>
      <c r="W43" s="32">
        <f>SUM(W47:W76)-Y61-W68-W69</f>
        <v>0</v>
      </c>
      <c r="X43" s="32">
        <f t="shared" si="4"/>
        <v>0</v>
      </c>
      <c r="Y43" s="32">
        <f t="shared" si="4"/>
        <v>0</v>
      </c>
      <c r="Z43" s="32">
        <f t="shared" si="4"/>
        <v>0</v>
      </c>
      <c r="AA43" s="32">
        <f t="shared" si="4"/>
        <v>0</v>
      </c>
      <c r="AB43" s="32">
        <f t="shared" si="4"/>
        <v>0</v>
      </c>
      <c r="AC43" s="32">
        <f t="shared" si="4"/>
        <v>0</v>
      </c>
      <c r="AD43" s="32">
        <f t="shared" si="4"/>
        <v>0</v>
      </c>
      <c r="AE43" s="32">
        <f t="shared" si="4"/>
        <v>0</v>
      </c>
      <c r="AF43" s="32">
        <f t="shared" si="4"/>
        <v>0</v>
      </c>
      <c r="AG43" s="32">
        <f t="shared" si="4"/>
        <v>0</v>
      </c>
      <c r="AH43" s="1"/>
      <c r="AI43" s="108" t="s">
        <v>162</v>
      </c>
      <c r="AJ43" s="109" t="s">
        <v>163</v>
      </c>
      <c r="AK43" s="1"/>
      <c r="AL43" s="33"/>
      <c r="AN43" s="1"/>
      <c r="AO43" s="1"/>
      <c r="AP43" s="1"/>
      <c r="AQ43" s="1"/>
      <c r="AR43" s="1"/>
      <c r="AS43" s="1"/>
    </row>
    <row r="44" spans="1:47" s="99" customFormat="1" ht="12.75" customHeight="1" x14ac:dyDescent="0.25">
      <c r="A44" s="216" t="s">
        <v>164</v>
      </c>
      <c r="B44" s="116">
        <f>B4</f>
        <v>36831</v>
      </c>
      <c r="C44" s="104">
        <f>B44</f>
        <v>36831</v>
      </c>
      <c r="D44" s="104">
        <f t="shared" ref="D44:S44" si="5">C44+1</f>
        <v>36832</v>
      </c>
      <c r="E44" s="104">
        <f t="shared" si="5"/>
        <v>36833</v>
      </c>
      <c r="F44" s="104">
        <f t="shared" si="5"/>
        <v>36834</v>
      </c>
      <c r="G44" s="104">
        <f t="shared" si="5"/>
        <v>36835</v>
      </c>
      <c r="H44" s="104">
        <f t="shared" si="5"/>
        <v>36836</v>
      </c>
      <c r="I44" s="104">
        <f t="shared" si="5"/>
        <v>36837</v>
      </c>
      <c r="J44" s="104">
        <f t="shared" si="5"/>
        <v>36838</v>
      </c>
      <c r="K44" s="104">
        <f t="shared" si="5"/>
        <v>36839</v>
      </c>
      <c r="L44" s="104">
        <f t="shared" si="5"/>
        <v>36840</v>
      </c>
      <c r="M44" s="104">
        <f t="shared" si="5"/>
        <v>36841</v>
      </c>
      <c r="N44" s="104">
        <f t="shared" si="5"/>
        <v>36842</v>
      </c>
      <c r="O44" s="104">
        <f t="shared" si="5"/>
        <v>36843</v>
      </c>
      <c r="P44" s="104">
        <f t="shared" si="5"/>
        <v>36844</v>
      </c>
      <c r="Q44" s="104">
        <f t="shared" si="5"/>
        <v>36845</v>
      </c>
      <c r="R44" s="104">
        <f t="shared" si="5"/>
        <v>36846</v>
      </c>
      <c r="S44" s="104">
        <f t="shared" si="5"/>
        <v>36847</v>
      </c>
      <c r="T44" s="104">
        <f t="shared" ref="T44:AG44" si="6">S44+1</f>
        <v>36848</v>
      </c>
      <c r="U44" s="104">
        <f t="shared" si="6"/>
        <v>36849</v>
      </c>
      <c r="V44" s="104">
        <f t="shared" si="6"/>
        <v>36850</v>
      </c>
      <c r="W44" s="104">
        <f t="shared" si="6"/>
        <v>36851</v>
      </c>
      <c r="X44" s="104">
        <f t="shared" si="6"/>
        <v>36852</v>
      </c>
      <c r="Y44" s="104">
        <f t="shared" si="6"/>
        <v>36853</v>
      </c>
      <c r="Z44" s="104">
        <f t="shared" si="6"/>
        <v>36854</v>
      </c>
      <c r="AA44" s="104">
        <f t="shared" si="6"/>
        <v>36855</v>
      </c>
      <c r="AB44" s="104">
        <f t="shared" si="6"/>
        <v>36856</v>
      </c>
      <c r="AC44" s="104">
        <f t="shared" si="6"/>
        <v>36857</v>
      </c>
      <c r="AD44" s="104">
        <f t="shared" si="6"/>
        <v>36858</v>
      </c>
      <c r="AE44" s="104">
        <f t="shared" si="6"/>
        <v>36859</v>
      </c>
      <c r="AF44" s="104">
        <f t="shared" si="6"/>
        <v>36860</v>
      </c>
      <c r="AG44" s="104">
        <f t="shared" si="6"/>
        <v>36861</v>
      </c>
      <c r="AI44" s="110">
        <v>1</v>
      </c>
      <c r="AJ44" s="111" t="s">
        <v>165</v>
      </c>
      <c r="AL44" s="100"/>
    </row>
    <row r="45" spans="1:47" ht="12.75" customHeight="1" x14ac:dyDescent="0.25">
      <c r="A45" s="34"/>
      <c r="B45" s="34"/>
      <c r="C45" s="105" t="str">
        <f t="shared" ref="C45:R45" si="7">LOOKUP((WEEKDAY(C44,1)),$AI$44:$AI$50,$AJ$44:$AJ$50)</f>
        <v>W</v>
      </c>
      <c r="D45" s="105" t="str">
        <f t="shared" si="7"/>
        <v>R</v>
      </c>
      <c r="E45" s="105" t="str">
        <f t="shared" si="7"/>
        <v>F</v>
      </c>
      <c r="F45" s="105" t="str">
        <f t="shared" si="7"/>
        <v>S</v>
      </c>
      <c r="G45" s="105" t="str">
        <f t="shared" si="7"/>
        <v>S</v>
      </c>
      <c r="H45" s="105" t="str">
        <f t="shared" si="7"/>
        <v>M</v>
      </c>
      <c r="I45" s="105" t="str">
        <f t="shared" si="7"/>
        <v>T</v>
      </c>
      <c r="J45" s="105" t="str">
        <f t="shared" si="7"/>
        <v>W</v>
      </c>
      <c r="K45" s="105" t="str">
        <f t="shared" si="7"/>
        <v>R</v>
      </c>
      <c r="L45" s="105" t="str">
        <f t="shared" si="7"/>
        <v>F</v>
      </c>
      <c r="M45" s="105" t="str">
        <f t="shared" si="7"/>
        <v>S</v>
      </c>
      <c r="N45" s="105" t="str">
        <f t="shared" si="7"/>
        <v>S</v>
      </c>
      <c r="O45" s="105" t="str">
        <f t="shared" si="7"/>
        <v>M</v>
      </c>
      <c r="P45" s="105" t="str">
        <f t="shared" si="7"/>
        <v>T</v>
      </c>
      <c r="Q45" s="105" t="str">
        <f t="shared" si="7"/>
        <v>W</v>
      </c>
      <c r="R45" s="105" t="str">
        <f t="shared" si="7"/>
        <v>R</v>
      </c>
      <c r="S45" s="105" t="str">
        <f t="shared" ref="S45:AG45" si="8">LOOKUP((WEEKDAY(S44,1)),$AI$44:$AI$50,$AJ$44:$AJ$50)</f>
        <v>F</v>
      </c>
      <c r="T45" s="105" t="str">
        <f t="shared" si="8"/>
        <v>S</v>
      </c>
      <c r="U45" s="105" t="str">
        <f t="shared" si="8"/>
        <v>S</v>
      </c>
      <c r="V45" s="105" t="str">
        <f t="shared" si="8"/>
        <v>M</v>
      </c>
      <c r="W45" s="105" t="str">
        <f t="shared" si="8"/>
        <v>T</v>
      </c>
      <c r="X45" s="105" t="str">
        <f t="shared" si="8"/>
        <v>W</v>
      </c>
      <c r="Y45" s="105" t="str">
        <f t="shared" si="8"/>
        <v>R</v>
      </c>
      <c r="Z45" s="105" t="str">
        <f t="shared" si="8"/>
        <v>F</v>
      </c>
      <c r="AA45" s="105" t="str">
        <f t="shared" si="8"/>
        <v>S</v>
      </c>
      <c r="AB45" s="105" t="str">
        <f t="shared" si="8"/>
        <v>S</v>
      </c>
      <c r="AC45" s="105" t="str">
        <f t="shared" si="8"/>
        <v>M</v>
      </c>
      <c r="AD45" s="105" t="str">
        <f t="shared" si="8"/>
        <v>T</v>
      </c>
      <c r="AE45" s="105" t="str">
        <f t="shared" si="8"/>
        <v>W</v>
      </c>
      <c r="AF45" s="105" t="str">
        <f t="shared" si="8"/>
        <v>R</v>
      </c>
      <c r="AG45" s="105" t="str">
        <f t="shared" si="8"/>
        <v>F</v>
      </c>
      <c r="AH45" s="1"/>
      <c r="AI45" s="112">
        <v>2</v>
      </c>
      <c r="AJ45" s="113" t="s">
        <v>166</v>
      </c>
      <c r="AK45" s="1"/>
      <c r="AL45" s="24"/>
      <c r="AN45" s="1"/>
      <c r="AO45" s="1"/>
      <c r="AP45" s="1"/>
      <c r="AQ45" s="1"/>
      <c r="AR45" s="1"/>
      <c r="AS45" s="1"/>
    </row>
    <row r="46" spans="1:47" ht="12.75" customHeight="1" thickBot="1" x14ac:dyDescent="0.3">
      <c r="A46" s="217"/>
      <c r="B46" s="35" t="s">
        <v>167</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168</v>
      </c>
      <c r="AK46" s="1"/>
      <c r="AL46" s="24"/>
      <c r="AN46" s="1"/>
      <c r="AO46" s="1"/>
      <c r="AP46" s="1"/>
      <c r="AQ46" s="1"/>
      <c r="AR46" s="1"/>
      <c r="AS46" s="1"/>
    </row>
    <row r="47" spans="1:47" ht="12.75" customHeight="1" thickTop="1" x14ac:dyDescent="0.2">
      <c r="A47" s="22" t="s">
        <v>169</v>
      </c>
      <c r="B47" s="39">
        <f t="shared" ref="B47:B62" si="9">SUM(C47:AG47)</f>
        <v>-1608325</v>
      </c>
      <c r="C47" s="20">
        <v>-94884</v>
      </c>
      <c r="D47" s="20">
        <f>592079-632425</f>
        <v>-40346</v>
      </c>
      <c r="E47" s="20">
        <v>-282342</v>
      </c>
      <c r="F47" s="20"/>
      <c r="G47" s="20"/>
      <c r="H47" s="20">
        <v>-7124</v>
      </c>
      <c r="I47" s="20">
        <v>868634</v>
      </c>
      <c r="J47" s="20">
        <v>-1657410</v>
      </c>
      <c r="K47" s="20">
        <v>-160466</v>
      </c>
      <c r="L47" s="20">
        <v>-108631</v>
      </c>
      <c r="M47" s="20"/>
      <c r="N47" s="20"/>
      <c r="O47" s="20">
        <v>1351214</v>
      </c>
      <c r="P47" s="20">
        <f>1524698-23</f>
        <v>1524675</v>
      </c>
      <c r="Q47" s="20">
        <f>960346+26873</f>
        <v>987219</v>
      </c>
      <c r="R47" s="20">
        <v>-4046578</v>
      </c>
      <c r="S47" s="20">
        <v>57714</v>
      </c>
      <c r="T47" s="20"/>
      <c r="U47" s="20"/>
      <c r="V47" s="20"/>
      <c r="X47" s="20"/>
      <c r="Y47" s="20"/>
      <c r="Z47" s="20"/>
      <c r="AA47" s="20"/>
      <c r="AB47" s="20"/>
      <c r="AC47" s="20"/>
      <c r="AD47" s="20"/>
      <c r="AE47" s="20"/>
      <c r="AF47" s="20"/>
      <c r="AG47" s="20"/>
      <c r="AH47" s="1"/>
      <c r="AI47" s="112">
        <v>4</v>
      </c>
      <c r="AJ47" s="113" t="s">
        <v>170</v>
      </c>
      <c r="AK47" s="1"/>
      <c r="AL47" s="41"/>
      <c r="AM47" s="42"/>
      <c r="AN47" s="43"/>
      <c r="AO47" s="1"/>
      <c r="AP47" s="1"/>
      <c r="AQ47" s="1"/>
      <c r="AR47" s="1"/>
      <c r="AS47" s="1"/>
    </row>
    <row r="48" spans="1:47" ht="12.75" customHeight="1" x14ac:dyDescent="0.2">
      <c r="A48" s="44" t="s">
        <v>171</v>
      </c>
      <c r="B48" s="39">
        <f t="shared" si="9"/>
        <v>-249238</v>
      </c>
      <c r="C48" s="20">
        <v>-156453</v>
      </c>
      <c r="D48" s="20">
        <v>124887</v>
      </c>
      <c r="E48" s="20">
        <v>4987</v>
      </c>
      <c r="F48" s="20"/>
      <c r="G48" s="20"/>
      <c r="H48" s="20">
        <v>227345</v>
      </c>
      <c r="I48" s="20">
        <v>33901</v>
      </c>
      <c r="J48" s="20">
        <v>-36384</v>
      </c>
      <c r="K48" s="20">
        <v>86023</v>
      </c>
      <c r="L48" s="20">
        <v>59406</v>
      </c>
      <c r="M48" s="20"/>
      <c r="N48" s="20"/>
      <c r="O48" s="20">
        <v>-37523</v>
      </c>
      <c r="P48" s="20">
        <f>-342241+142508</f>
        <v>-199733</v>
      </c>
      <c r="Q48" s="20">
        <v>-136337</v>
      </c>
      <c r="R48" s="20">
        <v>-28292</v>
      </c>
      <c r="S48" s="20">
        <v>-191065</v>
      </c>
      <c r="T48" s="20"/>
      <c r="U48" s="20"/>
      <c r="V48" s="20"/>
      <c r="X48" s="20"/>
      <c r="Y48" s="20"/>
      <c r="Z48" s="20"/>
      <c r="AA48" s="20"/>
      <c r="AB48" s="20"/>
      <c r="AC48" s="20"/>
      <c r="AD48" s="20"/>
      <c r="AE48" s="20"/>
      <c r="AF48" s="20"/>
      <c r="AG48" s="20"/>
      <c r="AH48" s="1"/>
      <c r="AI48" s="112">
        <v>5</v>
      </c>
      <c r="AJ48" s="113" t="s">
        <v>172</v>
      </c>
      <c r="AK48" s="1"/>
      <c r="AL48" s="41"/>
      <c r="AM48" s="45"/>
      <c r="AN48" s="47"/>
      <c r="AO48" s="41"/>
      <c r="AP48" s="41"/>
      <c r="AQ48" s="41"/>
      <c r="AR48" s="41"/>
      <c r="AS48" s="41"/>
      <c r="AT48" s="46"/>
      <c r="AU48" s="46"/>
    </row>
    <row r="49" spans="1:50" ht="12.75" hidden="1" customHeight="1" x14ac:dyDescent="0.2">
      <c r="A49" s="44" t="s">
        <v>173</v>
      </c>
      <c r="B49" s="39">
        <f t="shared" si="9"/>
        <v>0</v>
      </c>
      <c r="C49" s="20"/>
      <c r="D49" s="20"/>
      <c r="E49" s="20"/>
      <c r="F49" s="20"/>
      <c r="G49" s="20"/>
      <c r="H49" s="20"/>
      <c r="I49" s="20"/>
      <c r="J49" s="20"/>
      <c r="K49" s="20"/>
      <c r="L49" s="20"/>
      <c r="M49" s="20"/>
      <c r="N49" s="20"/>
      <c r="O49" s="20"/>
      <c r="P49" s="20"/>
      <c r="Q49" s="20"/>
      <c r="R49" s="20"/>
      <c r="S49" s="20"/>
      <c r="T49" s="20"/>
      <c r="U49" s="20"/>
      <c r="V49" s="20"/>
      <c r="X49" s="20"/>
      <c r="Y49" s="20"/>
      <c r="Z49" s="20"/>
      <c r="AA49" s="20"/>
      <c r="AB49" s="20"/>
      <c r="AC49" s="20"/>
      <c r="AD49" s="20"/>
      <c r="AE49" s="20"/>
      <c r="AF49" s="20"/>
      <c r="AG49" s="20"/>
      <c r="AH49" s="1"/>
      <c r="AI49" s="112">
        <v>6</v>
      </c>
      <c r="AJ49" s="113" t="s">
        <v>174</v>
      </c>
      <c r="AK49" s="1"/>
      <c r="AL49" s="41"/>
      <c r="AM49" s="45"/>
      <c r="AN49" s="47"/>
      <c r="AO49" s="41"/>
      <c r="AP49" s="41"/>
      <c r="AQ49" s="41"/>
      <c r="AR49" s="41"/>
      <c r="AS49" s="41"/>
      <c r="AT49" s="46"/>
      <c r="AU49" s="46"/>
    </row>
    <row r="50" spans="1:50" ht="12.75" hidden="1" customHeight="1" x14ac:dyDescent="0.2">
      <c r="A50" s="44" t="s">
        <v>175</v>
      </c>
      <c r="B50" s="39">
        <f t="shared" si="9"/>
        <v>0</v>
      </c>
      <c r="C50" s="20"/>
      <c r="D50" s="20"/>
      <c r="E50" s="20"/>
      <c r="F50" s="20"/>
      <c r="G50" s="20"/>
      <c r="H50" s="20"/>
      <c r="I50" s="20"/>
      <c r="J50" s="20"/>
      <c r="K50" s="20"/>
      <c r="L50" s="20"/>
      <c r="M50" s="20"/>
      <c r="N50" s="20"/>
      <c r="O50" s="20"/>
      <c r="P50" s="20"/>
      <c r="Q50" s="20"/>
      <c r="R50" s="20"/>
      <c r="S50" s="20"/>
      <c r="T50" s="20"/>
      <c r="U50" s="20"/>
      <c r="V50" s="20"/>
      <c r="X50" s="20"/>
      <c r="Y50" s="20"/>
      <c r="Z50" s="20"/>
      <c r="AA50" s="20"/>
      <c r="AB50" s="20"/>
      <c r="AC50" s="20"/>
      <c r="AD50" s="20"/>
      <c r="AE50" s="20"/>
      <c r="AF50" s="20"/>
      <c r="AG50" s="20"/>
      <c r="AH50" s="1"/>
      <c r="AI50" s="114">
        <v>7</v>
      </c>
      <c r="AJ50" s="115" t="s">
        <v>165</v>
      </c>
      <c r="AK50" s="1"/>
      <c r="AL50" s="48"/>
      <c r="AM50" s="48"/>
      <c r="AN50" s="47"/>
      <c r="AO50" s="41"/>
      <c r="AP50" s="41"/>
      <c r="AQ50" s="41"/>
      <c r="AR50" s="41"/>
      <c r="AS50" s="41"/>
      <c r="AT50" s="46"/>
      <c r="AU50" s="46"/>
    </row>
    <row r="51" spans="1:50" ht="12.75" customHeight="1" x14ac:dyDescent="0.2">
      <c r="A51" s="44" t="s">
        <v>176</v>
      </c>
      <c r="B51" s="39">
        <f t="shared" si="9"/>
        <v>15908431</v>
      </c>
      <c r="C51" s="20">
        <v>5603463</v>
      </c>
      <c r="D51" s="20">
        <v>-871609</v>
      </c>
      <c r="E51" s="20">
        <v>412984</v>
      </c>
      <c r="F51" s="20"/>
      <c r="G51" s="20"/>
      <c r="H51" s="20">
        <v>-759430</v>
      </c>
      <c r="I51" s="20">
        <v>1245990</v>
      </c>
      <c r="J51" s="20">
        <v>2655709</v>
      </c>
      <c r="K51" s="20">
        <v>2920177</v>
      </c>
      <c r="L51" s="20">
        <v>-2540439</v>
      </c>
      <c r="M51" s="20"/>
      <c r="N51" s="20"/>
      <c r="O51" s="20">
        <v>738543</v>
      </c>
      <c r="P51" s="20">
        <v>623486</v>
      </c>
      <c r="Q51" s="20">
        <v>3504860</v>
      </c>
      <c r="R51" s="20">
        <v>440906</v>
      </c>
      <c r="S51" s="20">
        <v>1933791</v>
      </c>
      <c r="T51" s="20"/>
      <c r="U51" s="20"/>
      <c r="V51" s="20"/>
      <c r="X51" s="20"/>
      <c r="Y51" s="20"/>
      <c r="Z51" s="20"/>
      <c r="AA51" s="20"/>
      <c r="AB51" s="20"/>
      <c r="AC51" s="20"/>
      <c r="AD51" s="20"/>
      <c r="AE51" s="20"/>
      <c r="AF51" s="20"/>
      <c r="AG51" s="20"/>
      <c r="AH51" s="1"/>
      <c r="AI51" s="46"/>
      <c r="AJ51" s="1"/>
      <c r="AK51" s="1"/>
      <c r="AL51" s="48"/>
      <c r="AM51" s="42"/>
      <c r="AN51" s="43"/>
      <c r="AO51" s="1"/>
      <c r="AP51" s="1"/>
      <c r="AQ51" s="1"/>
      <c r="AR51" s="1"/>
      <c r="AS51" s="1"/>
    </row>
    <row r="52" spans="1:50" ht="12.75" hidden="1" customHeight="1" x14ac:dyDescent="0.2">
      <c r="A52" s="44" t="s">
        <v>177</v>
      </c>
      <c r="B52" s="39">
        <f t="shared" si="9"/>
        <v>0</v>
      </c>
      <c r="C52" s="20"/>
      <c r="D52" s="20"/>
      <c r="E52" s="20"/>
      <c r="F52" s="20"/>
      <c r="G52" s="20"/>
      <c r="H52" s="20"/>
      <c r="I52" s="20"/>
      <c r="J52" s="20"/>
      <c r="K52" s="20"/>
      <c r="L52" s="20"/>
      <c r="M52" s="20"/>
      <c r="N52" s="20"/>
      <c r="O52" s="20"/>
      <c r="P52" s="20"/>
      <c r="Q52" s="20"/>
      <c r="R52" s="20"/>
      <c r="S52" s="20"/>
      <c r="T52" s="20"/>
      <c r="U52" s="20"/>
      <c r="V52" s="20"/>
      <c r="X52" s="20"/>
      <c r="Y52" s="20"/>
      <c r="Z52" s="20"/>
      <c r="AA52" s="20"/>
      <c r="AB52" s="20"/>
      <c r="AC52" s="20"/>
      <c r="AD52" s="20"/>
      <c r="AE52" s="20"/>
      <c r="AF52" s="20"/>
      <c r="AG52" s="20"/>
      <c r="AH52" s="1"/>
      <c r="AI52" s="46"/>
      <c r="AJ52" s="1"/>
      <c r="AK52" s="1"/>
      <c r="AL52" s="48"/>
      <c r="AM52" s="42"/>
      <c r="AN52" s="43"/>
      <c r="AO52" s="1"/>
      <c r="AP52" s="1"/>
      <c r="AQ52" s="1"/>
      <c r="AR52" s="1"/>
      <c r="AS52" s="1"/>
    </row>
    <row r="53" spans="1:50" ht="12.75" customHeight="1" x14ac:dyDescent="0.2">
      <c r="A53" s="22" t="s">
        <v>178</v>
      </c>
      <c r="B53" s="39">
        <f t="shared" si="9"/>
        <v>1550840</v>
      </c>
      <c r="C53" s="20">
        <f>542372-12297</f>
        <v>530075</v>
      </c>
      <c r="D53" s="20">
        <f>-13595-24907</f>
        <v>-38502</v>
      </c>
      <c r="E53" s="20">
        <v>-399750</v>
      </c>
      <c r="F53" s="20"/>
      <c r="G53" s="20"/>
      <c r="H53" s="20">
        <f>174000-4191</f>
        <v>169809</v>
      </c>
      <c r="I53" s="20">
        <v>-393038</v>
      </c>
      <c r="J53" s="20">
        <v>1706564</v>
      </c>
      <c r="K53" s="20">
        <f>-1071525+154178</f>
        <v>-917347</v>
      </c>
      <c r="L53" s="20">
        <f>161502+11508</f>
        <v>173010</v>
      </c>
      <c r="M53" s="20"/>
      <c r="N53" s="20"/>
      <c r="O53" s="20">
        <v>136887</v>
      </c>
      <c r="P53" s="20">
        <f>-1207004-7252</f>
        <v>-1214256</v>
      </c>
      <c r="Q53" s="20">
        <f>-65823+184030</f>
        <v>118207</v>
      </c>
      <c r="R53" s="20">
        <v>389989</v>
      </c>
      <c r="S53" s="20">
        <v>1289192</v>
      </c>
      <c r="T53" s="20"/>
      <c r="U53" s="20"/>
      <c r="V53" s="20"/>
      <c r="X53" s="20"/>
      <c r="Y53" s="20"/>
      <c r="Z53" s="20"/>
      <c r="AA53" s="20"/>
      <c r="AB53" s="20"/>
      <c r="AC53" s="20"/>
      <c r="AD53" s="20"/>
      <c r="AE53" s="20"/>
      <c r="AF53" s="20"/>
      <c r="AG53" s="20"/>
      <c r="AH53" s="1"/>
      <c r="AJ53" s="1"/>
      <c r="AK53" s="1"/>
      <c r="AL53" s="41"/>
      <c r="AM53" s="42"/>
      <c r="AN53" s="43"/>
      <c r="AO53" s="1"/>
      <c r="AP53" s="1"/>
      <c r="AQ53" s="1"/>
      <c r="AR53" s="1"/>
      <c r="AS53" s="1"/>
    </row>
    <row r="54" spans="1:50" ht="12.75" customHeight="1" x14ac:dyDescent="0.2">
      <c r="A54" s="22" t="s">
        <v>179</v>
      </c>
      <c r="B54" s="39">
        <f t="shared" si="9"/>
        <v>-16113491</v>
      </c>
      <c r="C54" s="20">
        <v>-5476887</v>
      </c>
      <c r="D54" s="20">
        <v>818000</v>
      </c>
      <c r="E54" s="20">
        <v>-412715</v>
      </c>
      <c r="F54" s="20"/>
      <c r="G54" s="20"/>
      <c r="H54" s="20">
        <v>737022</v>
      </c>
      <c r="I54" s="20">
        <v>-1242611</v>
      </c>
      <c r="J54" s="20">
        <v>-2688061</v>
      </c>
      <c r="K54" s="20">
        <v>-3155387</v>
      </c>
      <c r="L54" s="20">
        <v>2522513</v>
      </c>
      <c r="M54" s="20"/>
      <c r="N54" s="20"/>
      <c r="O54" s="20">
        <v>-740395</v>
      </c>
      <c r="P54" s="20">
        <v>-588695</v>
      </c>
      <c r="Q54" s="20">
        <v>-3479023</v>
      </c>
      <c r="R54" s="20">
        <v>-452215</v>
      </c>
      <c r="S54" s="20">
        <v>-1955037</v>
      </c>
      <c r="T54" s="20"/>
      <c r="U54" s="20"/>
      <c r="V54" s="20"/>
      <c r="X54" s="20"/>
      <c r="Y54" s="20"/>
      <c r="Z54" s="20"/>
      <c r="AA54" s="20"/>
      <c r="AB54" s="20"/>
      <c r="AC54" s="20"/>
      <c r="AD54" s="20"/>
      <c r="AE54" s="20"/>
      <c r="AF54" s="20"/>
      <c r="AG54" s="20"/>
      <c r="AH54" s="1"/>
      <c r="AJ54" s="1"/>
      <c r="AK54" s="1"/>
      <c r="AL54" s="41"/>
      <c r="AM54" s="42"/>
      <c r="AN54" s="43"/>
      <c r="AO54" s="1"/>
      <c r="AP54" s="1"/>
      <c r="AQ54" s="1"/>
      <c r="AR54" s="1"/>
      <c r="AS54" s="1"/>
    </row>
    <row r="55" spans="1:50" ht="12.75" customHeight="1" x14ac:dyDescent="0.2">
      <c r="A55" s="22" t="s">
        <v>180</v>
      </c>
      <c r="B55" s="39">
        <f t="shared" si="9"/>
        <v>0</v>
      </c>
      <c r="C55" s="20"/>
      <c r="D55" s="20"/>
      <c r="E55" s="20"/>
      <c r="F55" s="20"/>
      <c r="G55" s="20"/>
      <c r="H55" s="20"/>
      <c r="I55" s="20"/>
      <c r="J55" s="20"/>
      <c r="K55" s="20"/>
      <c r="L55" s="20"/>
      <c r="M55" s="20"/>
      <c r="N55" s="20"/>
      <c r="O55" s="20"/>
      <c r="P55" s="20"/>
      <c r="Q55" s="20"/>
      <c r="R55" s="20"/>
      <c r="S55" s="20"/>
      <c r="T55" s="20"/>
      <c r="U55" s="20"/>
      <c r="V55" s="20"/>
      <c r="X55" s="20"/>
      <c r="Y55" s="20"/>
      <c r="Z55" s="20"/>
      <c r="AA55" s="20"/>
      <c r="AB55" s="20"/>
      <c r="AC55" s="20"/>
      <c r="AD55" s="20"/>
      <c r="AE55" s="20"/>
      <c r="AF55" s="20"/>
      <c r="AG55" s="20"/>
      <c r="AH55" s="1"/>
      <c r="AJ55" s="1"/>
      <c r="AK55" s="1"/>
      <c r="AL55" s="41"/>
      <c r="AM55" s="42"/>
      <c r="AN55" s="43"/>
      <c r="AO55" s="1"/>
      <c r="AP55" s="1"/>
      <c r="AQ55" s="1"/>
      <c r="AR55" s="1"/>
      <c r="AS55" s="1"/>
    </row>
    <row r="56" spans="1:50" ht="12.75" customHeight="1" x14ac:dyDescent="0.2">
      <c r="A56" s="22" t="s">
        <v>181</v>
      </c>
      <c r="B56" s="39">
        <f t="shared" si="9"/>
        <v>0</v>
      </c>
      <c r="C56" s="20"/>
      <c r="D56" s="20"/>
      <c r="E56" s="20"/>
      <c r="F56" s="20"/>
      <c r="G56" s="20"/>
      <c r="H56" s="20"/>
      <c r="I56" s="20"/>
      <c r="J56" s="20"/>
      <c r="K56" s="20"/>
      <c r="L56" s="20"/>
      <c r="M56" s="20"/>
      <c r="N56" s="20"/>
      <c r="O56" s="20"/>
      <c r="P56" s="20"/>
      <c r="Q56" s="20"/>
      <c r="R56" s="20"/>
      <c r="S56" s="20"/>
      <c r="T56" s="20"/>
      <c r="U56" s="20"/>
      <c r="V56" s="20"/>
      <c r="X56" s="20"/>
      <c r="Y56" s="20"/>
      <c r="Z56" s="20"/>
      <c r="AA56" s="20"/>
      <c r="AB56" s="20"/>
      <c r="AC56" s="20"/>
      <c r="AD56" s="20"/>
      <c r="AE56" s="20"/>
      <c r="AF56" s="20"/>
      <c r="AG56" s="20"/>
      <c r="AH56" s="1"/>
      <c r="AI56" s="46"/>
      <c r="AJ56" s="1"/>
      <c r="AK56" s="1"/>
      <c r="AL56" s="41"/>
      <c r="AM56" s="42"/>
      <c r="AN56" s="43"/>
      <c r="AO56" s="1"/>
      <c r="AP56" s="1"/>
      <c r="AQ56" s="1"/>
      <c r="AR56" s="1"/>
      <c r="AS56" s="1"/>
    </row>
    <row r="57" spans="1:50" ht="12.75" customHeight="1" x14ac:dyDescent="0.2">
      <c r="A57" s="44" t="s">
        <v>182</v>
      </c>
      <c r="B57" s="39">
        <f t="shared" si="9"/>
        <v>0</v>
      </c>
      <c r="C57" s="20"/>
      <c r="D57" s="20"/>
      <c r="E57" s="20"/>
      <c r="F57" s="20"/>
      <c r="G57" s="20"/>
      <c r="H57" s="20"/>
      <c r="I57" s="20"/>
      <c r="J57" s="20"/>
      <c r="K57" s="20"/>
      <c r="L57" s="20"/>
      <c r="M57" s="20"/>
      <c r="N57" s="20"/>
      <c r="O57" s="20"/>
      <c r="P57" s="20"/>
      <c r="Q57" s="20"/>
      <c r="R57" s="20"/>
      <c r="S57" s="20"/>
      <c r="T57" s="20"/>
      <c r="U57" s="20"/>
      <c r="V57" s="20"/>
      <c r="X57" s="20"/>
      <c r="Y57" s="20"/>
      <c r="Z57" s="20"/>
      <c r="AA57" s="20"/>
      <c r="AB57" s="20"/>
      <c r="AC57" s="20"/>
      <c r="AD57" s="20"/>
      <c r="AE57" s="20"/>
      <c r="AF57" s="20"/>
      <c r="AG57" s="20"/>
      <c r="AH57" s="1"/>
      <c r="AI57" s="46"/>
      <c r="AJ57" s="1"/>
      <c r="AK57" s="1"/>
      <c r="AL57" s="41"/>
      <c r="AM57" s="42"/>
      <c r="AN57" s="43"/>
      <c r="AO57" s="1"/>
      <c r="AP57" s="1"/>
      <c r="AQ57" s="1"/>
      <c r="AR57" s="1"/>
      <c r="AS57" s="1"/>
    </row>
    <row r="58" spans="1:50" ht="12.75" customHeight="1" x14ac:dyDescent="0.2">
      <c r="A58" s="44" t="s">
        <v>183</v>
      </c>
      <c r="B58" s="39">
        <f t="shared" si="9"/>
        <v>-666</v>
      </c>
      <c r="C58" s="20">
        <v>511</v>
      </c>
      <c r="D58" s="20">
        <v>-423</v>
      </c>
      <c r="E58" s="20">
        <v>-162</v>
      </c>
      <c r="F58" s="20"/>
      <c r="G58" s="20"/>
      <c r="H58" s="20">
        <v>-251</v>
      </c>
      <c r="I58" s="20">
        <v>457</v>
      </c>
      <c r="J58" s="20">
        <v>-356</v>
      </c>
      <c r="K58" s="20">
        <v>38</v>
      </c>
      <c r="L58" s="20">
        <v>-328</v>
      </c>
      <c r="M58" s="20"/>
      <c r="N58" s="20"/>
      <c r="O58" s="20">
        <v>72</v>
      </c>
      <c r="P58" s="20">
        <v>222</v>
      </c>
      <c r="Q58" s="20">
        <v>201</v>
      </c>
      <c r="R58" s="20">
        <v>84</v>
      </c>
      <c r="S58" s="20">
        <v>-731</v>
      </c>
      <c r="T58" s="20"/>
      <c r="U58" s="20"/>
      <c r="V58" s="20"/>
      <c r="X58" s="20"/>
      <c r="Y58" s="20"/>
      <c r="Z58" s="20"/>
      <c r="AA58" s="20"/>
      <c r="AB58" s="20"/>
      <c r="AC58" s="20"/>
      <c r="AD58" s="20"/>
      <c r="AE58" s="20"/>
      <c r="AF58" s="20"/>
      <c r="AG58" s="20"/>
      <c r="AH58" s="1"/>
      <c r="AI58" s="46"/>
      <c r="AJ58" s="1"/>
      <c r="AK58" s="1"/>
      <c r="AL58" s="41"/>
      <c r="AM58" s="48"/>
      <c r="AN58" s="47"/>
      <c r="AO58" s="41"/>
      <c r="AP58" s="41"/>
      <c r="AQ58" s="41"/>
      <c r="AR58" s="41"/>
      <c r="AS58" s="41"/>
      <c r="AT58" s="46"/>
      <c r="AU58" s="46"/>
      <c r="AV58" s="46"/>
      <c r="AW58" s="46"/>
      <c r="AX58" s="46"/>
    </row>
    <row r="59" spans="1:50" ht="12.75" customHeight="1" x14ac:dyDescent="0.2">
      <c r="A59" s="44" t="s">
        <v>184</v>
      </c>
      <c r="B59" s="39">
        <f t="shared" si="9"/>
        <v>60185</v>
      </c>
      <c r="C59" s="20">
        <v>3146</v>
      </c>
      <c r="D59" s="20">
        <v>3122</v>
      </c>
      <c r="E59" s="20">
        <v>3107</v>
      </c>
      <c r="F59" s="20"/>
      <c r="G59" s="20"/>
      <c r="H59" s="20">
        <v>9195</v>
      </c>
      <c r="I59" s="20">
        <v>3015</v>
      </c>
      <c r="J59" s="20">
        <v>3285</v>
      </c>
      <c r="K59" s="20">
        <v>3707</v>
      </c>
      <c r="L59" s="20">
        <v>3955</v>
      </c>
      <c r="M59" s="20"/>
      <c r="N59" s="20"/>
      <c r="O59" s="20">
        <v>10752</v>
      </c>
      <c r="P59" s="20">
        <v>3947</v>
      </c>
      <c r="Q59" s="20">
        <v>4028</v>
      </c>
      <c r="R59" s="20">
        <v>4722</v>
      </c>
      <c r="S59" s="20">
        <v>4204</v>
      </c>
      <c r="T59" s="20"/>
      <c r="U59" s="20"/>
      <c r="V59" s="20"/>
      <c r="X59" s="20"/>
      <c r="Y59" s="20"/>
      <c r="Z59" s="20"/>
      <c r="AA59" s="20"/>
      <c r="AB59" s="20"/>
      <c r="AC59" s="20"/>
      <c r="AD59" s="20"/>
      <c r="AE59" s="20"/>
      <c r="AF59" s="20"/>
      <c r="AG59" s="20"/>
      <c r="AH59" s="1"/>
      <c r="AI59" s="46"/>
      <c r="AJ59" s="1"/>
      <c r="AK59" s="1"/>
      <c r="AL59" s="41"/>
      <c r="AM59" s="48"/>
      <c r="AN59" s="47"/>
      <c r="AO59" s="41"/>
      <c r="AP59" s="41"/>
      <c r="AQ59" s="41"/>
      <c r="AR59" s="41"/>
      <c r="AS59" s="41"/>
      <c r="AT59" s="46"/>
      <c r="AU59" s="46"/>
      <c r="AV59" s="46"/>
      <c r="AW59" s="46"/>
      <c r="AX59" s="46"/>
    </row>
    <row r="60" spans="1:50" ht="12.75" customHeight="1" x14ac:dyDescent="0.2">
      <c r="A60" s="44" t="s">
        <v>185</v>
      </c>
      <c r="B60" s="39">
        <f t="shared" si="9"/>
        <v>0</v>
      </c>
      <c r="C60" s="20"/>
      <c r="D60" s="20"/>
      <c r="E60" s="20"/>
      <c r="F60" s="20"/>
      <c r="G60" s="20"/>
      <c r="H60" s="20"/>
      <c r="I60" s="20"/>
      <c r="J60" s="20"/>
      <c r="K60" s="20"/>
      <c r="L60" s="20"/>
      <c r="M60" s="20"/>
      <c r="N60" s="20"/>
      <c r="O60" s="20"/>
      <c r="P60" s="20"/>
      <c r="Q60" s="20"/>
      <c r="R60" s="20"/>
      <c r="S60" s="20"/>
      <c r="T60" s="20"/>
      <c r="U60" s="20"/>
      <c r="V60" s="20"/>
      <c r="X60" s="20"/>
      <c r="Y60" s="20"/>
      <c r="Z60" s="20"/>
      <c r="AA60" s="20"/>
      <c r="AB60" s="20"/>
      <c r="AC60" s="20"/>
      <c r="AD60" s="20"/>
      <c r="AE60" s="20"/>
      <c r="AF60" s="20"/>
      <c r="AG60" s="20"/>
      <c r="AH60" s="1"/>
      <c r="AI60" s="46"/>
      <c r="AJ60" s="1"/>
      <c r="AK60" s="1"/>
      <c r="AL60" s="41"/>
      <c r="AM60" s="48"/>
      <c r="AN60" s="47"/>
      <c r="AO60" s="41"/>
      <c r="AP60" s="41"/>
      <c r="AQ60" s="41"/>
      <c r="AR60" s="41"/>
      <c r="AS60" s="41"/>
      <c r="AT60" s="46"/>
      <c r="AU60" s="46"/>
      <c r="AV60" s="46"/>
      <c r="AW60" s="46"/>
      <c r="AX60" s="46"/>
    </row>
    <row r="61" spans="1:50" ht="12.75" customHeight="1" x14ac:dyDescent="0.2">
      <c r="A61" s="44" t="s">
        <v>186</v>
      </c>
      <c r="B61" s="39">
        <f t="shared" si="9"/>
        <v>-283140</v>
      </c>
      <c r="C61" s="20">
        <f>-283140</f>
        <v>-283140</v>
      </c>
      <c r="D61" s="20"/>
      <c r="E61" s="20"/>
      <c r="F61" s="20"/>
      <c r="G61" s="20"/>
      <c r="H61" s="20"/>
      <c r="I61" s="20"/>
      <c r="J61" s="20"/>
      <c r="K61" s="20"/>
      <c r="L61" s="20"/>
      <c r="M61" s="20"/>
      <c r="N61" s="20"/>
      <c r="O61" s="20"/>
      <c r="P61" s="20"/>
      <c r="Q61" s="20"/>
      <c r="R61" s="20"/>
      <c r="S61" s="20"/>
      <c r="T61" s="20"/>
      <c r="U61" s="20"/>
      <c r="V61" s="20"/>
      <c r="X61" s="20"/>
      <c r="Y61" s="20"/>
      <c r="Z61" s="20"/>
      <c r="AA61" s="20"/>
      <c r="AB61" s="20"/>
      <c r="AC61" s="20"/>
      <c r="AD61" s="20"/>
      <c r="AE61" s="20"/>
      <c r="AF61" s="20"/>
      <c r="AG61" s="20"/>
      <c r="AH61" s="1"/>
      <c r="AJ61" s="1"/>
      <c r="AK61" s="1"/>
      <c r="AL61" s="41"/>
      <c r="AM61" s="42"/>
      <c r="AN61" s="43"/>
      <c r="AO61" s="1"/>
      <c r="AP61" s="1"/>
      <c r="AQ61" s="1"/>
      <c r="AR61" s="1"/>
      <c r="AS61" s="1"/>
    </row>
    <row r="62" spans="1:50" ht="12.75" customHeight="1" x14ac:dyDescent="0.2">
      <c r="A62" s="44" t="s">
        <v>187</v>
      </c>
      <c r="B62" s="39">
        <f t="shared" si="9"/>
        <v>-4647</v>
      </c>
      <c r="C62" s="20">
        <f>999-1849+1-1041</f>
        <v>-1890</v>
      </c>
      <c r="D62" s="20">
        <f>-10-979+2+85</f>
        <v>-902</v>
      </c>
      <c r="E62" s="20">
        <f>22-194-59-2</f>
        <v>-233</v>
      </c>
      <c r="F62" s="20"/>
      <c r="G62" s="20"/>
      <c r="H62" s="20">
        <f>-227-259+2+340</f>
        <v>-144</v>
      </c>
      <c r="I62" s="20">
        <f>374+1892-1-228-1</f>
        <v>2036</v>
      </c>
      <c r="J62" s="20">
        <f>124-7595-310</f>
        <v>-7781</v>
      </c>
      <c r="K62" s="20">
        <f>431-391+1-477+1</f>
        <v>-435</v>
      </c>
      <c r="L62" s="20">
        <f>-351+214+342-1</f>
        <v>204</v>
      </c>
      <c r="M62" s="20"/>
      <c r="N62" s="20"/>
      <c r="O62" s="20">
        <f>975+1630-1-355</f>
        <v>2249</v>
      </c>
      <c r="P62" s="20">
        <f>331+1118+1-103</f>
        <v>1347</v>
      </c>
      <c r="Q62" s="20">
        <f>-581+690+4559-1</f>
        <v>4667</v>
      </c>
      <c r="R62" s="20">
        <f>-77-585-2742+1</f>
        <v>-3403</v>
      </c>
      <c r="S62" s="20">
        <f>253-390-1-224</f>
        <v>-362</v>
      </c>
      <c r="T62" s="20"/>
      <c r="U62" s="20"/>
      <c r="V62" s="20"/>
      <c r="X62" s="20"/>
      <c r="Y62" s="20"/>
      <c r="Z62" s="20"/>
      <c r="AA62" s="20"/>
      <c r="AB62" s="20"/>
      <c r="AC62" s="20"/>
      <c r="AD62" s="20"/>
      <c r="AE62" s="20"/>
      <c r="AF62" s="20"/>
      <c r="AG62" s="20"/>
      <c r="AH62" s="1"/>
      <c r="AJ62" s="1"/>
      <c r="AK62" s="1"/>
      <c r="AL62" s="41"/>
      <c r="AM62" s="42"/>
      <c r="AN62" s="43"/>
      <c r="AO62" s="43"/>
      <c r="AP62" s="1"/>
      <c r="AQ62" s="1"/>
      <c r="AR62" s="1"/>
      <c r="AS62" s="1"/>
    </row>
    <row r="63" spans="1:50" ht="12.75" customHeight="1" x14ac:dyDescent="0.2">
      <c r="A63" s="44" t="s">
        <v>140</v>
      </c>
      <c r="B63" s="39">
        <f t="shared" ref="B63:B70" si="10">SUM(C63:AG63)</f>
        <v>0</v>
      </c>
      <c r="C63" s="20"/>
      <c r="D63" s="20"/>
      <c r="E63" s="20"/>
      <c r="F63" s="20"/>
      <c r="G63" s="20"/>
      <c r="H63" s="20"/>
      <c r="I63" s="20"/>
      <c r="J63" s="20"/>
      <c r="K63" s="20"/>
      <c r="L63" s="20"/>
      <c r="M63" s="20"/>
      <c r="N63" s="20"/>
      <c r="O63" s="20"/>
      <c r="P63" s="20"/>
      <c r="Q63" s="20"/>
      <c r="R63" s="20"/>
      <c r="S63" s="20"/>
      <c r="U63" s="20"/>
      <c r="V63" s="20"/>
      <c r="X63" s="20"/>
      <c r="Y63" s="20"/>
      <c r="Z63" s="20"/>
      <c r="AA63" s="20"/>
      <c r="AB63" s="20"/>
      <c r="AC63" s="20"/>
      <c r="AD63" s="20"/>
      <c r="AE63" s="20"/>
      <c r="AF63" s="20"/>
      <c r="AG63" s="20"/>
      <c r="AH63" s="1"/>
      <c r="AI63" s="46"/>
      <c r="AJ63" s="1"/>
      <c r="AK63" s="1"/>
      <c r="AL63" s="41"/>
      <c r="AM63" s="42"/>
      <c r="AN63" s="43"/>
      <c r="AO63" s="1"/>
      <c r="AP63" s="1"/>
      <c r="AQ63" s="1"/>
      <c r="AR63" s="1"/>
      <c r="AS63" s="1"/>
    </row>
    <row r="64" spans="1:50" ht="12.75" customHeight="1" x14ac:dyDescent="0.2">
      <c r="A64" s="44" t="s">
        <v>188</v>
      </c>
      <c r="B64" s="39">
        <f t="shared" si="10"/>
        <v>2533</v>
      </c>
      <c r="C64" s="20">
        <v>-709</v>
      </c>
      <c r="D64" s="20">
        <v>952</v>
      </c>
      <c r="E64" s="20">
        <v>502</v>
      </c>
      <c r="F64" s="20"/>
      <c r="G64" s="20"/>
      <c r="H64" s="20">
        <v>241</v>
      </c>
      <c r="I64" s="20">
        <v>-600</v>
      </c>
      <c r="J64" s="20">
        <v>947</v>
      </c>
      <c r="K64" s="20">
        <v>207</v>
      </c>
      <c r="L64" s="20">
        <v>588</v>
      </c>
      <c r="M64" s="20"/>
      <c r="N64" s="20"/>
      <c r="O64" s="20">
        <v>-52</v>
      </c>
      <c r="P64" s="20">
        <v>-562</v>
      </c>
      <c r="Q64" s="20">
        <v>-170</v>
      </c>
      <c r="R64" s="20">
        <v>-286</v>
      </c>
      <c r="S64" s="20">
        <v>1475</v>
      </c>
      <c r="T64" s="20"/>
      <c r="U64" s="20"/>
      <c r="V64" s="20"/>
      <c r="X64" s="20"/>
      <c r="Y64" s="20"/>
      <c r="Z64" s="20"/>
      <c r="AA64" s="20"/>
      <c r="AB64" s="20"/>
      <c r="AC64" s="20"/>
      <c r="AD64" s="20"/>
      <c r="AE64" s="20"/>
      <c r="AF64" s="20"/>
      <c r="AG64" s="20"/>
      <c r="AH64" s="1"/>
      <c r="AI64" s="46"/>
      <c r="AJ64" s="1"/>
      <c r="AK64" s="1"/>
      <c r="AL64" s="48"/>
      <c r="AM64" s="42"/>
      <c r="AN64" s="1"/>
      <c r="AO64" s="1"/>
      <c r="AP64" s="1"/>
      <c r="AQ64" s="1"/>
      <c r="AR64" s="1"/>
      <c r="AS64" s="1"/>
    </row>
    <row r="65" spans="1:45" ht="12.75" customHeight="1" x14ac:dyDescent="0.2">
      <c r="A65" s="22" t="s">
        <v>189</v>
      </c>
      <c r="B65" s="39">
        <f t="shared" si="10"/>
        <v>-71537</v>
      </c>
      <c r="C65" s="20">
        <v>-3033</v>
      </c>
      <c r="D65" s="20">
        <v>-3854</v>
      </c>
      <c r="E65" s="20">
        <v>-3735</v>
      </c>
      <c r="F65" s="20"/>
      <c r="G65" s="20"/>
      <c r="H65" s="20">
        <v>-11419</v>
      </c>
      <c r="I65" s="20">
        <v>-3691</v>
      </c>
      <c r="J65" s="20">
        <v>-3883</v>
      </c>
      <c r="K65" s="20">
        <v>-4321</v>
      </c>
      <c r="L65" s="20">
        <v>-4804</v>
      </c>
      <c r="M65" s="20"/>
      <c r="N65" s="20"/>
      <c r="O65" s="20">
        <v>-13216</v>
      </c>
      <c r="P65" s="20">
        <v>-4525</v>
      </c>
      <c r="Q65" s="20">
        <v>-4617</v>
      </c>
      <c r="R65" s="20">
        <v>-5183</v>
      </c>
      <c r="S65" s="20">
        <v>-5256</v>
      </c>
      <c r="T65" s="20"/>
      <c r="U65" s="20"/>
      <c r="V65" s="20"/>
      <c r="X65" s="20"/>
      <c r="Y65" s="20"/>
      <c r="Z65" s="20"/>
      <c r="AA65" s="20"/>
      <c r="AB65" s="20"/>
      <c r="AC65" s="20"/>
      <c r="AD65" s="20"/>
      <c r="AE65" s="20"/>
      <c r="AF65" s="20"/>
      <c r="AG65" s="20"/>
      <c r="AH65" s="1"/>
      <c r="AJ65" s="1"/>
      <c r="AK65" s="1"/>
      <c r="AL65" s="41"/>
      <c r="AM65" s="42"/>
      <c r="AN65" s="1"/>
      <c r="AO65" s="1"/>
      <c r="AP65" s="1"/>
      <c r="AQ65" s="1"/>
      <c r="AR65" s="1"/>
      <c r="AS65" s="1"/>
    </row>
    <row r="66" spans="1:45" ht="12.75" customHeight="1" x14ac:dyDescent="0.2">
      <c r="A66" s="22" t="s">
        <v>190</v>
      </c>
      <c r="B66" s="39">
        <f t="shared" si="10"/>
        <v>0</v>
      </c>
      <c r="C66" s="20"/>
      <c r="D66" s="20"/>
      <c r="E66" s="20"/>
      <c r="F66" s="20"/>
      <c r="G66" s="20"/>
      <c r="H66" s="20"/>
      <c r="I66" s="20"/>
      <c r="J66" s="20"/>
      <c r="K66" s="20"/>
      <c r="L66" s="20"/>
      <c r="M66" s="20"/>
      <c r="N66" s="20"/>
      <c r="O66" s="20"/>
      <c r="P66" s="20"/>
      <c r="Q66" s="20"/>
      <c r="R66" s="20"/>
      <c r="S66" s="20"/>
      <c r="T66" s="20"/>
      <c r="U66" s="20"/>
      <c r="V66" s="20"/>
      <c r="X66" s="20"/>
      <c r="Y66" s="20"/>
      <c r="Z66" s="20"/>
      <c r="AA66" s="20"/>
      <c r="AB66" s="20"/>
      <c r="AC66" s="20"/>
      <c r="AD66" s="20"/>
      <c r="AE66" s="20"/>
      <c r="AF66" s="20"/>
      <c r="AG66" s="20"/>
      <c r="AH66" s="1"/>
      <c r="AI66" s="46"/>
      <c r="AJ66" s="1"/>
      <c r="AK66" s="1"/>
      <c r="AL66" s="41"/>
      <c r="AM66" s="42"/>
      <c r="AN66" s="1"/>
      <c r="AO66" s="1"/>
      <c r="AP66" s="1"/>
      <c r="AQ66" s="1"/>
      <c r="AR66" s="1"/>
      <c r="AS66" s="1"/>
    </row>
    <row r="67" spans="1:45" ht="12.75" customHeight="1" x14ac:dyDescent="0.2">
      <c r="A67" s="22" t="s">
        <v>191</v>
      </c>
      <c r="B67" s="39">
        <f t="shared" si="10"/>
        <v>0</v>
      </c>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1"/>
      <c r="AI67" s="46"/>
      <c r="AJ67" s="1"/>
      <c r="AK67" s="1"/>
      <c r="AL67" s="41"/>
      <c r="AM67" s="42"/>
      <c r="AN67" s="1"/>
      <c r="AO67" s="1"/>
      <c r="AP67" s="1"/>
      <c r="AQ67" s="1"/>
      <c r="AR67" s="1"/>
      <c r="AS67" s="1"/>
    </row>
    <row r="68" spans="1:45" ht="12.75" customHeight="1" x14ac:dyDescent="0.2">
      <c r="A68" s="22" t="s">
        <v>192</v>
      </c>
      <c r="B68" s="39">
        <f t="shared" si="10"/>
        <v>0</v>
      </c>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J68" s="1"/>
      <c r="AK68" s="1"/>
      <c r="AL68" s="41"/>
      <c r="AM68" s="42"/>
      <c r="AN68" s="1"/>
      <c r="AO68" s="1"/>
      <c r="AP68" s="1"/>
      <c r="AQ68" s="1"/>
      <c r="AR68" s="1"/>
      <c r="AS68" s="1"/>
    </row>
    <row r="69" spans="1:45" ht="12.75" customHeight="1" x14ac:dyDescent="0.2">
      <c r="A69" s="44" t="s">
        <v>193</v>
      </c>
      <c r="B69" s="39">
        <f t="shared" si="10"/>
        <v>0</v>
      </c>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1"/>
      <c r="AI69" s="46"/>
      <c r="AJ69" s="1"/>
      <c r="AK69" s="1"/>
      <c r="AL69" s="41"/>
      <c r="AM69" s="42"/>
      <c r="AN69" s="1"/>
      <c r="AO69" s="1"/>
      <c r="AP69" s="1"/>
      <c r="AQ69" s="1"/>
      <c r="AR69" s="1"/>
      <c r="AS69" s="1"/>
    </row>
    <row r="70" spans="1:45" ht="12.75" customHeight="1" x14ac:dyDescent="0.2">
      <c r="A70" s="22" t="s">
        <v>194</v>
      </c>
      <c r="B70" s="39">
        <f t="shared" si="10"/>
        <v>0</v>
      </c>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J70" s="1"/>
      <c r="AK70" s="1"/>
      <c r="AL70" s="41"/>
      <c r="AM70" s="42"/>
      <c r="AN70" s="1"/>
      <c r="AO70" s="1"/>
      <c r="AP70" s="1"/>
      <c r="AQ70" s="1"/>
      <c r="AR70" s="1"/>
      <c r="AS70" s="1"/>
    </row>
    <row r="71" spans="1:45" ht="12.75" customHeight="1" x14ac:dyDescent="0.2">
      <c r="A71" s="22" t="s">
        <v>195</v>
      </c>
      <c r="B71" s="39" t="s">
        <v>196</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197</v>
      </c>
      <c r="B76" s="52">
        <f>SUM(B47:B75)-B61-B67-B68-B69</f>
        <v>-525915</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C78" s="13">
        <f>(+B58+B59)*-1</f>
        <v>-59519</v>
      </c>
      <c r="AH78" s="24"/>
      <c r="AJ78" s="24"/>
      <c r="AK78" s="20"/>
      <c r="AL78" s="41"/>
      <c r="AM78" s="42"/>
    </row>
    <row r="79" spans="1:45" ht="12.75" customHeight="1" x14ac:dyDescent="0.25">
      <c r="A79" s="56" t="s">
        <v>273</v>
      </c>
      <c r="B79" s="57"/>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t="s">
        <v>161</v>
      </c>
      <c r="C81" s="32">
        <f t="shared" ref="C81:R81" si="11">SUM(C85:C101)</f>
        <v>0</v>
      </c>
      <c r="D81" s="32">
        <f t="shared" si="11"/>
        <v>0</v>
      </c>
      <c r="E81" s="32">
        <f t="shared" si="11"/>
        <v>0</v>
      </c>
      <c r="F81" s="32">
        <f t="shared" si="11"/>
        <v>0</v>
      </c>
      <c r="G81" s="32">
        <f t="shared" si="11"/>
        <v>0</v>
      </c>
      <c r="H81" s="32">
        <f t="shared" si="11"/>
        <v>0</v>
      </c>
      <c r="I81" s="32">
        <f t="shared" si="11"/>
        <v>0</v>
      </c>
      <c r="J81" s="32">
        <f t="shared" si="11"/>
        <v>0</v>
      </c>
      <c r="K81" s="32">
        <f t="shared" si="11"/>
        <v>0</v>
      </c>
      <c r="L81" s="32">
        <f t="shared" si="11"/>
        <v>0</v>
      </c>
      <c r="M81" s="32">
        <f t="shared" si="11"/>
        <v>0</v>
      </c>
      <c r="N81" s="32">
        <f t="shared" si="11"/>
        <v>0</v>
      </c>
      <c r="O81" s="32">
        <f t="shared" si="11"/>
        <v>0</v>
      </c>
      <c r="P81" s="32">
        <f t="shared" si="11"/>
        <v>0</v>
      </c>
      <c r="Q81" s="32">
        <f t="shared" si="11"/>
        <v>0</v>
      </c>
      <c r="R81" s="32">
        <f t="shared" si="11"/>
        <v>0</v>
      </c>
      <c r="S81" s="32">
        <f t="shared" ref="S81:AG81" si="12">SUM(S85:S101)</f>
        <v>0</v>
      </c>
      <c r="T81" s="32">
        <f t="shared" si="12"/>
        <v>0</v>
      </c>
      <c r="U81" s="32">
        <f t="shared" si="12"/>
        <v>0</v>
      </c>
      <c r="V81" s="32">
        <f t="shared" si="12"/>
        <v>0</v>
      </c>
      <c r="W81" s="32">
        <f t="shared" si="12"/>
        <v>0</v>
      </c>
      <c r="X81" s="32">
        <f t="shared" si="12"/>
        <v>0</v>
      </c>
      <c r="Y81" s="32">
        <f t="shared" si="12"/>
        <v>0</v>
      </c>
      <c r="Z81" s="32">
        <f t="shared" si="12"/>
        <v>0</v>
      </c>
      <c r="AA81" s="32">
        <f t="shared" si="12"/>
        <v>0</v>
      </c>
      <c r="AB81" s="32">
        <f t="shared" si="12"/>
        <v>0</v>
      </c>
      <c r="AC81" s="32">
        <f t="shared" si="12"/>
        <v>0</v>
      </c>
      <c r="AD81" s="32">
        <f t="shared" si="12"/>
        <v>0</v>
      </c>
      <c r="AE81" s="32">
        <f t="shared" si="12"/>
        <v>0</v>
      </c>
      <c r="AF81" s="32">
        <f t="shared" si="12"/>
        <v>0</v>
      </c>
      <c r="AG81" s="32">
        <f t="shared" si="12"/>
        <v>0</v>
      </c>
      <c r="AH81" s="1"/>
      <c r="AI81" s="117"/>
      <c r="AJ81" s="118"/>
      <c r="AK81" s="1"/>
      <c r="AL81" s="33"/>
      <c r="AN81" s="1"/>
      <c r="AO81" s="1"/>
      <c r="AP81" s="1"/>
      <c r="AQ81" s="1"/>
      <c r="AR81" s="1"/>
      <c r="AS81" s="1"/>
    </row>
    <row r="82" spans="1:45" s="99" customFormat="1" ht="12.75" customHeight="1" x14ac:dyDescent="0.25">
      <c r="A82" s="216" t="s">
        <v>199</v>
      </c>
      <c r="B82" s="116">
        <f t="shared" ref="B82:AG82" si="13">B44</f>
        <v>36831</v>
      </c>
      <c r="C82" s="104">
        <f t="shared" si="13"/>
        <v>36831</v>
      </c>
      <c r="D82" s="104">
        <f t="shared" si="13"/>
        <v>36832</v>
      </c>
      <c r="E82" s="104">
        <f t="shared" si="13"/>
        <v>36833</v>
      </c>
      <c r="F82" s="104">
        <f t="shared" si="13"/>
        <v>36834</v>
      </c>
      <c r="G82" s="104">
        <f t="shared" si="13"/>
        <v>36835</v>
      </c>
      <c r="H82" s="104">
        <f t="shared" si="13"/>
        <v>36836</v>
      </c>
      <c r="I82" s="104">
        <f t="shared" si="13"/>
        <v>36837</v>
      </c>
      <c r="J82" s="104">
        <f t="shared" si="13"/>
        <v>36838</v>
      </c>
      <c r="K82" s="104">
        <f t="shared" si="13"/>
        <v>36839</v>
      </c>
      <c r="L82" s="104">
        <f t="shared" si="13"/>
        <v>36840</v>
      </c>
      <c r="M82" s="104">
        <f t="shared" si="13"/>
        <v>36841</v>
      </c>
      <c r="N82" s="104">
        <f t="shared" si="13"/>
        <v>36842</v>
      </c>
      <c r="O82" s="104">
        <f t="shared" si="13"/>
        <v>36843</v>
      </c>
      <c r="P82" s="104">
        <f t="shared" si="13"/>
        <v>36844</v>
      </c>
      <c r="Q82" s="104">
        <f t="shared" si="13"/>
        <v>36845</v>
      </c>
      <c r="R82" s="104">
        <f t="shared" si="13"/>
        <v>36846</v>
      </c>
      <c r="S82" s="104">
        <f t="shared" si="13"/>
        <v>36847</v>
      </c>
      <c r="T82" s="104">
        <f t="shared" si="13"/>
        <v>36848</v>
      </c>
      <c r="U82" s="104">
        <f t="shared" si="13"/>
        <v>36849</v>
      </c>
      <c r="V82" s="104">
        <f t="shared" si="13"/>
        <v>36850</v>
      </c>
      <c r="W82" s="104">
        <f t="shared" si="13"/>
        <v>36851</v>
      </c>
      <c r="X82" s="104">
        <f t="shared" si="13"/>
        <v>36852</v>
      </c>
      <c r="Y82" s="104">
        <f t="shared" si="13"/>
        <v>36853</v>
      </c>
      <c r="Z82" s="104">
        <f t="shared" si="13"/>
        <v>36854</v>
      </c>
      <c r="AA82" s="104">
        <f t="shared" si="13"/>
        <v>36855</v>
      </c>
      <c r="AB82" s="104">
        <f t="shared" si="13"/>
        <v>36856</v>
      </c>
      <c r="AC82" s="104">
        <f t="shared" si="13"/>
        <v>36857</v>
      </c>
      <c r="AD82" s="104">
        <f t="shared" si="13"/>
        <v>36858</v>
      </c>
      <c r="AE82" s="104">
        <f t="shared" si="13"/>
        <v>36859</v>
      </c>
      <c r="AF82" s="104">
        <f t="shared" si="13"/>
        <v>36860</v>
      </c>
      <c r="AG82" s="104">
        <f t="shared" si="13"/>
        <v>36861</v>
      </c>
      <c r="AI82" s="117"/>
      <c r="AJ82" s="119"/>
      <c r="AL82" s="100"/>
    </row>
    <row r="83" spans="1:45" ht="12.75" customHeight="1" x14ac:dyDescent="0.25">
      <c r="A83" s="34"/>
      <c r="B83" s="34"/>
      <c r="C83" s="105" t="str">
        <f t="shared" ref="C83:AG83" si="14">C45</f>
        <v>W</v>
      </c>
      <c r="D83" s="105" t="str">
        <f t="shared" si="14"/>
        <v>R</v>
      </c>
      <c r="E83" s="105" t="str">
        <f t="shared" si="14"/>
        <v>F</v>
      </c>
      <c r="F83" s="105" t="str">
        <f t="shared" si="14"/>
        <v>S</v>
      </c>
      <c r="G83" s="105" t="str">
        <f t="shared" si="14"/>
        <v>S</v>
      </c>
      <c r="H83" s="105" t="str">
        <f t="shared" si="14"/>
        <v>M</v>
      </c>
      <c r="I83" s="105" t="str">
        <f t="shared" si="14"/>
        <v>T</v>
      </c>
      <c r="J83" s="105" t="str">
        <f t="shared" si="14"/>
        <v>W</v>
      </c>
      <c r="K83" s="105" t="str">
        <f t="shared" si="14"/>
        <v>R</v>
      </c>
      <c r="L83" s="105" t="str">
        <f t="shared" si="14"/>
        <v>F</v>
      </c>
      <c r="M83" s="105" t="str">
        <f t="shared" si="14"/>
        <v>S</v>
      </c>
      <c r="N83" s="105" t="str">
        <f t="shared" si="14"/>
        <v>S</v>
      </c>
      <c r="O83" s="105" t="str">
        <f t="shared" si="14"/>
        <v>M</v>
      </c>
      <c r="P83" s="105" t="str">
        <f t="shared" si="14"/>
        <v>T</v>
      </c>
      <c r="Q83" s="105" t="str">
        <f t="shared" si="14"/>
        <v>W</v>
      </c>
      <c r="R83" s="105" t="str">
        <f t="shared" si="14"/>
        <v>R</v>
      </c>
      <c r="S83" s="105" t="str">
        <f t="shared" si="14"/>
        <v>F</v>
      </c>
      <c r="T83" s="105" t="str">
        <f t="shared" si="14"/>
        <v>S</v>
      </c>
      <c r="U83" s="105" t="str">
        <f t="shared" si="14"/>
        <v>S</v>
      </c>
      <c r="V83" s="105" t="str">
        <f t="shared" si="14"/>
        <v>M</v>
      </c>
      <c r="W83" s="105" t="str">
        <f t="shared" si="14"/>
        <v>T</v>
      </c>
      <c r="X83" s="105" t="str">
        <f t="shared" si="14"/>
        <v>W</v>
      </c>
      <c r="Y83" s="105" t="str">
        <f t="shared" si="14"/>
        <v>R</v>
      </c>
      <c r="Z83" s="105" t="str">
        <f t="shared" si="14"/>
        <v>F</v>
      </c>
      <c r="AA83" s="105" t="str">
        <f t="shared" si="14"/>
        <v>S</v>
      </c>
      <c r="AB83" s="105" t="str">
        <f t="shared" si="14"/>
        <v>S</v>
      </c>
      <c r="AC83" s="105" t="str">
        <f t="shared" si="14"/>
        <v>M</v>
      </c>
      <c r="AD83" s="105" t="str">
        <f t="shared" si="14"/>
        <v>T</v>
      </c>
      <c r="AE83" s="105" t="str">
        <f t="shared" si="14"/>
        <v>W</v>
      </c>
      <c r="AF83" s="105" t="str">
        <f t="shared" si="14"/>
        <v>R</v>
      </c>
      <c r="AG83" s="105" t="str">
        <f t="shared" si="14"/>
        <v>F</v>
      </c>
      <c r="AH83" s="1"/>
      <c r="AI83" s="117"/>
      <c r="AJ83" s="118"/>
      <c r="AK83" s="1"/>
      <c r="AL83" s="24"/>
      <c r="AN83" s="1"/>
      <c r="AO83" s="1"/>
      <c r="AP83" s="1"/>
      <c r="AQ83" s="1"/>
      <c r="AR83" s="1"/>
      <c r="AS83" s="1"/>
    </row>
    <row r="84" spans="1:45" ht="12.75" customHeight="1" thickBot="1" x14ac:dyDescent="0.3">
      <c r="A84" s="217"/>
      <c r="B84" s="35" t="s">
        <v>167</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200</v>
      </c>
      <c r="B85" s="39">
        <f t="shared" ref="B85:B97" si="15">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201</v>
      </c>
      <c r="B86" s="39">
        <f t="shared" si="15"/>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202</v>
      </c>
      <c r="B87" s="39">
        <f t="shared" si="15"/>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203</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204</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205</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206</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207</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208</v>
      </c>
      <c r="B93" s="39">
        <f t="shared" si="15"/>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209</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210</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211</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212</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19" t="s">
        <v>213</v>
      </c>
      <c r="B102" s="51">
        <f>SUM(B87:B101)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161</v>
      </c>
      <c r="C104" s="32">
        <f t="shared" ref="C104:R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ref="S104:AG104" si="17">SUM(S108:S117)</f>
        <v>0</v>
      </c>
      <c r="T104" s="32">
        <f t="shared" si="17"/>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25">
      <c r="A105" s="216" t="s">
        <v>214</v>
      </c>
      <c r="B105" s="116">
        <f t="shared" ref="B105:AG105" si="18">B44</f>
        <v>36831</v>
      </c>
      <c r="C105" s="104">
        <f t="shared" si="18"/>
        <v>36831</v>
      </c>
      <c r="D105" s="104">
        <f t="shared" si="18"/>
        <v>36832</v>
      </c>
      <c r="E105" s="104">
        <f t="shared" si="18"/>
        <v>36833</v>
      </c>
      <c r="F105" s="104">
        <f t="shared" si="18"/>
        <v>36834</v>
      </c>
      <c r="G105" s="104">
        <f t="shared" si="18"/>
        <v>36835</v>
      </c>
      <c r="H105" s="104">
        <f t="shared" si="18"/>
        <v>36836</v>
      </c>
      <c r="I105" s="104">
        <f t="shared" si="18"/>
        <v>36837</v>
      </c>
      <c r="J105" s="104">
        <f t="shared" si="18"/>
        <v>36838</v>
      </c>
      <c r="K105" s="104">
        <f t="shared" si="18"/>
        <v>36839</v>
      </c>
      <c r="L105" s="104">
        <f t="shared" si="18"/>
        <v>36840</v>
      </c>
      <c r="M105" s="104">
        <f t="shared" si="18"/>
        <v>36841</v>
      </c>
      <c r="N105" s="104">
        <f t="shared" si="18"/>
        <v>36842</v>
      </c>
      <c r="O105" s="104">
        <f t="shared" si="18"/>
        <v>36843</v>
      </c>
      <c r="P105" s="104">
        <f t="shared" si="18"/>
        <v>36844</v>
      </c>
      <c r="Q105" s="104">
        <f t="shared" si="18"/>
        <v>36845</v>
      </c>
      <c r="R105" s="104">
        <f t="shared" si="18"/>
        <v>36846</v>
      </c>
      <c r="S105" s="104">
        <f t="shared" si="18"/>
        <v>36847</v>
      </c>
      <c r="T105" s="104">
        <f t="shared" si="18"/>
        <v>36848</v>
      </c>
      <c r="U105" s="104">
        <f t="shared" si="18"/>
        <v>36849</v>
      </c>
      <c r="V105" s="104">
        <f t="shared" si="18"/>
        <v>36850</v>
      </c>
      <c r="W105" s="104">
        <f t="shared" si="18"/>
        <v>36851</v>
      </c>
      <c r="X105" s="104">
        <f t="shared" si="18"/>
        <v>36852</v>
      </c>
      <c r="Y105" s="104">
        <f t="shared" si="18"/>
        <v>36853</v>
      </c>
      <c r="Z105" s="104">
        <f t="shared" si="18"/>
        <v>36854</v>
      </c>
      <c r="AA105" s="104">
        <f t="shared" si="18"/>
        <v>36855</v>
      </c>
      <c r="AB105" s="104">
        <f t="shared" si="18"/>
        <v>36856</v>
      </c>
      <c r="AC105" s="104">
        <f t="shared" si="18"/>
        <v>36857</v>
      </c>
      <c r="AD105" s="104">
        <f t="shared" si="18"/>
        <v>36858</v>
      </c>
      <c r="AE105" s="104">
        <f t="shared" si="18"/>
        <v>36859</v>
      </c>
      <c r="AF105" s="104">
        <f t="shared" si="18"/>
        <v>36860</v>
      </c>
      <c r="AG105" s="104">
        <f t="shared" si="18"/>
        <v>36861</v>
      </c>
      <c r="AI105" s="117"/>
      <c r="AJ105" s="119"/>
      <c r="AL105" s="100"/>
    </row>
    <row r="106" spans="1:45" ht="12.75" customHeight="1" x14ac:dyDescent="0.25">
      <c r="A106" s="34"/>
      <c r="B106" s="34"/>
      <c r="C106" s="105" t="str">
        <f t="shared" ref="C106:AG106" si="19">C45</f>
        <v>W</v>
      </c>
      <c r="D106" s="105" t="str">
        <f t="shared" si="19"/>
        <v>R</v>
      </c>
      <c r="E106" s="105" t="str">
        <f t="shared" si="19"/>
        <v>F</v>
      </c>
      <c r="F106" s="105" t="str">
        <f t="shared" si="19"/>
        <v>S</v>
      </c>
      <c r="G106" s="105" t="str">
        <f t="shared" si="19"/>
        <v>S</v>
      </c>
      <c r="H106" s="105" t="str">
        <f t="shared" si="19"/>
        <v>M</v>
      </c>
      <c r="I106" s="105" t="str">
        <f t="shared" si="19"/>
        <v>T</v>
      </c>
      <c r="J106" s="105" t="str">
        <f t="shared" si="19"/>
        <v>W</v>
      </c>
      <c r="K106" s="105" t="str">
        <f t="shared" si="19"/>
        <v>R</v>
      </c>
      <c r="L106" s="105" t="str">
        <f t="shared" si="19"/>
        <v>F</v>
      </c>
      <c r="M106" s="105" t="str">
        <f t="shared" si="19"/>
        <v>S</v>
      </c>
      <c r="N106" s="105" t="str">
        <f t="shared" si="19"/>
        <v>S</v>
      </c>
      <c r="O106" s="105" t="str">
        <f t="shared" si="19"/>
        <v>M</v>
      </c>
      <c r="P106" s="105" t="str">
        <f t="shared" si="19"/>
        <v>T</v>
      </c>
      <c r="Q106" s="105" t="str">
        <f t="shared" si="19"/>
        <v>W</v>
      </c>
      <c r="R106" s="105" t="str">
        <f t="shared" si="19"/>
        <v>R</v>
      </c>
      <c r="S106" s="105" t="str">
        <f t="shared" si="19"/>
        <v>F</v>
      </c>
      <c r="T106" s="105" t="str">
        <f t="shared" si="19"/>
        <v>S</v>
      </c>
      <c r="U106" s="105" t="str">
        <f t="shared" si="19"/>
        <v>S</v>
      </c>
      <c r="V106" s="105" t="str">
        <f t="shared" si="19"/>
        <v>M</v>
      </c>
      <c r="W106" s="105" t="str">
        <f t="shared" si="19"/>
        <v>T</v>
      </c>
      <c r="X106" s="105" t="str">
        <f t="shared" si="19"/>
        <v>W</v>
      </c>
      <c r="Y106" s="105" t="str">
        <f t="shared" si="19"/>
        <v>R</v>
      </c>
      <c r="Z106" s="105" t="str">
        <f t="shared" si="19"/>
        <v>F</v>
      </c>
      <c r="AA106" s="105" t="str">
        <f t="shared" si="19"/>
        <v>S</v>
      </c>
      <c r="AB106" s="105" t="str">
        <f t="shared" si="19"/>
        <v>S</v>
      </c>
      <c r="AC106" s="105" t="str">
        <f t="shared" si="19"/>
        <v>M</v>
      </c>
      <c r="AD106" s="105" t="str">
        <f t="shared" si="19"/>
        <v>T</v>
      </c>
      <c r="AE106" s="105" t="str">
        <f t="shared" si="19"/>
        <v>W</v>
      </c>
      <c r="AF106" s="105" t="str">
        <f t="shared" si="19"/>
        <v>R</v>
      </c>
      <c r="AG106" s="105" t="str">
        <f t="shared" si="19"/>
        <v>F</v>
      </c>
      <c r="AH106" s="1"/>
      <c r="AI106" s="117"/>
      <c r="AJ106" s="118"/>
      <c r="AK106" s="1"/>
      <c r="AL106" s="24"/>
      <c r="AN106" s="1"/>
      <c r="AO106" s="1"/>
      <c r="AP106" s="1"/>
      <c r="AQ106" s="1"/>
      <c r="AR106" s="1"/>
      <c r="AS106" s="1"/>
    </row>
    <row r="107" spans="1:45" ht="12.75" customHeight="1" thickBot="1" x14ac:dyDescent="0.3">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205</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207</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208</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209</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210</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212</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216</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217</v>
      </c>
      <c r="B124" s="76"/>
      <c r="C124" s="77"/>
      <c r="D124" s="77"/>
      <c r="E124" s="78"/>
      <c r="G124" s="75" t="s">
        <v>218</v>
      </c>
      <c r="H124" s="75"/>
      <c r="I124" s="76"/>
      <c r="J124" s="77"/>
      <c r="K124" s="77"/>
      <c r="L124" s="78"/>
      <c r="M124" s="9"/>
      <c r="N124" s="9"/>
      <c r="O124" s="1"/>
      <c r="P124" s="1"/>
    </row>
    <row r="125" spans="1:39" ht="12.75" customHeight="1" thickTop="1" x14ac:dyDescent="0.2">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
      <c r="A126" s="153"/>
      <c r="B126" s="24"/>
      <c r="C126" s="24"/>
      <c r="D126" s="38"/>
      <c r="E126" s="142"/>
      <c r="G126" s="79"/>
      <c r="H126" s="80"/>
      <c r="I126" s="24"/>
      <c r="J126" s="1"/>
      <c r="K126" s="149"/>
      <c r="L126" s="141"/>
      <c r="M126" s="1"/>
      <c r="N126" s="1"/>
      <c r="O126" s="1"/>
      <c r="P126" s="1"/>
    </row>
    <row r="127" spans="1:39" ht="12.75" customHeight="1" x14ac:dyDescent="0.2">
      <c r="A127" s="153">
        <v>36617</v>
      </c>
      <c r="B127" s="24" t="s">
        <v>479</v>
      </c>
      <c r="C127" s="24"/>
      <c r="D127" s="38"/>
      <c r="E127" s="141">
        <v>19</v>
      </c>
      <c r="G127" s="81"/>
      <c r="H127" s="9"/>
      <c r="I127" s="82"/>
      <c r="J127" s="1"/>
      <c r="K127" s="149"/>
      <c r="L127" s="141"/>
      <c r="M127" s="1"/>
      <c r="N127" s="1"/>
      <c r="O127" s="1"/>
      <c r="P127" s="1"/>
    </row>
    <row r="128" spans="1:39" ht="12.75" customHeight="1" x14ac:dyDescent="0.2">
      <c r="A128" s="153">
        <v>36647</v>
      </c>
      <c r="B128" s="24" t="s">
        <v>487</v>
      </c>
      <c r="C128" s="24"/>
      <c r="D128" s="38"/>
      <c r="E128" s="141">
        <v>-108</v>
      </c>
      <c r="G128" s="81"/>
      <c r="H128" s="24"/>
      <c r="I128" s="1"/>
      <c r="J128" s="1"/>
      <c r="K128" s="149"/>
      <c r="L128" s="141"/>
      <c r="M128" s="1"/>
      <c r="N128" s="1"/>
      <c r="O128" s="1"/>
      <c r="P128" s="1"/>
    </row>
    <row r="129" spans="1:16" ht="12.75" customHeight="1" x14ac:dyDescent="0.2">
      <c r="A129" s="153">
        <v>36678</v>
      </c>
      <c r="B129" s="24" t="s">
        <v>493</v>
      </c>
      <c r="C129" s="82"/>
      <c r="D129" s="140"/>
      <c r="E129" s="142">
        <v>-46133</v>
      </c>
      <c r="G129" s="81"/>
      <c r="H129" s="24"/>
      <c r="I129" s="1"/>
      <c r="J129" s="1"/>
      <c r="K129" s="38"/>
      <c r="L129" s="142"/>
      <c r="M129" s="1"/>
      <c r="N129" s="1"/>
      <c r="O129" s="1"/>
      <c r="P129" s="1"/>
    </row>
    <row r="130" spans="1:16" ht="12.75" customHeight="1" x14ac:dyDescent="0.2">
      <c r="A130" s="153">
        <v>36708</v>
      </c>
      <c r="B130" s="24" t="s">
        <v>494</v>
      </c>
      <c r="C130" s="82"/>
      <c r="D130" s="140"/>
      <c r="E130" s="142">
        <v>10885</v>
      </c>
      <c r="G130" s="81"/>
      <c r="H130" s="24"/>
      <c r="I130" s="1"/>
      <c r="J130" s="1"/>
      <c r="K130" s="38"/>
      <c r="L130" s="141"/>
      <c r="M130" s="1"/>
      <c r="N130" s="1"/>
      <c r="O130" s="1"/>
      <c r="P130" s="1"/>
    </row>
    <row r="131" spans="1:16" ht="12.75" customHeight="1" x14ac:dyDescent="0.2">
      <c r="A131" s="153">
        <v>36739</v>
      </c>
      <c r="B131" s="24" t="s">
        <v>499</v>
      </c>
      <c r="C131" s="82"/>
      <c r="D131" s="140"/>
      <c r="E131" s="141">
        <v>-91115</v>
      </c>
      <c r="G131" s="81"/>
      <c r="H131" s="24"/>
      <c r="I131" s="1"/>
      <c r="J131" s="1"/>
      <c r="K131" s="38"/>
      <c r="L131" s="141"/>
      <c r="M131" s="1"/>
      <c r="N131" s="1"/>
      <c r="O131" s="1"/>
      <c r="P131" s="1"/>
    </row>
    <row r="132" spans="1:16" ht="12.75" customHeight="1" x14ac:dyDescent="0.2">
      <c r="A132" s="153">
        <v>36770</v>
      </c>
      <c r="B132" s="24" t="s">
        <v>510</v>
      </c>
      <c r="C132" s="24"/>
      <c r="D132" s="38"/>
      <c r="E132" s="141">
        <v>7537</v>
      </c>
      <c r="G132" s="81"/>
      <c r="H132" s="1"/>
      <c r="I132" s="1"/>
      <c r="J132" s="1"/>
      <c r="K132" s="149"/>
      <c r="L132" s="142"/>
      <c r="M132" s="1"/>
      <c r="N132" s="1"/>
      <c r="O132" s="1"/>
      <c r="P132" s="1"/>
    </row>
    <row r="133" spans="1:16" ht="12.75" customHeight="1" x14ac:dyDescent="0.2">
      <c r="A133" s="153">
        <v>36800</v>
      </c>
      <c r="B133" s="24" t="s">
        <v>519</v>
      </c>
      <c r="C133" s="24"/>
      <c r="D133" s="38"/>
      <c r="E133" s="141">
        <v>-629</v>
      </c>
      <c r="G133" s="81"/>
      <c r="H133" s="24"/>
      <c r="I133" s="1"/>
      <c r="J133" s="1"/>
      <c r="K133" s="38"/>
      <c r="L133" s="142"/>
      <c r="M133" s="1"/>
      <c r="N133" s="1"/>
      <c r="O133" s="1"/>
      <c r="P133" s="1"/>
    </row>
    <row r="134" spans="1:16" ht="12.75" customHeight="1" x14ac:dyDescent="0.2">
      <c r="A134" s="153"/>
      <c r="B134" s="24"/>
      <c r="C134" s="24"/>
      <c r="D134" s="38"/>
      <c r="E134" s="141"/>
      <c r="G134" s="81"/>
      <c r="H134" s="24"/>
      <c r="I134" s="1"/>
      <c r="J134" s="1"/>
      <c r="K134" s="38"/>
      <c r="L134" s="141"/>
      <c r="M134" s="43"/>
      <c r="N134" s="42"/>
      <c r="O134" s="1"/>
      <c r="P134" s="1"/>
    </row>
    <row r="135" spans="1:16" ht="12.75" customHeight="1" x14ac:dyDescent="0.2">
      <c r="A135" s="153"/>
      <c r="B135" s="24"/>
      <c r="C135" s="83"/>
      <c r="D135" s="38"/>
      <c r="E135" s="141"/>
      <c r="G135" s="81"/>
      <c r="H135" s="24"/>
      <c r="I135" s="1"/>
      <c r="J135" s="1"/>
      <c r="K135" s="38"/>
      <c r="L135" s="141"/>
      <c r="M135" s="43"/>
      <c r="N135" s="1"/>
      <c r="O135" s="1"/>
      <c r="P135" s="1"/>
    </row>
    <row r="136" spans="1:16" ht="12.75" customHeight="1" x14ac:dyDescent="0.2">
      <c r="A136" s="153"/>
      <c r="B136" s="24"/>
      <c r="C136" s="24"/>
      <c r="D136" s="38"/>
      <c r="E136" s="141"/>
      <c r="G136" s="81"/>
      <c r="H136" s="24"/>
      <c r="I136" s="1"/>
      <c r="J136" s="1"/>
      <c r="K136" s="38"/>
      <c r="L136" s="141"/>
      <c r="M136" s="1"/>
      <c r="N136" s="43"/>
      <c r="O136" s="1"/>
      <c r="P136" s="1"/>
    </row>
    <row r="137" spans="1:16" ht="12.75" customHeight="1" x14ac:dyDescent="0.2">
      <c r="A137" s="153"/>
      <c r="B137" s="24"/>
      <c r="C137" s="24"/>
      <c r="D137" s="38"/>
      <c r="E137" s="141"/>
      <c r="G137" s="81"/>
      <c r="H137" s="24"/>
      <c r="I137" s="1"/>
      <c r="J137" s="1"/>
      <c r="K137" s="38"/>
      <c r="L137" s="141"/>
      <c r="M137" s="1"/>
      <c r="N137" s="43"/>
      <c r="O137" s="1"/>
      <c r="P137" s="1"/>
    </row>
    <row r="138" spans="1:16" ht="12.75" customHeight="1" x14ac:dyDescent="0.2">
      <c r="A138" s="153"/>
      <c r="B138" s="24"/>
      <c r="C138" s="83"/>
      <c r="D138" s="38"/>
      <c r="E138" s="141"/>
      <c r="G138" s="81"/>
      <c r="H138" s="24"/>
      <c r="I138" s="1"/>
      <c r="J138" s="1"/>
      <c r="K138" s="38"/>
      <c r="L138" s="141"/>
      <c r="M138" s="1"/>
      <c r="N138" s="1"/>
      <c r="O138" s="1"/>
      <c r="P138" s="1"/>
    </row>
    <row r="139" spans="1:16" ht="12.75" customHeight="1" x14ac:dyDescent="0.2">
      <c r="A139" s="153"/>
      <c r="B139" s="1"/>
      <c r="C139" s="1"/>
      <c r="D139" s="49"/>
      <c r="E139" s="141"/>
      <c r="G139" s="81"/>
      <c r="H139" s="24"/>
      <c r="I139" s="1"/>
      <c r="J139" s="1"/>
      <c r="K139" s="38"/>
      <c r="L139" s="141"/>
      <c r="M139" s="1"/>
      <c r="N139" s="1"/>
      <c r="O139" s="1"/>
      <c r="P139" s="1"/>
    </row>
    <row r="140" spans="1:16" ht="12.75" customHeight="1" x14ac:dyDescent="0.2">
      <c r="A140" s="153"/>
      <c r="B140" s="1"/>
      <c r="C140" s="1"/>
      <c r="D140" s="38"/>
      <c r="E140" s="141"/>
      <c r="G140" s="81"/>
      <c r="H140" s="24"/>
      <c r="I140" s="1"/>
      <c r="J140" s="1"/>
      <c r="K140" s="38"/>
      <c r="L140" s="141"/>
      <c r="M140" s="1"/>
      <c r="N140" s="1"/>
      <c r="O140" s="1"/>
      <c r="P140" s="1"/>
    </row>
    <row r="141" spans="1:16" ht="12.75" customHeight="1" x14ac:dyDescent="0.2">
      <c r="A141" s="153"/>
      <c r="B141" s="1"/>
      <c r="C141" s="1"/>
      <c r="D141" s="38"/>
      <c r="E141" s="141"/>
      <c r="G141" s="81"/>
      <c r="H141" s="24"/>
      <c r="I141" s="1"/>
      <c r="J141" s="1"/>
      <c r="K141" s="38"/>
      <c r="L141" s="141"/>
      <c r="M141" s="1"/>
      <c r="N141" s="1"/>
      <c r="O141" s="1"/>
      <c r="P141" s="1"/>
    </row>
    <row r="142" spans="1:16" ht="12.75" customHeight="1" x14ac:dyDescent="0.2">
      <c r="A142" s="153"/>
      <c r="B142" s="24"/>
      <c r="C142" s="24"/>
      <c r="D142" s="38"/>
      <c r="E142" s="141"/>
      <c r="G142" s="81"/>
      <c r="H142" s="24"/>
      <c r="I142" s="1"/>
      <c r="J142" s="1"/>
      <c r="K142" s="38"/>
      <c r="L142" s="141"/>
      <c r="M142" s="1"/>
      <c r="N142" s="1"/>
      <c r="O142" s="1"/>
      <c r="P142" s="1"/>
    </row>
    <row r="143" spans="1:16" ht="12.75" customHeight="1" x14ac:dyDescent="0.2">
      <c r="A143" s="153"/>
      <c r="B143" s="24"/>
      <c r="C143" s="24"/>
      <c r="D143" s="38"/>
      <c r="E143" s="141"/>
      <c r="G143" s="81"/>
      <c r="H143" s="24"/>
      <c r="I143" s="1"/>
      <c r="J143" s="1"/>
      <c r="K143" s="38"/>
      <c r="L143" s="141"/>
      <c r="M143" s="1"/>
      <c r="N143" s="1"/>
      <c r="O143" s="1"/>
      <c r="P143" s="1"/>
    </row>
    <row r="144" spans="1:16" ht="12.75" customHeight="1" x14ac:dyDescent="0.2">
      <c r="A144" s="153"/>
      <c r="B144" s="24"/>
      <c r="C144" s="24"/>
      <c r="D144" s="38"/>
      <c r="E144" s="141"/>
      <c r="G144" s="81"/>
      <c r="H144" s="24"/>
      <c r="I144" s="1"/>
      <c r="J144" s="1"/>
      <c r="K144" s="38"/>
      <c r="L144" s="141"/>
      <c r="M144" s="1"/>
      <c r="N144" s="1"/>
      <c r="O144" s="1"/>
      <c r="P144" s="1"/>
    </row>
    <row r="145" spans="1:16" ht="12.75" customHeight="1" x14ac:dyDescent="0.2">
      <c r="A145" s="153"/>
      <c r="B145" s="24"/>
      <c r="C145" s="24"/>
      <c r="D145" s="38"/>
      <c r="E145" s="141"/>
      <c r="G145" s="81"/>
      <c r="H145" s="24"/>
      <c r="I145" s="1"/>
      <c r="J145" s="1"/>
      <c r="K145" s="38"/>
      <c r="L145" s="141"/>
      <c r="M145" s="1"/>
      <c r="N145" s="1"/>
      <c r="O145" s="1"/>
      <c r="P145" s="1"/>
    </row>
    <row r="146" spans="1:16" ht="12.75" customHeight="1" x14ac:dyDescent="0.2">
      <c r="A146" s="153"/>
      <c r="B146" s="24"/>
      <c r="C146" s="24"/>
      <c r="D146" s="38"/>
      <c r="E146" s="141"/>
      <c r="G146" s="81"/>
      <c r="H146" s="24"/>
      <c r="I146" s="1"/>
      <c r="J146" s="1"/>
      <c r="K146" s="38"/>
      <c r="L146" s="141"/>
      <c r="M146" s="1"/>
      <c r="N146" s="1"/>
      <c r="O146" s="1"/>
      <c r="P146" s="1"/>
    </row>
    <row r="147" spans="1:16" ht="12.75" customHeight="1" x14ac:dyDescent="0.2">
      <c r="A147" s="153"/>
      <c r="B147" s="24"/>
      <c r="C147" s="24"/>
      <c r="D147" s="38"/>
      <c r="E147" s="141"/>
      <c r="G147" s="81"/>
      <c r="H147" s="24"/>
      <c r="I147" s="1"/>
      <c r="J147" s="1"/>
      <c r="K147" s="38"/>
      <c r="L147" s="141"/>
      <c r="M147" s="1"/>
      <c r="N147" s="1"/>
      <c r="O147" s="1"/>
      <c r="P147" s="1"/>
    </row>
    <row r="148" spans="1:16" ht="12.75" customHeight="1" x14ac:dyDescent="0.2">
      <c r="A148" s="153"/>
      <c r="B148" s="24"/>
      <c r="C148" s="24"/>
      <c r="D148" s="38"/>
      <c r="E148" s="141"/>
      <c r="G148" s="81"/>
      <c r="H148" s="24"/>
      <c r="I148" s="1"/>
      <c r="J148" s="1"/>
      <c r="K148" s="38"/>
      <c r="L148" s="141"/>
      <c r="M148" s="1"/>
      <c r="N148" s="1"/>
      <c r="O148" s="1"/>
      <c r="P148" s="1"/>
    </row>
    <row r="149" spans="1:16" ht="12.75" customHeight="1" x14ac:dyDescent="0.2">
      <c r="A149" s="153"/>
      <c r="B149" s="24"/>
      <c r="C149" s="24"/>
      <c r="D149" s="38"/>
      <c r="E149" s="141"/>
      <c r="G149" s="81"/>
      <c r="H149" s="24"/>
      <c r="I149" s="1"/>
      <c r="J149" s="1"/>
      <c r="K149" s="38"/>
      <c r="L149" s="141"/>
      <c r="M149" s="1"/>
      <c r="N149" s="1"/>
      <c r="O149" s="1"/>
      <c r="P149" s="1"/>
    </row>
    <row r="150" spans="1:16" ht="12.75" customHeight="1" x14ac:dyDescent="0.2">
      <c r="A150" s="153"/>
      <c r="B150" s="24"/>
      <c r="C150" s="24"/>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3"/>
      <c r="M158" s="1"/>
      <c r="N158" s="1"/>
      <c r="O158" s="1"/>
      <c r="P158" s="1"/>
    </row>
    <row r="159" spans="1:16" ht="12.75" customHeight="1" thickBot="1" x14ac:dyDescent="0.25">
      <c r="A159" s="63"/>
      <c r="B159" s="24"/>
      <c r="C159" s="24"/>
      <c r="D159" s="145" t="s">
        <v>241</v>
      </c>
      <c r="E159" s="144">
        <f>SUM(E126:E158)</f>
        <v>-119544</v>
      </c>
      <c r="G159" s="63"/>
      <c r="H159" s="24"/>
      <c r="I159" s="1"/>
      <c r="J159" s="1"/>
      <c r="K159" s="145" t="s">
        <v>242</v>
      </c>
      <c r="L159" s="144">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243</v>
      </c>
      <c r="B163" s="77"/>
      <c r="C163" s="77"/>
      <c r="D163" s="77"/>
      <c r="E163" s="78"/>
      <c r="AJ163" s="1"/>
      <c r="AK163" s="1"/>
      <c r="AL163" s="1"/>
      <c r="AM163" s="1"/>
    </row>
    <row r="164" spans="1:39" ht="12.75" customHeight="1" thickTop="1" x14ac:dyDescent="0.2">
      <c r="A164" s="136" t="s">
        <v>219</v>
      </c>
      <c r="B164" s="137" t="s">
        <v>220</v>
      </c>
      <c r="C164" s="138"/>
      <c r="D164" s="139"/>
      <c r="E164" s="210" t="s">
        <v>221</v>
      </c>
      <c r="AJ164" s="1"/>
      <c r="AK164" s="1"/>
      <c r="AL164" s="1"/>
      <c r="AM164" s="1"/>
    </row>
    <row r="165" spans="1:39" ht="12.75" customHeight="1" x14ac:dyDescent="0.2">
      <c r="A165" s="221"/>
      <c r="B165" s="24"/>
      <c r="C165" s="24"/>
      <c r="D165" s="38"/>
      <c r="E165" s="141"/>
      <c r="AJ165" s="1"/>
      <c r="AK165" s="1"/>
      <c r="AL165" s="1"/>
      <c r="AM165" s="1"/>
    </row>
    <row r="166" spans="1:39" ht="12.75" customHeight="1" x14ac:dyDescent="0.2">
      <c r="A166" s="221"/>
      <c r="B166" s="24"/>
      <c r="C166" s="24"/>
      <c r="D166" s="38"/>
      <c r="E166" s="141"/>
      <c r="AJ166" s="1"/>
      <c r="AK166" s="1"/>
      <c r="AL166" s="1"/>
      <c r="AM166" s="1"/>
    </row>
    <row r="167" spans="1:39" ht="12.75" customHeight="1" x14ac:dyDescent="0.2">
      <c r="A167" s="221"/>
      <c r="B167" s="24"/>
      <c r="C167" s="24"/>
      <c r="D167" s="38"/>
      <c r="E167" s="141"/>
      <c r="AJ167" s="1"/>
      <c r="AK167" s="1"/>
      <c r="AL167" s="1"/>
      <c r="AM167" s="1"/>
    </row>
    <row r="168" spans="1:39" ht="12.75" customHeight="1" x14ac:dyDescent="0.2">
      <c r="A168" s="221"/>
      <c r="B168" s="24"/>
      <c r="C168" s="24"/>
      <c r="D168" s="38"/>
      <c r="E168" s="142"/>
      <c r="AJ168" s="1"/>
      <c r="AK168" s="1"/>
      <c r="AL168" s="1"/>
      <c r="AM168" s="1"/>
    </row>
    <row r="169" spans="1:39" ht="12.75" customHeight="1" x14ac:dyDescent="0.2">
      <c r="A169" s="221"/>
      <c r="B169" s="24"/>
      <c r="C169" s="24"/>
      <c r="D169" s="38"/>
      <c r="E169" s="141"/>
      <c r="AJ169" s="1"/>
      <c r="AK169" s="1"/>
      <c r="AL169" s="1"/>
      <c r="AM169" s="1"/>
    </row>
    <row r="170" spans="1:39" ht="12.75" customHeight="1" x14ac:dyDescent="0.2">
      <c r="A170" s="221"/>
      <c r="B170" s="24"/>
      <c r="C170" s="24"/>
      <c r="D170" s="38"/>
      <c r="E170" s="141"/>
      <c r="AJ170" s="1"/>
      <c r="AK170" s="1"/>
      <c r="AL170" s="1"/>
      <c r="AM170" s="1"/>
    </row>
    <row r="171" spans="1:39" ht="12.75" customHeight="1" x14ac:dyDescent="0.2">
      <c r="A171" s="221"/>
      <c r="B171" s="24"/>
      <c r="C171" s="82"/>
      <c r="D171" s="140"/>
      <c r="E171" s="142"/>
      <c r="AJ171" s="1"/>
      <c r="AK171" s="1"/>
      <c r="AL171" s="1"/>
      <c r="AM171" s="1"/>
    </row>
    <row r="172" spans="1:39" ht="12.75" customHeight="1" x14ac:dyDescent="0.2">
      <c r="A172" s="221"/>
      <c r="B172" s="80"/>
      <c r="C172" s="82"/>
      <c r="D172" s="140"/>
      <c r="E172" s="142"/>
      <c r="AJ172" s="1"/>
      <c r="AK172" s="1"/>
      <c r="AL172" s="1"/>
      <c r="AM172" s="1"/>
    </row>
    <row r="173" spans="1:39" ht="12.75" customHeight="1" x14ac:dyDescent="0.2">
      <c r="A173" s="221"/>
      <c r="B173" s="80"/>
      <c r="C173" s="24"/>
      <c r="D173" s="38"/>
      <c r="E173" s="141"/>
      <c r="AJ173" s="1"/>
      <c r="AK173" s="1"/>
      <c r="AL173" s="1"/>
      <c r="AM173" s="1"/>
    </row>
    <row r="174" spans="1:39" ht="12.75" customHeight="1" x14ac:dyDescent="0.2">
      <c r="A174" s="221"/>
      <c r="B174" s="24"/>
      <c r="C174" s="24"/>
      <c r="D174" s="38"/>
      <c r="E174" s="141"/>
      <c r="AJ174" s="1"/>
      <c r="AK174" s="1"/>
      <c r="AL174" s="1"/>
      <c r="AM174" s="1"/>
    </row>
    <row r="175" spans="1:39" ht="12.75" customHeight="1" x14ac:dyDescent="0.2">
      <c r="A175" s="221"/>
      <c r="B175" s="24"/>
      <c r="C175" s="24"/>
      <c r="D175" s="38"/>
      <c r="E175" s="142"/>
      <c r="AJ175" s="1"/>
      <c r="AK175" s="1"/>
      <c r="AL175" s="1"/>
      <c r="AM175" s="1"/>
    </row>
    <row r="176" spans="1:39" ht="12.75" customHeight="1" x14ac:dyDescent="0.2">
      <c r="A176" s="221"/>
      <c r="B176" s="24"/>
      <c r="C176" s="24"/>
      <c r="D176" s="38"/>
      <c r="E176" s="141"/>
      <c r="AJ176" s="1"/>
      <c r="AK176" s="1"/>
      <c r="AL176" s="1"/>
      <c r="AM176" s="1"/>
    </row>
    <row r="177" spans="1:39" ht="12.75" customHeight="1" x14ac:dyDescent="0.2">
      <c r="A177" s="221"/>
      <c r="B177" s="24"/>
      <c r="C177" s="24"/>
      <c r="D177" s="38"/>
      <c r="E177" s="141"/>
      <c r="AJ177" s="1"/>
      <c r="AK177" s="1"/>
      <c r="AL177" s="1"/>
      <c r="AM177" s="1"/>
    </row>
    <row r="178" spans="1:39" ht="12.75" customHeight="1" x14ac:dyDescent="0.2">
      <c r="A178" s="221"/>
      <c r="B178" s="9"/>
      <c r="C178" s="82"/>
      <c r="D178" s="140"/>
      <c r="E178" s="142"/>
      <c r="AJ178" s="1"/>
      <c r="AK178" s="1"/>
      <c r="AL178" s="1"/>
      <c r="AM178" s="1"/>
    </row>
    <row r="179" spans="1:39" ht="12.75" customHeight="1" x14ac:dyDescent="0.2">
      <c r="A179" s="221"/>
      <c r="B179" s="9"/>
      <c r="C179" s="82"/>
      <c r="D179" s="140"/>
      <c r="E179" s="142"/>
      <c r="AJ179" s="1"/>
      <c r="AK179" s="1"/>
      <c r="AL179" s="1"/>
      <c r="AM179" s="1"/>
    </row>
    <row r="180" spans="1:39" ht="12.75" customHeight="1" x14ac:dyDescent="0.2">
      <c r="A180" s="221"/>
      <c r="B180" s="9"/>
      <c r="C180" s="82"/>
      <c r="D180" s="140"/>
      <c r="E180" s="141"/>
      <c r="AJ180" s="1"/>
      <c r="AK180" s="1"/>
      <c r="AL180" s="1"/>
      <c r="AM180" s="1"/>
    </row>
    <row r="181" spans="1:39" ht="12.75" customHeight="1" x14ac:dyDescent="0.2">
      <c r="A181" s="221"/>
      <c r="B181" s="24"/>
      <c r="C181" s="24"/>
      <c r="D181" s="38"/>
      <c r="E181" s="141"/>
      <c r="AJ181" s="1"/>
      <c r="AK181" s="1"/>
      <c r="AL181" s="1"/>
      <c r="AM181" s="1"/>
    </row>
    <row r="182" spans="1:39" ht="12.75" customHeight="1" x14ac:dyDescent="0.2">
      <c r="A182" s="221"/>
      <c r="B182" s="24"/>
      <c r="C182" s="24"/>
      <c r="D182" s="38"/>
      <c r="E182" s="141"/>
      <c r="AJ182" s="1"/>
      <c r="AK182" s="1"/>
      <c r="AL182" s="1"/>
      <c r="AM182" s="1"/>
    </row>
    <row r="183" spans="1:39" ht="12.75" customHeight="1" x14ac:dyDescent="0.2">
      <c r="A183" s="221"/>
      <c r="B183" s="24"/>
      <c r="C183" s="24"/>
      <c r="D183" s="38"/>
      <c r="E183" s="141"/>
      <c r="AJ183" s="1"/>
      <c r="AK183" s="1"/>
      <c r="AL183" s="1"/>
      <c r="AM183" s="1"/>
    </row>
    <row r="184" spans="1:39" ht="12.75" customHeight="1" x14ac:dyDescent="0.2">
      <c r="A184" s="221"/>
      <c r="B184" s="24"/>
      <c r="C184" s="24"/>
      <c r="D184" s="38"/>
      <c r="E184" s="143"/>
      <c r="AJ184" s="1"/>
      <c r="AK184" s="1"/>
      <c r="AL184" s="1"/>
      <c r="AM184" s="1"/>
    </row>
    <row r="185" spans="1:39" ht="12.75" customHeight="1" thickBot="1" x14ac:dyDescent="0.25">
      <c r="A185" s="222"/>
      <c r="B185" s="24"/>
      <c r="C185" s="24"/>
      <c r="D185" s="145" t="s">
        <v>244</v>
      </c>
      <c r="E185" s="144">
        <f>SUM(E165:E184)</f>
        <v>0</v>
      </c>
      <c r="AJ185" s="1"/>
      <c r="AK185" s="1"/>
      <c r="AL185" s="1"/>
      <c r="AM185" s="1"/>
    </row>
    <row r="186" spans="1:39" ht="12.75" customHeight="1" thickTop="1" thickBot="1" x14ac:dyDescent="0.25">
      <c r="A186" s="220"/>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245</v>
      </c>
      <c r="B189" s="59"/>
      <c r="C189" s="59"/>
      <c r="D189" s="59"/>
      <c r="E189" s="59"/>
      <c r="F189" s="59"/>
      <c r="G189" s="59"/>
      <c r="H189" s="59"/>
      <c r="I189" s="59"/>
      <c r="J189" s="59"/>
      <c r="K189" s="59"/>
      <c r="L189" s="59"/>
      <c r="M189" s="60"/>
      <c r="O189" s="1"/>
      <c r="P189" s="1"/>
      <c r="Q189" s="1"/>
      <c r="R189" s="1"/>
    </row>
    <row r="190" spans="1:39" ht="12.75" customHeight="1" x14ac:dyDescent="0.2">
      <c r="A190" s="85" t="s">
        <v>246</v>
      </c>
      <c r="B190" s="86" t="s">
        <v>219</v>
      </c>
      <c r="C190" s="87" t="s">
        <v>247</v>
      </c>
      <c r="D190" s="88" t="s">
        <v>248</v>
      </c>
      <c r="E190" s="135" t="s">
        <v>220</v>
      </c>
      <c r="F190" s="89"/>
      <c r="G190" s="89"/>
      <c r="H190" s="89"/>
      <c r="I190" s="89"/>
      <c r="J190" s="89"/>
      <c r="K190" s="89"/>
      <c r="L190" s="89"/>
      <c r="M190" s="211" t="s">
        <v>221</v>
      </c>
      <c r="O190" s="1"/>
      <c r="P190" s="1"/>
      <c r="Q190" s="1"/>
      <c r="R190" s="1"/>
    </row>
    <row r="191" spans="1:39" ht="12.75" customHeight="1" x14ac:dyDescent="0.2">
      <c r="A191" s="227"/>
      <c r="B191" s="134"/>
      <c r="C191" s="224"/>
      <c r="D191" s="38"/>
      <c r="E191" s="24"/>
      <c r="F191" s="24"/>
      <c r="G191" s="24"/>
      <c r="H191" s="24"/>
      <c r="I191" s="24"/>
      <c r="J191" s="24"/>
      <c r="K191" s="24"/>
      <c r="L191" s="24"/>
      <c r="M191" s="91"/>
      <c r="O191" s="1"/>
      <c r="P191" s="1"/>
      <c r="Q191" s="1"/>
      <c r="R191" s="1"/>
    </row>
    <row r="192" spans="1:39" ht="12.75" customHeight="1" x14ac:dyDescent="0.2">
      <c r="A192" s="227"/>
      <c r="B192" s="134"/>
      <c r="C192" s="224"/>
      <c r="D192" s="38"/>
      <c r="E192" s="24"/>
      <c r="F192" s="24"/>
      <c r="G192" s="24"/>
      <c r="H192" s="24"/>
      <c r="I192" s="24"/>
      <c r="J192" s="24"/>
      <c r="K192" s="24"/>
      <c r="L192" s="24"/>
      <c r="M192" s="91"/>
      <c r="O192" s="1"/>
      <c r="P192" s="1"/>
      <c r="Q192" s="1"/>
      <c r="R192" s="1"/>
    </row>
    <row r="193" spans="1:18" ht="12.75" customHeight="1" x14ac:dyDescent="0.2">
      <c r="A193" s="227"/>
      <c r="B193" s="134"/>
      <c r="C193" s="224"/>
      <c r="D193" s="38"/>
      <c r="E193" s="24"/>
      <c r="F193" s="24"/>
      <c r="G193" s="24"/>
      <c r="H193" s="24"/>
      <c r="I193" s="24"/>
      <c r="J193" s="24"/>
      <c r="K193" s="24"/>
      <c r="L193" s="24"/>
      <c r="M193" s="91"/>
      <c r="O193" s="1"/>
      <c r="P193" s="1"/>
      <c r="Q193" s="1"/>
      <c r="R193" s="1"/>
    </row>
    <row r="194" spans="1:18" ht="12.75" customHeight="1" x14ac:dyDescent="0.2">
      <c r="A194" s="227"/>
      <c r="B194" s="134"/>
      <c r="C194" s="224"/>
      <c r="D194" s="38"/>
      <c r="E194" s="24"/>
      <c r="F194" s="24"/>
      <c r="G194" s="24"/>
      <c r="H194" s="24"/>
      <c r="I194" s="24"/>
      <c r="J194" s="24"/>
      <c r="K194" s="24"/>
      <c r="L194" s="24"/>
      <c r="M194" s="91"/>
      <c r="O194" s="1"/>
      <c r="P194" s="1"/>
      <c r="Q194" s="1"/>
      <c r="R194" s="1"/>
    </row>
    <row r="195" spans="1:18" ht="12.75" customHeight="1" x14ac:dyDescent="0.2">
      <c r="A195" s="227"/>
      <c r="B195" s="134"/>
      <c r="C195" s="224"/>
      <c r="D195" s="38"/>
      <c r="E195" s="24"/>
      <c r="F195" s="24"/>
      <c r="G195" s="24"/>
      <c r="H195" s="24"/>
      <c r="I195" s="24"/>
      <c r="J195" s="24"/>
      <c r="K195" s="24"/>
      <c r="L195" s="24"/>
      <c r="M195" s="91"/>
      <c r="O195" s="1"/>
      <c r="P195" s="1"/>
      <c r="Q195" s="1"/>
      <c r="R195" s="1"/>
    </row>
    <row r="196" spans="1:18" ht="12.75" customHeight="1" x14ac:dyDescent="0.2">
      <c r="A196" s="227"/>
      <c r="B196" s="134"/>
      <c r="C196" s="224"/>
      <c r="D196" s="38"/>
      <c r="E196" s="24"/>
      <c r="F196" s="24"/>
      <c r="G196" s="24"/>
      <c r="H196" s="24"/>
      <c r="I196" s="24"/>
      <c r="J196" s="24"/>
      <c r="K196" s="24"/>
      <c r="L196" s="24"/>
      <c r="M196" s="91"/>
    </row>
    <row r="197" spans="1:18" ht="12.75" customHeight="1" x14ac:dyDescent="0.2">
      <c r="A197" s="227"/>
      <c r="B197" s="134"/>
      <c r="C197" s="224"/>
      <c r="D197" s="38"/>
      <c r="E197" s="24"/>
      <c r="F197" s="24"/>
      <c r="G197" s="24"/>
      <c r="H197" s="24"/>
      <c r="I197" s="24"/>
      <c r="J197" s="24"/>
      <c r="K197" s="24"/>
      <c r="L197" s="24"/>
      <c r="M197" s="91"/>
    </row>
    <row r="198" spans="1:18" ht="12.75" customHeight="1" x14ac:dyDescent="0.2">
      <c r="A198" s="227"/>
      <c r="B198" s="134"/>
      <c r="C198" s="224"/>
      <c r="D198" s="38"/>
      <c r="E198" s="24"/>
      <c r="F198" s="24"/>
      <c r="G198" s="24"/>
      <c r="H198" s="24"/>
      <c r="I198" s="24"/>
      <c r="J198" s="24"/>
      <c r="K198" s="24"/>
      <c r="L198" s="24"/>
      <c r="M198" s="91"/>
    </row>
    <row r="199" spans="1:18" ht="12.75" customHeight="1" x14ac:dyDescent="0.2">
      <c r="A199" s="227"/>
      <c r="B199" s="134"/>
      <c r="C199" s="224"/>
      <c r="D199" s="38"/>
      <c r="E199" s="24"/>
      <c r="F199" s="24"/>
      <c r="G199" s="24"/>
      <c r="H199" s="24"/>
      <c r="I199" s="24"/>
      <c r="J199" s="24"/>
      <c r="K199" s="24"/>
      <c r="L199" s="24"/>
      <c r="M199" s="91"/>
    </row>
    <row r="200" spans="1:18" ht="12.75" customHeight="1" x14ac:dyDescent="0.2">
      <c r="A200" s="227"/>
      <c r="B200" s="134"/>
      <c r="C200" s="224"/>
      <c r="D200" s="38"/>
      <c r="E200" s="24"/>
      <c r="F200" s="24"/>
      <c r="G200" s="24"/>
      <c r="H200" s="24"/>
      <c r="I200" s="24"/>
      <c r="J200" s="24"/>
      <c r="K200" s="24"/>
      <c r="L200" s="24"/>
      <c r="M200" s="91"/>
    </row>
    <row r="201" spans="1:18" ht="12.75" customHeight="1" x14ac:dyDescent="0.2">
      <c r="A201" s="90"/>
      <c r="B201" s="134"/>
      <c r="C201" s="224"/>
      <c r="D201" s="38"/>
      <c r="E201" s="24"/>
      <c r="F201" s="24"/>
      <c r="G201" s="24"/>
      <c r="H201" s="24"/>
      <c r="I201" s="24"/>
      <c r="J201" s="24"/>
      <c r="K201" s="24"/>
      <c r="L201" s="24"/>
      <c r="M201" s="91"/>
    </row>
    <row r="202" spans="1:18" ht="12.75" customHeight="1" x14ac:dyDescent="0.2">
      <c r="A202" s="90"/>
      <c r="B202" s="134"/>
      <c r="C202" s="224"/>
      <c r="D202" s="38"/>
      <c r="E202" s="24"/>
      <c r="F202" s="24"/>
      <c r="G202" s="24"/>
      <c r="H202" s="24"/>
      <c r="I202" s="24"/>
      <c r="J202" s="24"/>
      <c r="K202" s="24"/>
      <c r="L202" s="24"/>
      <c r="M202" s="91"/>
    </row>
    <row r="203" spans="1:18" ht="12.75" customHeight="1" x14ac:dyDescent="0.2">
      <c r="A203" s="90"/>
      <c r="B203" s="134"/>
      <c r="C203" s="224"/>
      <c r="D203" s="38"/>
      <c r="E203" s="24"/>
      <c r="F203" s="24"/>
      <c r="G203" s="24"/>
      <c r="H203" s="24"/>
      <c r="I203" s="24"/>
      <c r="J203" s="24"/>
      <c r="K203" s="24"/>
      <c r="L203" s="24"/>
      <c r="M203" s="91"/>
    </row>
    <row r="204" spans="1:18" ht="12.75" customHeight="1" x14ac:dyDescent="0.2">
      <c r="A204" s="90"/>
      <c r="B204" s="134"/>
      <c r="C204" s="224"/>
      <c r="D204" s="38"/>
      <c r="E204" s="24"/>
      <c r="F204" s="24"/>
      <c r="G204" s="24"/>
      <c r="H204" s="24"/>
      <c r="I204" s="24"/>
      <c r="J204" s="24"/>
      <c r="K204" s="24"/>
      <c r="L204" s="24"/>
      <c r="M204" s="91"/>
    </row>
    <row r="205" spans="1:18" ht="12.75" customHeight="1" x14ac:dyDescent="0.2">
      <c r="A205" s="90"/>
      <c r="B205" s="134"/>
      <c r="C205" s="226"/>
      <c r="D205" s="38"/>
      <c r="E205" s="24"/>
      <c r="F205" s="24"/>
      <c r="G205" s="24"/>
      <c r="H205" s="24"/>
      <c r="I205" s="24"/>
      <c r="J205" s="24"/>
      <c r="K205" s="24"/>
      <c r="L205" s="24"/>
      <c r="M205" s="91"/>
    </row>
    <row r="206" spans="1:18" ht="12.75" customHeight="1" x14ac:dyDescent="0.2">
      <c r="A206" s="90"/>
      <c r="B206" s="134"/>
      <c r="C206" s="226"/>
      <c r="D206" s="38"/>
      <c r="E206" s="24"/>
      <c r="F206" s="24"/>
      <c r="G206" s="24"/>
      <c r="H206" s="24"/>
      <c r="I206" s="24"/>
      <c r="J206" s="24"/>
      <c r="K206" s="24"/>
      <c r="L206" s="24"/>
      <c r="M206" s="91"/>
    </row>
    <row r="207" spans="1:18" ht="12.75" customHeight="1" x14ac:dyDescent="0.2">
      <c r="A207" s="90"/>
      <c r="B207" s="134"/>
      <c r="C207" s="226"/>
      <c r="D207" s="38"/>
      <c r="E207" s="24"/>
      <c r="F207" s="24"/>
      <c r="G207" s="24"/>
      <c r="H207" s="24"/>
      <c r="I207" s="24"/>
      <c r="J207" s="24"/>
      <c r="K207" s="24"/>
      <c r="L207" s="24"/>
      <c r="M207" s="91"/>
    </row>
    <row r="208" spans="1:18" ht="12.75" customHeight="1" x14ac:dyDescent="0.2">
      <c r="A208" s="90"/>
      <c r="B208" s="134"/>
      <c r="C208" s="225"/>
      <c r="D208" s="38"/>
      <c r="E208" s="24"/>
      <c r="F208" s="24"/>
      <c r="G208" s="24"/>
      <c r="H208" s="24"/>
      <c r="I208" s="24"/>
      <c r="J208" s="24"/>
      <c r="K208" s="24"/>
      <c r="L208" s="24"/>
      <c r="M208" s="91"/>
    </row>
    <row r="209" spans="1:14" ht="12.75" customHeight="1" x14ac:dyDescent="0.2">
      <c r="A209" s="90"/>
      <c r="B209" s="134"/>
      <c r="C209" s="225"/>
      <c r="D209" s="38"/>
      <c r="E209" s="24"/>
      <c r="F209" s="24"/>
      <c r="G209" s="24"/>
      <c r="H209" s="24"/>
      <c r="I209" s="24"/>
      <c r="J209" s="24"/>
      <c r="K209" s="24"/>
      <c r="L209" s="24"/>
      <c r="M209" s="91"/>
    </row>
    <row r="210" spans="1:14" ht="12.75" customHeight="1" x14ac:dyDescent="0.2">
      <c r="A210" s="90"/>
      <c r="B210" s="134"/>
      <c r="C210" s="225"/>
      <c r="D210" s="38"/>
      <c r="E210" s="24"/>
      <c r="F210" s="24"/>
      <c r="G210" s="24"/>
      <c r="H210" s="24"/>
      <c r="I210" s="24"/>
      <c r="J210" s="24"/>
      <c r="K210" s="24"/>
      <c r="L210" s="24"/>
      <c r="M210" s="91"/>
    </row>
    <row r="211" spans="1:14" ht="12.75" customHeight="1" x14ac:dyDescent="0.2">
      <c r="A211" s="90"/>
      <c r="B211" s="134"/>
      <c r="C211" s="225"/>
      <c r="D211" s="38"/>
      <c r="E211" s="24"/>
      <c r="F211" s="24"/>
      <c r="G211" s="24"/>
      <c r="H211" s="24"/>
      <c r="I211" s="24"/>
      <c r="J211" s="24"/>
      <c r="K211" s="24"/>
      <c r="L211" s="24"/>
      <c r="M211" s="91"/>
    </row>
    <row r="212" spans="1:14" ht="12.75" customHeight="1" x14ac:dyDescent="0.2">
      <c r="A212" s="90"/>
      <c r="B212" s="134"/>
      <c r="C212" s="225"/>
      <c r="D212" s="38"/>
      <c r="E212" s="24"/>
      <c r="F212" s="24"/>
      <c r="G212" s="24"/>
      <c r="H212" s="24"/>
      <c r="I212" s="24"/>
      <c r="J212" s="24"/>
      <c r="K212" s="24"/>
      <c r="L212" s="24"/>
      <c r="M212" s="91"/>
    </row>
    <row r="213" spans="1:14" ht="12.75" customHeight="1" x14ac:dyDescent="0.2">
      <c r="A213" s="90"/>
      <c r="B213" s="134"/>
      <c r="C213" s="225"/>
      <c r="D213" s="38"/>
      <c r="E213" s="24"/>
      <c r="F213" s="24"/>
      <c r="G213" s="24"/>
      <c r="H213" s="24"/>
      <c r="I213" s="24"/>
      <c r="J213" s="24"/>
      <c r="K213" s="24"/>
      <c r="L213" s="24"/>
      <c r="M213" s="91"/>
    </row>
    <row r="214" spans="1:14" ht="12.75" customHeight="1" thickBot="1" x14ac:dyDescent="0.25">
      <c r="A214" s="90"/>
      <c r="B214" s="134"/>
      <c r="C214" s="223"/>
      <c r="D214" s="38"/>
      <c r="E214" s="24"/>
      <c r="F214" s="24"/>
      <c r="G214" s="24"/>
      <c r="H214" s="24"/>
      <c r="I214" s="24"/>
      <c r="J214" s="24"/>
      <c r="K214" s="24"/>
      <c r="L214" s="145" t="s">
        <v>249</v>
      </c>
      <c r="M214" s="92">
        <f>SUM(M191:M213)</f>
        <v>0</v>
      </c>
    </row>
    <row r="215" spans="1:14" ht="12.75" customHeight="1" thickTop="1" thickBot="1" x14ac:dyDescent="0.25">
      <c r="A215" s="93"/>
      <c r="B215" s="151"/>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5" t="s">
        <v>250</v>
      </c>
      <c r="B218" s="154"/>
      <c r="C218" s="154"/>
      <c r="D218" s="154"/>
      <c r="E218" s="154"/>
      <c r="F218" s="157"/>
      <c r="G218" s="94"/>
      <c r="H218" s="94"/>
      <c r="I218" s="94"/>
      <c r="J218" s="94"/>
      <c r="K218" s="94"/>
      <c r="L218" s="94"/>
      <c r="M218" s="94"/>
      <c r="N218" s="94"/>
    </row>
    <row r="219" spans="1:14" ht="12.75" customHeight="1" thickBot="1" x14ac:dyDescent="0.25">
      <c r="A219" s="156" t="s">
        <v>246</v>
      </c>
      <c r="B219" s="95" t="s">
        <v>219</v>
      </c>
      <c r="C219" s="96" t="s">
        <v>247</v>
      </c>
      <c r="D219" s="165" t="s">
        <v>248</v>
      </c>
      <c r="E219" s="166"/>
      <c r="F219" s="158" t="s">
        <v>221</v>
      </c>
      <c r="G219" s="94"/>
      <c r="H219" s="94"/>
      <c r="I219" s="94"/>
      <c r="J219" s="94"/>
      <c r="K219" s="94"/>
      <c r="L219" s="94"/>
      <c r="M219" s="94"/>
      <c r="N219" s="94"/>
    </row>
    <row r="220" spans="1:14" ht="12.75" customHeight="1" x14ac:dyDescent="0.2">
      <c r="A220" s="231"/>
      <c r="B220" s="134"/>
      <c r="C220" s="97"/>
      <c r="D220" s="24"/>
      <c r="E220" s="167"/>
      <c r="F220" s="232"/>
      <c r="G220" s="98"/>
      <c r="H220" s="98"/>
      <c r="I220" s="98"/>
      <c r="J220" s="98"/>
      <c r="K220" s="98"/>
      <c r="L220" s="98"/>
      <c r="M220" s="98"/>
      <c r="N220" s="98"/>
    </row>
    <row r="221" spans="1:14" ht="12.75" customHeight="1" x14ac:dyDescent="0.2">
      <c r="A221" s="231"/>
      <c r="B221" s="134"/>
      <c r="C221" s="94"/>
      <c r="D221" s="233"/>
      <c r="E221" s="167"/>
      <c r="F221" s="159"/>
      <c r="G221" s="98"/>
      <c r="H221" s="98"/>
      <c r="I221" s="98"/>
      <c r="J221" s="98"/>
      <c r="K221" s="98"/>
      <c r="L221" s="98"/>
      <c r="M221" s="98"/>
      <c r="N221" s="98"/>
    </row>
    <row r="222" spans="1:14" ht="12.75" customHeight="1" x14ac:dyDescent="0.2">
      <c r="A222" s="231"/>
      <c r="B222" s="134"/>
      <c r="C222" s="94"/>
      <c r="D222" s="233"/>
      <c r="E222" s="167"/>
      <c r="F222" s="160"/>
      <c r="G222" s="94"/>
      <c r="H222" s="94"/>
      <c r="I222" s="94"/>
      <c r="J222" s="94"/>
      <c r="K222" s="94"/>
      <c r="L222" s="94"/>
      <c r="M222" s="94"/>
      <c r="N222" s="94"/>
    </row>
    <row r="223" spans="1:14" ht="12.75" customHeight="1" x14ac:dyDescent="0.2">
      <c r="A223" s="231"/>
      <c r="B223" s="134"/>
      <c r="C223" s="94"/>
      <c r="D223" s="233"/>
      <c r="E223" s="167"/>
      <c r="F223" s="160"/>
      <c r="G223" s="94"/>
      <c r="H223" s="94"/>
      <c r="I223" s="94"/>
      <c r="J223" s="94"/>
      <c r="K223" s="94"/>
      <c r="L223" s="94"/>
      <c r="M223" s="94"/>
      <c r="N223" s="94"/>
    </row>
    <row r="224" spans="1:14" ht="12.75" customHeight="1" x14ac:dyDescent="0.2">
      <c r="A224" s="231"/>
      <c r="B224" s="134"/>
      <c r="C224" s="94"/>
      <c r="D224" s="233"/>
      <c r="E224" s="167"/>
      <c r="F224" s="160"/>
      <c r="G224" s="94"/>
      <c r="H224" s="94"/>
      <c r="I224" s="94"/>
      <c r="J224" s="94"/>
      <c r="K224" s="94"/>
      <c r="L224" s="94"/>
      <c r="M224" s="94"/>
      <c r="N224" s="94"/>
    </row>
    <row r="225" spans="1:14" ht="12.75" customHeight="1" x14ac:dyDescent="0.2">
      <c r="A225" s="231"/>
      <c r="B225" s="134"/>
      <c r="C225" s="94"/>
      <c r="D225" s="233"/>
      <c r="E225" s="167"/>
      <c r="F225" s="160"/>
      <c r="G225" s="94"/>
      <c r="H225" s="94"/>
      <c r="I225" s="94"/>
      <c r="J225" s="94"/>
      <c r="K225" s="94"/>
      <c r="L225" s="94"/>
      <c r="M225" s="94"/>
      <c r="N225" s="94"/>
    </row>
    <row r="226" spans="1:14" ht="12.75" customHeight="1" x14ac:dyDescent="0.2">
      <c r="A226" s="231"/>
      <c r="B226" s="134"/>
      <c r="C226" s="94"/>
      <c r="D226" s="233"/>
      <c r="E226" s="167"/>
      <c r="F226" s="160"/>
      <c r="G226" s="94"/>
      <c r="H226" s="94"/>
      <c r="I226" s="94"/>
      <c r="J226" s="94"/>
      <c r="K226" s="94"/>
      <c r="L226" s="94"/>
      <c r="M226" s="94"/>
      <c r="N226" s="94"/>
    </row>
    <row r="227" spans="1:14" ht="12.75" customHeight="1" x14ac:dyDescent="0.2">
      <c r="A227" s="231"/>
      <c r="B227" s="134"/>
      <c r="C227" s="94"/>
      <c r="D227" s="233"/>
      <c r="E227" s="167"/>
      <c r="F227" s="160"/>
      <c r="G227" s="94"/>
      <c r="H227" s="94"/>
      <c r="I227" s="94"/>
      <c r="J227" s="94"/>
      <c r="K227" s="94"/>
      <c r="L227" s="94"/>
      <c r="M227" s="94"/>
      <c r="N227" s="94"/>
    </row>
    <row r="228" spans="1:14" ht="12.75" customHeight="1" x14ac:dyDescent="0.2">
      <c r="A228" s="231"/>
      <c r="B228" s="134"/>
      <c r="C228" s="94"/>
      <c r="D228" s="233"/>
      <c r="E228" s="167"/>
      <c r="F228" s="160"/>
      <c r="G228" s="94"/>
      <c r="H228" s="94"/>
      <c r="I228" s="94"/>
      <c r="J228" s="94"/>
      <c r="K228" s="94"/>
      <c r="L228" s="94"/>
      <c r="M228" s="94"/>
      <c r="N228" s="94"/>
    </row>
    <row r="229" spans="1:14" ht="12.75" customHeight="1" x14ac:dyDescent="0.2">
      <c r="A229" s="231"/>
      <c r="B229" s="134"/>
      <c r="C229" s="94"/>
      <c r="D229" s="233"/>
      <c r="E229" s="167"/>
      <c r="F229" s="160"/>
      <c r="G229" s="94"/>
      <c r="H229" s="94"/>
      <c r="I229" s="94"/>
      <c r="J229" s="94"/>
      <c r="K229" s="94"/>
      <c r="L229" s="94"/>
      <c r="M229" s="94"/>
      <c r="N229" s="94"/>
    </row>
    <row r="230" spans="1:14" ht="12.75" customHeight="1" x14ac:dyDescent="0.2">
      <c r="A230" s="231"/>
      <c r="B230" s="134"/>
      <c r="C230" s="94"/>
      <c r="D230" s="233"/>
      <c r="E230" s="167"/>
      <c r="F230" s="160"/>
      <c r="G230" s="94"/>
      <c r="H230" s="94"/>
      <c r="I230" s="94"/>
      <c r="J230" s="94"/>
      <c r="K230" s="94"/>
      <c r="L230" s="94"/>
      <c r="M230" s="94"/>
      <c r="N230" s="94"/>
    </row>
    <row r="231" spans="1:14" ht="12.75" customHeight="1" x14ac:dyDescent="0.2">
      <c r="A231" s="231"/>
      <c r="B231" s="134"/>
      <c r="C231" s="94"/>
      <c r="D231" s="233"/>
      <c r="E231" s="167"/>
      <c r="F231" s="160"/>
      <c r="G231" s="94"/>
      <c r="H231" s="94"/>
      <c r="I231" s="94"/>
      <c r="J231" s="94"/>
      <c r="K231" s="94"/>
      <c r="L231" s="94"/>
      <c r="M231" s="94"/>
      <c r="N231" s="94"/>
    </row>
    <row r="232" spans="1:14" ht="12.75" customHeight="1" x14ac:dyDescent="0.2">
      <c r="A232" s="231"/>
      <c r="B232" s="134"/>
      <c r="C232" s="94"/>
      <c r="D232" s="233"/>
      <c r="E232" s="167"/>
      <c r="F232" s="160"/>
      <c r="G232" s="94"/>
      <c r="H232" s="94"/>
      <c r="I232" s="94"/>
      <c r="J232" s="94"/>
      <c r="K232" s="94"/>
      <c r="L232" s="94"/>
      <c r="M232" s="94"/>
      <c r="N232" s="94"/>
    </row>
    <row r="233" spans="1:14" ht="12.75" customHeight="1" x14ac:dyDescent="0.2">
      <c r="A233" s="231"/>
      <c r="B233" s="134"/>
      <c r="C233" s="94"/>
      <c r="D233" s="233"/>
      <c r="E233" s="167"/>
      <c r="F233" s="160"/>
      <c r="G233" s="94"/>
      <c r="H233" s="94"/>
      <c r="I233" s="94"/>
      <c r="J233" s="94"/>
      <c r="K233" s="94"/>
      <c r="L233" s="94"/>
      <c r="M233" s="94"/>
      <c r="N233" s="94"/>
    </row>
    <row r="234" spans="1:14" ht="12.75" customHeight="1" x14ac:dyDescent="0.2">
      <c r="A234" s="231"/>
      <c r="B234" s="134"/>
      <c r="C234" s="94"/>
      <c r="D234" s="233"/>
      <c r="E234" s="167"/>
      <c r="F234" s="160"/>
      <c r="G234" s="94"/>
      <c r="H234" s="94"/>
      <c r="I234" s="94"/>
      <c r="J234" s="94"/>
      <c r="K234" s="94"/>
      <c r="L234" s="94"/>
      <c r="M234" s="94"/>
      <c r="N234" s="94"/>
    </row>
    <row r="235" spans="1:14" ht="12.75" customHeight="1" x14ac:dyDescent="0.2">
      <c r="A235" s="231"/>
      <c r="B235" s="134"/>
      <c r="C235" s="94"/>
      <c r="D235" s="233"/>
      <c r="E235" s="167"/>
      <c r="F235" s="160"/>
      <c r="G235" s="94"/>
      <c r="H235" s="94"/>
      <c r="I235" s="94"/>
      <c r="J235" s="94"/>
      <c r="K235" s="94"/>
      <c r="L235" s="94"/>
      <c r="M235" s="94"/>
      <c r="N235" s="94"/>
    </row>
    <row r="236" spans="1:14" ht="12.75" customHeight="1" x14ac:dyDescent="0.2">
      <c r="A236" s="231"/>
      <c r="B236" s="134"/>
      <c r="C236" s="94"/>
      <c r="D236" s="233"/>
      <c r="E236" s="167"/>
      <c r="F236" s="160"/>
      <c r="G236" s="94"/>
      <c r="H236" s="94"/>
      <c r="I236" s="94"/>
      <c r="J236" s="94"/>
      <c r="K236" s="94"/>
      <c r="L236" s="94"/>
      <c r="M236" s="94"/>
      <c r="N236" s="94"/>
    </row>
    <row r="237" spans="1:14" ht="12.75" customHeight="1" x14ac:dyDescent="0.2">
      <c r="A237" s="231"/>
      <c r="B237" s="134"/>
      <c r="C237" s="94"/>
      <c r="D237" s="233"/>
      <c r="E237" s="167"/>
      <c r="F237" s="160"/>
      <c r="G237" s="94"/>
      <c r="H237" s="94"/>
      <c r="I237" s="94"/>
      <c r="J237" s="94"/>
      <c r="K237" s="94"/>
      <c r="L237" s="94"/>
      <c r="M237" s="94"/>
      <c r="N237" s="94"/>
    </row>
    <row r="238" spans="1:14" ht="12.75" customHeight="1" thickBot="1" x14ac:dyDescent="0.25">
      <c r="A238" s="231"/>
      <c r="B238" s="134"/>
      <c r="C238" s="94"/>
      <c r="D238" s="94"/>
      <c r="E238" s="145" t="s">
        <v>251</v>
      </c>
      <c r="F238" s="168">
        <f>SUM(F219:F237)</f>
        <v>0</v>
      </c>
      <c r="G238" s="94"/>
      <c r="H238" s="94"/>
      <c r="I238" s="94"/>
      <c r="J238" s="94"/>
      <c r="K238" s="94"/>
      <c r="L238" s="94"/>
      <c r="M238" s="94"/>
      <c r="N238" s="94"/>
    </row>
    <row r="239" spans="1:14" ht="12.75" customHeight="1" thickTop="1" thickBot="1" x14ac:dyDescent="0.25">
      <c r="A239" s="161"/>
      <c r="B239" s="162"/>
      <c r="C239" s="163"/>
      <c r="D239" s="163"/>
      <c r="E239" s="212"/>
      <c r="F239" s="164"/>
      <c r="G239" s="94"/>
      <c r="H239" s="94"/>
      <c r="I239" s="94"/>
      <c r="J239" s="94"/>
      <c r="K239" s="94"/>
      <c r="L239" s="94"/>
      <c r="M239" s="94"/>
      <c r="N239" s="94"/>
    </row>
    <row r="240" spans="1:14" ht="12.75" customHeight="1" thickTop="1" x14ac:dyDescent="0.2"/>
  </sheetData>
  <customSheetViews>
    <customSheetView guid="{535643D2-B9EE-11D2-A857-00805F2505DF}" scale="75" fitToPage="1" showRuler="0" topLeftCell="A120">
      <selection activeCell="A121" sqref="A121:M239"/>
      <pageMargins left="0.25" right="0.25" top="0.25" bottom="0.25" header="0.25" footer="0.25"/>
      <printOptions horizontalCentered="1"/>
      <pageSetup paperSize="5"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9-B9EE-11D2-A857-00805F2505DF}" scale="75" fitToPage="1" showRuler="0" topLeftCell="A40">
      <selection activeCell="A41" sqref="A41:AG118"/>
      <pageMargins left="0.25" right="0.25" top="0.25" bottom="0.25" header="0.25" footer="0.25"/>
      <printOptions horizontalCentered="1"/>
      <pageSetup paperSize="5"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0-B9EE-11D2-A857-00805F2505DF}" scale="75" fitToPage="1" showRuler="0" topLeftCell="O18">
      <selection activeCell="A6" sqref="A6:R40"/>
      <pageMargins left="0.25" right="0.25" top="0.25" bottom="0.25" header="0.25" footer="0.25"/>
      <printOptions horizontalCentered="1"/>
      <pageSetup paperSize="5"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scale="47" orientation="landscape" horizontalDpi="4294967292" verticalDpi="4294967292" r:id="rId4"/>
  <headerFooter alignWithMargins="0">
    <oddFooter>&amp;L&amp;"Times New Roman,Italic"&amp;F/&amp;A&amp;R&amp;"Times New Roman,Italic"&amp;D &amp;T</oddFooter>
  </headerFooter>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21</vt:i4>
      </vt:variant>
      <vt:variant>
        <vt:lpstr>Charts</vt:lpstr>
      </vt:variant>
      <vt:variant>
        <vt:i4>1</vt:i4>
      </vt:variant>
      <vt:variant>
        <vt:lpstr>Named Ranges</vt:lpstr>
      </vt:variant>
      <vt:variant>
        <vt:i4>35</vt:i4>
      </vt:variant>
    </vt:vector>
  </HeadingPairs>
  <TitlesOfParts>
    <vt:vector size="57" baseType="lpstr">
      <vt:lpstr>Front</vt:lpstr>
      <vt:lpstr>NewDeals</vt:lpstr>
      <vt:lpstr>Report</vt:lpstr>
      <vt:lpstr>PL by Trader</vt:lpstr>
      <vt:lpstr>PriceAlberta</vt:lpstr>
      <vt:lpstr>AlbertaIndex</vt:lpstr>
      <vt:lpstr>PriceBC</vt:lpstr>
      <vt:lpstr>BCIndex</vt:lpstr>
      <vt:lpstr>PriceEOL</vt:lpstr>
      <vt:lpstr>EOLIndex</vt:lpstr>
      <vt:lpstr>Options</vt:lpstr>
      <vt:lpstr>OptionsIndex</vt:lpstr>
      <vt:lpstr>Straddle</vt:lpstr>
      <vt:lpstr>OptionsProp</vt:lpstr>
      <vt:lpstr>SpotRates</vt:lpstr>
      <vt:lpstr>TollExpl</vt:lpstr>
      <vt:lpstr>PrudExpl</vt:lpstr>
      <vt:lpstr>PrudCalc</vt:lpstr>
      <vt:lpstr>US $</vt:lpstr>
      <vt:lpstr>Orig Sched</vt:lpstr>
      <vt:lpstr>Price - East </vt:lpstr>
      <vt:lpstr>Chart1</vt:lpstr>
      <vt:lpstr>DTITLE</vt:lpstr>
      <vt:lpstr>orignames</vt:lpstr>
      <vt:lpstr>EOLIndex!Print_Area</vt:lpstr>
      <vt:lpstr>NewDeals!Print_Area</vt:lpstr>
      <vt:lpstr>Options!Print_Area</vt:lpstr>
      <vt:lpstr>OptionsIndex!Print_Area</vt:lpstr>
      <vt:lpstr>OptionsProp!Print_Area</vt:lpstr>
      <vt:lpstr>'Orig Sched'!Print_Area</vt:lpstr>
      <vt:lpstr>'PL by Trader'!Print_Area</vt:lpstr>
      <vt:lpstr>'Price - East '!Print_Area</vt:lpstr>
      <vt:lpstr>PriceAlberta!Print_Area</vt:lpstr>
      <vt:lpstr>PriceBC!Print_Area</vt:lpstr>
      <vt:lpstr>PriceEOL!Print_Area</vt:lpstr>
      <vt:lpstr>PrudCalc!Print_Area</vt:lpstr>
      <vt:lpstr>PrudExpl!Print_Area</vt:lpstr>
      <vt:lpstr>Report!Print_Area</vt:lpstr>
      <vt:lpstr>SpotRates!Print_Area</vt:lpstr>
      <vt:lpstr>Straddle!Print_Area</vt:lpstr>
      <vt:lpstr>'US $'!Print_Area</vt:lpstr>
      <vt:lpstr>Print_Area_MI</vt:lpstr>
      <vt:lpstr>AlbertaIndex!Print_Titles</vt:lpstr>
      <vt:lpstr>BCIndex!Print_Titles</vt:lpstr>
      <vt:lpstr>EOLIndex!Print_Titles</vt:lpstr>
      <vt:lpstr>Options!Print_Titles</vt:lpstr>
      <vt:lpstr>OptionsIndex!Print_Titles</vt:lpstr>
      <vt:lpstr>OptionsProp!Print_Titles</vt:lpstr>
      <vt:lpstr>'Orig Sched'!Print_Titles</vt:lpstr>
      <vt:lpstr>'Price - East '!Print_Titles</vt:lpstr>
      <vt:lpstr>PriceAlberta!Print_Titles</vt:lpstr>
      <vt:lpstr>PriceBC!Print_Titles</vt:lpstr>
      <vt:lpstr>PriceEOL!Print_Titles</vt:lpstr>
      <vt:lpstr>Straddle!Print_Titles</vt:lpstr>
      <vt:lpstr>'US $'!Print_Titles</vt:lpstr>
      <vt:lpstr>Print_Titles_MI</vt:lpstr>
      <vt:lpstr>TITLE</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kreeve1</dc:creator>
  <cp:lastModifiedBy>Jan Havlíček</cp:lastModifiedBy>
  <cp:lastPrinted>2000-11-18T02:22:02Z</cp:lastPrinted>
  <dcterms:created xsi:type="dcterms:W3CDTF">1998-03-27T03:33:59Z</dcterms:created>
  <dcterms:modified xsi:type="dcterms:W3CDTF">2023-09-16T20:39:08Z</dcterms:modified>
</cp:coreProperties>
</file>