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D01599-B5E1-436D-B9D9-9A58D7BCB095}" xr6:coauthVersionLast="47" xr6:coauthVersionMax="47" xr10:uidLastSave="{00000000-0000-0000-0000-000000000000}"/>
  <bookViews>
    <workbookView xWindow="-120" yWindow="-120" windowWidth="38640" windowHeight="15720" tabRatio="850" firstSheet="4" activeTab="5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pipes" sheetId="34" r:id="rId8"/>
    <sheet name="curves" sheetId="259" r:id="rId9"/>
    <sheet name="expiry" sheetId="2826" r:id="rId10"/>
  </sheets>
  <externalReferences>
    <externalReference r:id="rId11"/>
    <externalReference r:id="rId12"/>
    <externalReference r:id="rId13"/>
    <externalReference r:id="rId14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#REF!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#REF!</definedName>
    <definedName name="GASDVOLCURVES">#REF!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7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#REF!</definedName>
    <definedName name="VolLookup">#REF!</definedName>
    <definedName name="VOLS">[1]STRADDLES!$B$5:$K$50</definedName>
    <definedName name="voltable">#REF!</definedName>
    <definedName name="Volume">#REF!</definedName>
    <definedName name="winterstrip">STRADDLES!$B$20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D1" i="40"/>
  <c r="M1" i="40"/>
  <c r="N1" i="40"/>
  <c r="B2" i="40"/>
  <c r="C2" i="40"/>
  <c r="D2" i="40"/>
  <c r="E2" i="40"/>
  <c r="R2" i="40"/>
  <c r="I3" i="40"/>
  <c r="L3" i="40"/>
  <c r="N3" i="40"/>
  <c r="O3" i="40"/>
  <c r="AA3" i="40"/>
  <c r="L4" i="40"/>
  <c r="N4" i="40"/>
  <c r="O4" i="40"/>
  <c r="R4" i="40"/>
  <c r="L5" i="40"/>
  <c r="N5" i="40"/>
  <c r="O5" i="40"/>
  <c r="R5" i="40"/>
  <c r="AF5" i="40"/>
  <c r="B6" i="40"/>
  <c r="C6" i="40"/>
  <c r="D6" i="40"/>
  <c r="E6" i="40"/>
  <c r="L6" i="40"/>
  <c r="N6" i="40"/>
  <c r="O6" i="40"/>
  <c r="R6" i="40"/>
  <c r="AF6" i="40"/>
  <c r="B7" i="40"/>
  <c r="C7" i="40"/>
  <c r="D7" i="40"/>
  <c r="E7" i="40"/>
  <c r="J7" i="40"/>
  <c r="L7" i="40"/>
  <c r="N7" i="40"/>
  <c r="O7" i="40"/>
  <c r="R7" i="40"/>
  <c r="AF7" i="40"/>
  <c r="L8" i="40"/>
  <c r="N8" i="40"/>
  <c r="O8" i="40"/>
  <c r="R8" i="40"/>
  <c r="W8" i="40"/>
  <c r="AF8" i="40"/>
  <c r="H9" i="40"/>
  <c r="L9" i="40"/>
  <c r="N9" i="40"/>
  <c r="O9" i="40"/>
  <c r="R9" i="40"/>
  <c r="W9" i="40"/>
  <c r="H10" i="40"/>
  <c r="L10" i="40"/>
  <c r="N10" i="40"/>
  <c r="O10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U16" i="40"/>
  <c r="R18" i="40"/>
  <c r="Y28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B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</calcChain>
</file>

<file path=xl/sharedStrings.xml><?xml version="1.0" encoding="utf-8"?>
<sst xmlns="http://schemas.openxmlformats.org/spreadsheetml/2006/main" count="1028" uniqueCount="308">
  <si>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</si>
  <si>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</si>
  <si>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</si>
  <si>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</si>
  <si>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</si>
  <si>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</si>
  <si>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</si>
  <si>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</si>
  <si>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</si>
  <si>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</si>
  <si>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</si>
  <si>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</si>
  <si>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</si>
  <si>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</si>
  <si>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</si>
  <si>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</si>
  <si>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</si>
  <si>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</si>
  <si>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</si>
  <si>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</si>
  <si>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</si>
  <si>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</si>
  <si>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</si>
  <si>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</si>
  <si>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</si>
  <si>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</si>
  <si>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</si>
  <si>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</si>
  <si>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</si>
  <si>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</si>
  <si>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</si>
  <si>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</si>
  <si>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</si>
  <si>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</si>
  <si>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</si>
  <si>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</si>
  <si>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</si>
  <si>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</si>
  <si>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</si>
  <si>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</si>
  <si>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</si>
  <si>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</si>
  <si>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</si>
  <si>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</si>
  <si>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</si>
  <si>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</si>
  <si>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</si>
  <si>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</si>
  <si>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</si>
  <si>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</si>
  <si>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</si>
  <si>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</si>
  <si>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</si>
  <si>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</si>
  <si>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</si>
  <si>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</si>
  <si>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</si>
  <si>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</si>
  <si>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</si>
  <si>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</si>
  <si>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</si>
  <si>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</si>
  <si>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</si>
  <si>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</si>
  <si>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</si>
  <si>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</si>
  <si>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</si>
  <si>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</si>
  <si>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</si>
  <si>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</si>
  <si>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</si>
  <si>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</si>
  <si>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</si>
  <si>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</si>
  <si>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</si>
  <si>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</si>
  <si>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</si>
  <si>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</si>
  <si>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</si>
  <si>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</si>
  <si>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</si>
  <si>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</si>
  <si>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</si>
  <si>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</si>
  <si>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</si>
  <si>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</si>
  <si>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</si>
  <si>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</si>
  <si>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</si>
  <si>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</si>
  <si>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</si>
  <si>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</si>
  <si>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</si>
  <si>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</si>
  <si>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</si>
  <si>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</si>
  <si>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</si>
  <si>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</si>
  <si>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</si>
  <si>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</si>
  <si>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</si>
  <si>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</si>
  <si>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</si>
  <si>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</si>
  <si>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</si>
  <si>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</si>
  <si>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</si>
  <si>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</si>
  <si>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</si>
  <si>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</si>
  <si>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</si>
  <si>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</si>
  <si>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</si>
  <si>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</si>
  <si>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ADJ</t>
  </si>
  <si>
    <t>STRADDLE</t>
  </si>
  <si>
    <t>xh</t>
  </si>
  <si>
    <t>CAL2</t>
  </si>
  <si>
    <t>CAL3</t>
  </si>
  <si>
    <t>CAL4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</si>
  <si>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</si>
  <si>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</si>
  <si>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</si>
  <si>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</si>
  <si>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</si>
  <si>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</si>
  <si>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</si>
  <si>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</si>
  <si>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</si>
  <si>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</si>
  <si>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</si>
  <si>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</si>
  <si>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</si>
  <si>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</si>
  <si>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</si>
  <si>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</si>
  <si>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</si>
  <si>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</si>
  <si>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</si>
  <si>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</si>
  <si>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</si>
  <si>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</si>
  <si>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</si>
  <si>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</si>
  <si>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</si>
  <si>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</si>
  <si>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</si>
  <si>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</si>
  <si>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</si>
  <si>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</si>
  <si>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</si>
  <si>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</si>
  <si>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</si>
  <si>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</si>
  <si>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</si>
  <si>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</si>
  <si>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</si>
  <si>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</si>
  <si>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</si>
  <si>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</si>
  <si>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</si>
  <si>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</si>
  <si>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</si>
  <si>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</si>
  <si>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settle</t>
  </si>
  <si>
    <t>PIPE OPT</t>
  </si>
  <si>
    <t>DAYS</t>
  </si>
  <si>
    <t>GAS DAILY VOL</t>
  </si>
  <si>
    <t>GD VOL DEL</t>
  </si>
  <si>
    <t>socal</t>
  </si>
  <si>
    <t>FWD ST FLAG</t>
  </si>
  <si>
    <t/>
  </si>
  <si>
    <t>+</t>
  </si>
  <si>
    <t>-</t>
  </si>
  <si>
    <t>gas daily premiums</t>
  </si>
  <si>
    <t>UNDERLYING</t>
  </si>
  <si>
    <t>I</t>
  </si>
  <si>
    <t>APR-OCT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</si>
  <si>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</si>
  <si>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</si>
  <si>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</si>
  <si>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</si>
  <si>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</si>
  <si>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</si>
  <si>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</si>
  <si>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</si>
  <si>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</si>
  <si>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</si>
  <si>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</si>
  <si>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</si>
  <si>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</si>
  <si>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</si>
  <si>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</si>
  <si>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</si>
  <si>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</si>
  <si>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</si>
  <si>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</si>
  <si>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</si>
  <si>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</si>
  <si>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</si>
  <si>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</si>
  <si>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</si>
  <si>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</si>
  <si>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</si>
  <si>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</si>
  <si>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</si>
  <si>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</si>
  <si>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</si>
  <si>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</si>
  <si>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</si>
  <si>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</si>
  <si>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</si>
  <si>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nymex</t>
  </si>
  <si>
    <t>f</t>
  </si>
  <si>
    <t>g</t>
  </si>
  <si>
    <t>h</t>
  </si>
  <si>
    <t>xz02 (current arb)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</si>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</sst>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49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03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17" fontId="25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6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28" fillId="0" borderId="0" xfId="0" applyNumberFormat="1" applyFont="1"/>
    <xf numFmtId="0" fontId="27" fillId="0" borderId="0" xfId="0" applyFont="1" applyBorder="1"/>
    <xf numFmtId="0" fontId="27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29" fillId="0" borderId="0" xfId="0" applyNumberFormat="1" applyFont="1"/>
    <xf numFmtId="17" fontId="29" fillId="0" borderId="0" xfId="0" applyNumberFormat="1" applyFont="1"/>
    <xf numFmtId="10" fontId="30" fillId="2" borderId="0" xfId="0" applyNumberFormat="1" applyFont="1" applyFill="1" applyBorder="1" applyProtection="1">
      <protection locked="0"/>
    </xf>
    <xf numFmtId="0" fontId="29" fillId="0" borderId="0" xfId="0" applyFont="1" applyBorder="1"/>
    <xf numFmtId="0" fontId="30" fillId="0" borderId="0" xfId="0" quotePrefix="1" applyFont="1" applyBorder="1"/>
    <xf numFmtId="0" fontId="31" fillId="0" borderId="0" xfId="0" applyFont="1" applyBorder="1"/>
    <xf numFmtId="0" fontId="32" fillId="0" borderId="0" xfId="0" quotePrefix="1" applyFont="1" applyBorder="1"/>
    <xf numFmtId="0" fontId="32" fillId="2" borderId="0" xfId="0" applyFont="1" applyFill="1" applyBorder="1"/>
    <xf numFmtId="17" fontId="33" fillId="0" borderId="0" xfId="0" applyNumberFormat="1" applyFont="1"/>
    <xf numFmtId="0" fontId="34" fillId="0" borderId="0" xfId="0" applyFont="1"/>
    <xf numFmtId="173" fontId="15" fillId="0" borderId="0" xfId="0" applyNumberFormat="1" applyFont="1"/>
    <xf numFmtId="10" fontId="35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3" fillId="0" borderId="28" xfId="0" applyNumberFormat="1" applyFont="1" applyBorder="1"/>
    <xf numFmtId="165" fontId="14" fillId="0" borderId="28" xfId="0" applyNumberFormat="1" applyFont="1" applyBorder="1"/>
    <xf numFmtId="165" fontId="0" fillId="0" borderId="0" xfId="0" applyNumberFormat="1"/>
    <xf numFmtId="0" fontId="3" fillId="0" borderId="0" xfId="0" applyFon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68" fontId="0" fillId="0" borderId="0" xfId="0" applyNumberFormat="1"/>
    <xf numFmtId="4" fontId="27" fillId="0" borderId="0" xfId="0" applyNumberFormat="1" applyFont="1" applyBorder="1" applyProtection="1">
      <protection locked="0"/>
    </xf>
    <xf numFmtId="165" fontId="32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6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38" fillId="0" borderId="0" xfId="0" applyFont="1" applyAlignment="1">
      <alignment horizontal="center"/>
    </xf>
    <xf numFmtId="1" fontId="38" fillId="3" borderId="31" xfId="0" applyNumberFormat="1" applyFont="1" applyFill="1" applyBorder="1" applyAlignment="1">
      <alignment horizontal="center"/>
    </xf>
    <xf numFmtId="1" fontId="38" fillId="3" borderId="2" xfId="0" applyNumberFormat="1" applyFont="1" applyFill="1" applyBorder="1" applyAlignment="1">
      <alignment horizontal="center"/>
    </xf>
    <xf numFmtId="170" fontId="38" fillId="3" borderId="1" xfId="0" applyNumberFormat="1" applyFont="1" applyFill="1" applyBorder="1" applyAlignment="1">
      <alignment horizontal="center"/>
    </xf>
    <xf numFmtId="1" fontId="38" fillId="3" borderId="32" xfId="0" applyNumberFormat="1" applyFont="1" applyFill="1" applyBorder="1" applyAlignment="1">
      <alignment horizontal="center"/>
    </xf>
    <xf numFmtId="1" fontId="38" fillId="3" borderId="33" xfId="0" applyNumberFormat="1" applyFont="1" applyFill="1" applyBorder="1" applyAlignment="1">
      <alignment horizontal="center"/>
    </xf>
    <xf numFmtId="17" fontId="38" fillId="3" borderId="31" xfId="0" applyNumberFormat="1" applyFont="1" applyFill="1" applyBorder="1" applyAlignment="1">
      <alignment horizontal="center"/>
    </xf>
    <xf numFmtId="17" fontId="38" fillId="3" borderId="10" xfId="0" applyNumberFormat="1" applyFont="1" applyFill="1" applyBorder="1" applyAlignment="1">
      <alignment horizontal="center"/>
    </xf>
    <xf numFmtId="17" fontId="38" fillId="4" borderId="10" xfId="0" applyNumberFormat="1" applyFont="1" applyFill="1" applyBorder="1" applyAlignment="1">
      <alignment horizontal="center"/>
    </xf>
    <xf numFmtId="17" fontId="38" fillId="4" borderId="11" xfId="0" applyNumberFormat="1" applyFont="1" applyFill="1" applyBorder="1" applyAlignment="1">
      <alignment horizontal="center"/>
    </xf>
    <xf numFmtId="165" fontId="38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38" fillId="5" borderId="34" xfId="4" applyNumberFormat="1" applyFont="1" applyFill="1" applyBorder="1" applyAlignment="1">
      <alignment horizontal="center"/>
    </xf>
    <xf numFmtId="180" fontId="38" fillId="5" borderId="35" xfId="4" applyNumberFormat="1" applyFont="1" applyFill="1" applyBorder="1" applyAlignment="1">
      <alignment horizontal="center"/>
    </xf>
    <xf numFmtId="180" fontId="39" fillId="6" borderId="36" xfId="0" applyNumberFormat="1" applyFont="1" applyFill="1" applyBorder="1" applyAlignment="1">
      <alignment horizontal="center"/>
    </xf>
    <xf numFmtId="180" fontId="38" fillId="6" borderId="37" xfId="4" applyNumberFormat="1" applyFont="1" applyFill="1" applyBorder="1" applyAlignment="1">
      <alignment horizontal="center"/>
    </xf>
    <xf numFmtId="180" fontId="39" fillId="6" borderId="37" xfId="0" applyNumberFormat="1" applyFont="1" applyFill="1" applyBorder="1" applyAlignment="1">
      <alignment horizontal="center"/>
    </xf>
    <xf numFmtId="180" fontId="38" fillId="6" borderId="35" xfId="4" applyNumberFormat="1" applyFont="1" applyFill="1" applyBorder="1" applyAlignment="1">
      <alignment horizontal="center"/>
    </xf>
    <xf numFmtId="180" fontId="38" fillId="5" borderId="36" xfId="4" applyNumberFormat="1" applyFont="1" applyFill="1" applyBorder="1" applyAlignment="1">
      <alignment horizontal="center"/>
    </xf>
    <xf numFmtId="180" fontId="38" fillId="5" borderId="38" xfId="4" applyNumberFormat="1" applyFont="1" applyFill="1" applyBorder="1" applyAlignment="1">
      <alignment horizontal="center"/>
    </xf>
    <xf numFmtId="180" fontId="38" fillId="5" borderId="39" xfId="4" applyNumberFormat="1" applyFont="1" applyFill="1" applyBorder="1" applyAlignment="1">
      <alignment horizontal="center"/>
    </xf>
    <xf numFmtId="180" fontId="39" fillId="6" borderId="25" xfId="0" applyNumberFormat="1" applyFont="1" applyFill="1" applyBorder="1" applyAlignment="1">
      <alignment horizontal="center"/>
    </xf>
    <xf numFmtId="180" fontId="38" fillId="6" borderId="22" xfId="4" applyNumberFormat="1" applyFont="1" applyFill="1" applyBorder="1" applyAlignment="1">
      <alignment horizontal="center"/>
    </xf>
    <xf numFmtId="180" fontId="39" fillId="6" borderId="22" xfId="0" applyNumberFormat="1" applyFont="1" applyFill="1" applyBorder="1" applyAlignment="1">
      <alignment horizontal="center"/>
    </xf>
    <xf numFmtId="180" fontId="38" fillId="6" borderId="39" xfId="4" applyNumberFormat="1" applyFont="1" applyFill="1" applyBorder="1" applyAlignment="1">
      <alignment horizontal="center"/>
    </xf>
    <xf numFmtId="180" fontId="38" fillId="5" borderId="25" xfId="4" applyNumberFormat="1" applyFont="1" applyFill="1" applyBorder="1" applyAlignment="1">
      <alignment horizontal="center"/>
    </xf>
    <xf numFmtId="180" fontId="38" fillId="5" borderId="38" xfId="0" applyNumberFormat="1" applyFont="1" applyFill="1" applyBorder="1" applyAlignment="1">
      <alignment horizontal="center"/>
    </xf>
    <xf numFmtId="180" fontId="38" fillId="5" borderId="39" xfId="0" applyNumberFormat="1" applyFont="1" applyFill="1" applyBorder="1" applyAlignment="1">
      <alignment horizontal="center"/>
    </xf>
    <xf numFmtId="180" fontId="38" fillId="6" borderId="22" xfId="0" applyNumberFormat="1" applyFont="1" applyFill="1" applyBorder="1" applyAlignment="1">
      <alignment horizontal="center"/>
    </xf>
    <xf numFmtId="180" fontId="38" fillId="6" borderId="39" xfId="0" applyNumberFormat="1" applyFont="1" applyFill="1" applyBorder="1" applyAlignment="1">
      <alignment horizontal="center"/>
    </xf>
    <xf numFmtId="180" fontId="38" fillId="5" borderId="25" xfId="0" applyNumberFormat="1" applyFont="1" applyFill="1" applyBorder="1" applyAlignment="1">
      <alignment horizontal="center"/>
    </xf>
    <xf numFmtId="180" fontId="38" fillId="5" borderId="14" xfId="0" applyNumberFormat="1" applyFont="1" applyFill="1" applyBorder="1" applyAlignment="1">
      <alignment horizontal="center"/>
    </xf>
    <xf numFmtId="180" fontId="38" fillId="5" borderId="5" xfId="0" applyNumberFormat="1" applyFont="1" applyFill="1" applyBorder="1" applyAlignment="1">
      <alignment horizontal="center"/>
    </xf>
    <xf numFmtId="180" fontId="38" fillId="4" borderId="38" xfId="0" applyNumberFormat="1" applyFont="1" applyFill="1" applyBorder="1" applyAlignment="1">
      <alignment horizontal="center"/>
    </xf>
    <xf numFmtId="180" fontId="38" fillId="4" borderId="39" xfId="0" applyNumberFormat="1" applyFont="1" applyFill="1" applyBorder="1" applyAlignment="1">
      <alignment horizontal="center"/>
    </xf>
    <xf numFmtId="180" fontId="39" fillId="4" borderId="25" xfId="0" applyNumberFormat="1" applyFont="1" applyFill="1" applyBorder="1" applyAlignment="1">
      <alignment horizontal="center"/>
    </xf>
    <xf numFmtId="180" fontId="38" fillId="4" borderId="22" xfId="0" applyNumberFormat="1" applyFont="1" applyFill="1" applyBorder="1" applyAlignment="1">
      <alignment horizontal="center"/>
    </xf>
    <xf numFmtId="180" fontId="39" fillId="4" borderId="22" xfId="0" applyNumberFormat="1" applyFont="1" applyFill="1" applyBorder="1" applyAlignment="1">
      <alignment horizontal="center"/>
    </xf>
    <xf numFmtId="180" fontId="38" fillId="4" borderId="25" xfId="0" applyNumberFormat="1" applyFont="1" applyFill="1" applyBorder="1" applyAlignment="1">
      <alignment horizontal="center"/>
    </xf>
    <xf numFmtId="180" fontId="38" fillId="4" borderId="40" xfId="0" applyNumberFormat="1" applyFont="1" applyFill="1" applyBorder="1" applyAlignment="1">
      <alignment horizontal="center"/>
    </xf>
    <xf numFmtId="180" fontId="38" fillId="4" borderId="41" xfId="0" applyNumberFormat="1" applyFont="1" applyFill="1" applyBorder="1" applyAlignment="1">
      <alignment horizontal="center"/>
    </xf>
    <xf numFmtId="180" fontId="38" fillId="4" borderId="42" xfId="0" applyNumberFormat="1" applyFont="1" applyFill="1" applyBorder="1" applyAlignment="1">
      <alignment horizontal="center"/>
    </xf>
    <xf numFmtId="180" fontId="39" fillId="4" borderId="43" xfId="0" applyNumberFormat="1" applyFont="1" applyFill="1" applyBorder="1" applyAlignment="1">
      <alignment horizontal="center"/>
    </xf>
    <xf numFmtId="180" fontId="38" fillId="4" borderId="44" xfId="0" applyNumberFormat="1" applyFont="1" applyFill="1" applyBorder="1" applyAlignment="1">
      <alignment horizontal="center"/>
    </xf>
    <xf numFmtId="180" fontId="39" fillId="4" borderId="44" xfId="0" applyNumberFormat="1" applyFont="1" applyFill="1" applyBorder="1" applyAlignment="1">
      <alignment horizontal="center"/>
    </xf>
    <xf numFmtId="180" fontId="38" fillId="4" borderId="43" xfId="0" applyNumberFormat="1" applyFont="1" applyFill="1" applyBorder="1" applyAlignment="1">
      <alignment horizontal="center"/>
    </xf>
    <xf numFmtId="180" fontId="38" fillId="4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1" fillId="0" borderId="0" xfId="0" applyNumberFormat="1" applyFont="1"/>
    <xf numFmtId="1" fontId="36" fillId="0" borderId="0" xfId="0" applyNumberFormat="1" applyFont="1"/>
    <xf numFmtId="167" fontId="14" fillId="0" borderId="0" xfId="0" applyNumberFormat="1" applyFont="1"/>
    <xf numFmtId="183" fontId="42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7" fillId="0" borderId="0" xfId="0" applyNumberFormat="1" applyFont="1" applyBorder="1"/>
    <xf numFmtId="0" fontId="27" fillId="0" borderId="46" xfId="0" applyFont="1" applyBorder="1" applyProtection="1">
      <protection locked="0"/>
    </xf>
    <xf numFmtId="0" fontId="27" fillId="0" borderId="27" xfId="0" applyFont="1" applyBorder="1"/>
    <xf numFmtId="0" fontId="27" fillId="0" borderId="47" xfId="0" applyFont="1" applyBorder="1" applyProtection="1">
      <protection locked="0"/>
    </xf>
    <xf numFmtId="9" fontId="27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7" fillId="0" borderId="0" xfId="0" applyNumberFormat="1" applyFont="1" applyBorder="1"/>
    <xf numFmtId="6" fontId="36" fillId="0" borderId="0" xfId="0" applyNumberFormat="1" applyFont="1"/>
    <xf numFmtId="14" fontId="36" fillId="0" borderId="0" xfId="0" applyNumberFormat="1" applyFont="1"/>
    <xf numFmtId="8" fontId="36" fillId="0" borderId="0" xfId="0" applyNumberFormat="1" applyFont="1"/>
    <xf numFmtId="40" fontId="36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3" fillId="0" borderId="0" xfId="0" applyFont="1"/>
    <xf numFmtId="0" fontId="43" fillId="0" borderId="15" xfId="0" applyFont="1" applyBorder="1"/>
    <xf numFmtId="17" fontId="43" fillId="0" borderId="0" xfId="0" applyNumberFormat="1" applyFont="1"/>
    <xf numFmtId="2" fontId="44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7" borderId="0" xfId="0" applyNumberFormat="1" applyFill="1" applyBorder="1" applyAlignment="1">
      <alignment horizontal="right"/>
    </xf>
    <xf numFmtId="187" fontId="0" fillId="7" borderId="0" xfId="0" applyNumberFormat="1" applyFill="1" applyBorder="1" applyAlignment="1">
      <alignment horizontal="right"/>
    </xf>
    <xf numFmtId="190" fontId="0" fillId="7" borderId="0" xfId="0" applyNumberFormat="1" applyFill="1" applyBorder="1" applyAlignment="1">
      <alignment horizontal="right"/>
    </xf>
    <xf numFmtId="0" fontId="0" fillId="0" borderId="21" xfId="0" applyBorder="1"/>
    <xf numFmtId="187" fontId="45" fillId="0" borderId="21" xfId="0" applyNumberFormat="1" applyFont="1" applyBorder="1" applyAlignment="1">
      <alignment horizontal="right"/>
    </xf>
    <xf numFmtId="0" fontId="45" fillId="0" borderId="21" xfId="0" applyFont="1" applyBorder="1" applyAlignment="1">
      <alignment horizontal="right"/>
    </xf>
    <xf numFmtId="191" fontId="45" fillId="0" borderId="21" xfId="0" applyNumberFormat="1" applyFont="1" applyBorder="1" applyAlignment="1">
      <alignment horizontal="right"/>
    </xf>
    <xf numFmtId="174" fontId="45" fillId="0" borderId="21" xfId="0" applyNumberFormat="1" applyFont="1" applyBorder="1" applyAlignment="1">
      <alignment horizontal="right"/>
    </xf>
    <xf numFmtId="0" fontId="45" fillId="0" borderId="21" xfId="0" applyFont="1" applyBorder="1"/>
    <xf numFmtId="167" fontId="45" fillId="0" borderId="21" xfId="0" applyNumberFormat="1" applyFont="1" applyBorder="1" applyAlignment="1">
      <alignment horizontal="right"/>
    </xf>
    <xf numFmtId="10" fontId="45" fillId="0" borderId="21" xfId="0" applyNumberFormat="1" applyFont="1" applyBorder="1" applyAlignment="1">
      <alignment horizontal="right"/>
    </xf>
    <xf numFmtId="0" fontId="45" fillId="3" borderId="21" xfId="0" applyFont="1" applyFill="1" applyBorder="1"/>
    <xf numFmtId="0" fontId="12" fillId="7" borderId="52" xfId="0" applyFont="1" applyFill="1" applyBorder="1" applyAlignment="1">
      <alignment wrapText="1"/>
    </xf>
    <xf numFmtId="0" fontId="12" fillId="7" borderId="53" xfId="0" applyFont="1" applyFill="1" applyBorder="1" applyAlignment="1">
      <alignment horizontal="center" wrapText="1"/>
    </xf>
    <xf numFmtId="0" fontId="12" fillId="7" borderId="54" xfId="0" applyFont="1" applyFill="1" applyBorder="1" applyAlignment="1">
      <alignment wrapText="1"/>
    </xf>
    <xf numFmtId="0" fontId="12" fillId="7" borderId="54" xfId="0" applyFont="1" applyFill="1" applyBorder="1" applyAlignment="1">
      <alignment horizontal="center" wrapText="1"/>
    </xf>
    <xf numFmtId="15" fontId="12" fillId="7" borderId="54" xfId="0" applyNumberFormat="1" applyFont="1" applyFill="1" applyBorder="1" applyAlignment="1">
      <alignment horizontal="right" wrapText="1"/>
    </xf>
    <xf numFmtId="187" fontId="12" fillId="7" borderId="54" xfId="0" applyNumberFormat="1" applyFont="1" applyFill="1" applyBorder="1" applyAlignment="1">
      <alignment horizontal="right" wrapText="1"/>
    </xf>
    <xf numFmtId="188" fontId="12" fillId="7" borderId="55" xfId="0" applyNumberFormat="1" applyFont="1" applyFill="1" applyBorder="1" applyAlignment="1">
      <alignment horizontal="right" wrapText="1"/>
    </xf>
    <xf numFmtId="188" fontId="12" fillId="4" borderId="52" xfId="0" applyNumberFormat="1" applyFont="1" applyFill="1" applyBorder="1" applyAlignment="1">
      <alignment horizontal="right" wrapText="1"/>
    </xf>
    <xf numFmtId="188" fontId="12" fillId="4" borderId="54" xfId="0" applyNumberFormat="1" applyFont="1" applyFill="1" applyBorder="1" applyAlignment="1">
      <alignment horizontal="right" wrapText="1"/>
    </xf>
    <xf numFmtId="174" fontId="12" fillId="4" borderId="54" xfId="0" applyNumberFormat="1" applyFont="1" applyFill="1" applyBorder="1" applyAlignment="1">
      <alignment horizontal="right" wrapText="1"/>
    </xf>
    <xf numFmtId="10" fontId="12" fillId="4" borderId="54" xfId="0" applyNumberFormat="1" applyFont="1" applyFill="1" applyBorder="1" applyAlignment="1">
      <alignment horizontal="right" wrapText="1"/>
    </xf>
    <xf numFmtId="15" fontId="12" fillId="4" borderId="54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3" xfId="0" applyNumberFormat="1" applyFont="1" applyFill="1" applyBorder="1" applyAlignment="1">
      <alignment horizontal="right" wrapText="1"/>
    </xf>
    <xf numFmtId="189" fontId="12" fillId="6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8" borderId="54" xfId="0" applyNumberFormat="1" applyFont="1" applyFill="1" applyBorder="1" applyAlignment="1">
      <alignment horizontal="right" wrapText="1"/>
    </xf>
    <xf numFmtId="187" fontId="12" fillId="8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7" borderId="0" xfId="0" applyNumberFormat="1" applyFont="1" applyFill="1" applyAlignment="1">
      <alignment horizontal="right" wrapText="1"/>
    </xf>
    <xf numFmtId="187" fontId="12" fillId="7" borderId="0" xfId="0" applyNumberFormat="1" applyFont="1" applyFill="1" applyAlignment="1">
      <alignment horizontal="right" wrapText="1"/>
    </xf>
    <xf numFmtId="190" fontId="12" fillId="7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horizontal="right" wrapText="1"/>
    </xf>
    <xf numFmtId="191" fontId="46" fillId="0" borderId="0" xfId="0" applyNumberFormat="1" applyFont="1" applyAlignment="1">
      <alignment horizontal="right" wrapText="1"/>
    </xf>
    <xf numFmtId="174" fontId="46" fillId="0" borderId="0" xfId="0" applyNumberFormat="1" applyFont="1" applyAlignment="1">
      <alignment horizontal="right" wrapText="1"/>
    </xf>
    <xf numFmtId="167" fontId="46" fillId="0" borderId="0" xfId="0" applyNumberFormat="1" applyFont="1" applyAlignment="1">
      <alignment horizontal="right" wrapText="1"/>
    </xf>
    <xf numFmtId="10" fontId="46" fillId="0" borderId="0" xfId="0" applyNumberFormat="1" applyFont="1" applyAlignment="1">
      <alignment horizontal="right" wrapText="1"/>
    </xf>
    <xf numFmtId="0" fontId="46" fillId="0" borderId="0" xfId="0" applyFont="1" applyAlignment="1">
      <alignment wrapText="1"/>
    </xf>
    <xf numFmtId="0" fontId="46" fillId="3" borderId="0" xfId="0" applyFont="1" applyFill="1" applyAlignment="1">
      <alignment wrapText="1"/>
    </xf>
    <xf numFmtId="0" fontId="47" fillId="0" borderId="0" xfId="0" applyFont="1" applyAlignment="1">
      <alignment horizontal="center"/>
    </xf>
    <xf numFmtId="1" fontId="48" fillId="3" borderId="31" xfId="0" applyNumberFormat="1" applyFont="1" applyFill="1" applyBorder="1" applyAlignment="1">
      <alignment horizontal="center"/>
    </xf>
    <xf numFmtId="1" fontId="48" fillId="3" borderId="2" xfId="0" applyNumberFormat="1" applyFont="1" applyFill="1" applyBorder="1" applyAlignment="1">
      <alignment horizontal="center"/>
    </xf>
    <xf numFmtId="170" fontId="48" fillId="3" borderId="1" xfId="0" applyNumberFormat="1" applyFont="1" applyFill="1" applyBorder="1" applyAlignment="1">
      <alignment horizontal="center"/>
    </xf>
    <xf numFmtId="1" fontId="48" fillId="3" borderId="32" xfId="0" applyNumberFormat="1" applyFont="1" applyFill="1" applyBorder="1" applyAlignment="1">
      <alignment horizontal="center"/>
    </xf>
    <xf numFmtId="1" fontId="48" fillId="3" borderId="33" xfId="0" applyNumberFormat="1" applyFont="1" applyFill="1" applyBorder="1" applyAlignment="1">
      <alignment horizontal="center"/>
    </xf>
    <xf numFmtId="17" fontId="48" fillId="3" borderId="10" xfId="0" applyNumberFormat="1" applyFont="1" applyFill="1" applyBorder="1" applyAlignment="1">
      <alignment horizontal="center"/>
    </xf>
    <xf numFmtId="2" fontId="48" fillId="5" borderId="38" xfId="4" applyNumberFormat="1" applyFont="1" applyFill="1" applyBorder="1" applyAlignment="1">
      <alignment horizontal="center"/>
    </xf>
    <xf numFmtId="2" fontId="48" fillId="5" borderId="39" xfId="4" applyNumberFormat="1" applyFont="1" applyFill="1" applyBorder="1" applyAlignment="1">
      <alignment horizontal="center"/>
    </xf>
    <xf numFmtId="2" fontId="12" fillId="6" borderId="25" xfId="0" applyNumberFormat="1" applyFont="1" applyFill="1" applyBorder="1" applyAlignment="1">
      <alignment horizontal="center"/>
    </xf>
    <xf numFmtId="2" fontId="48" fillId="6" borderId="22" xfId="4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48" fillId="6" borderId="39" xfId="4" applyNumberFormat="1" applyFont="1" applyFill="1" applyBorder="1" applyAlignment="1">
      <alignment horizontal="center"/>
    </xf>
    <xf numFmtId="2" fontId="48" fillId="5" borderId="25" xfId="4" applyNumberFormat="1" applyFont="1" applyFill="1" applyBorder="1" applyAlignment="1">
      <alignment horizontal="center"/>
    </xf>
    <xf numFmtId="2" fontId="48" fillId="5" borderId="38" xfId="0" applyNumberFormat="1" applyFont="1" applyFill="1" applyBorder="1" applyAlignment="1">
      <alignment horizontal="center"/>
    </xf>
    <xf numFmtId="2" fontId="48" fillId="5" borderId="39" xfId="0" applyNumberFormat="1" applyFont="1" applyFill="1" applyBorder="1" applyAlignment="1">
      <alignment horizontal="center"/>
    </xf>
    <xf numFmtId="2" fontId="48" fillId="6" borderId="22" xfId="0" applyNumberFormat="1" applyFont="1" applyFill="1" applyBorder="1" applyAlignment="1">
      <alignment horizontal="center"/>
    </xf>
    <xf numFmtId="2" fontId="48" fillId="6" borderId="39" xfId="0" applyNumberFormat="1" applyFont="1" applyFill="1" applyBorder="1" applyAlignment="1">
      <alignment horizontal="center"/>
    </xf>
    <xf numFmtId="2" fontId="48" fillId="5" borderId="25" xfId="0" applyNumberFormat="1" applyFont="1" applyFill="1" applyBorder="1" applyAlignment="1">
      <alignment horizontal="center"/>
    </xf>
    <xf numFmtId="2" fontId="48" fillId="5" borderId="14" xfId="0" applyNumberFormat="1" applyFont="1" applyFill="1" applyBorder="1" applyAlignment="1">
      <alignment horizontal="center"/>
    </xf>
    <xf numFmtId="2" fontId="48" fillId="5" borderId="5" xfId="0" applyNumberFormat="1" applyFont="1" applyFill="1" applyBorder="1" applyAlignment="1">
      <alignment horizontal="center"/>
    </xf>
    <xf numFmtId="17" fontId="48" fillId="4" borderId="10" xfId="0" applyNumberFormat="1" applyFont="1" applyFill="1" applyBorder="1" applyAlignment="1">
      <alignment horizontal="center"/>
    </xf>
    <xf numFmtId="2" fontId="48" fillId="4" borderId="38" xfId="0" applyNumberFormat="1" applyFont="1" applyFill="1" applyBorder="1" applyAlignment="1">
      <alignment horizontal="center"/>
    </xf>
    <xf numFmtId="2" fontId="48" fillId="4" borderId="39" xfId="0" applyNumberFormat="1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2" fontId="48" fillId="4" borderId="22" xfId="0" applyNumberFormat="1" applyFont="1" applyFill="1" applyBorder="1" applyAlignment="1">
      <alignment horizontal="center"/>
    </xf>
    <xf numFmtId="2" fontId="12" fillId="4" borderId="22" xfId="0" applyNumberFormat="1" applyFont="1" applyFill="1" applyBorder="1" applyAlignment="1">
      <alignment horizontal="center"/>
    </xf>
    <xf numFmtId="2" fontId="48" fillId="4" borderId="25" xfId="0" applyNumberFormat="1" applyFont="1" applyFill="1" applyBorder="1" applyAlignment="1">
      <alignment horizontal="center"/>
    </xf>
    <xf numFmtId="2" fontId="48" fillId="4" borderId="40" xfId="0" applyNumberFormat="1" applyFont="1" applyFill="1" applyBorder="1" applyAlignment="1">
      <alignment horizontal="center"/>
    </xf>
    <xf numFmtId="17" fontId="48" fillId="4" borderId="11" xfId="0" applyNumberFormat="1" applyFont="1" applyFill="1" applyBorder="1" applyAlignment="1">
      <alignment horizontal="center"/>
    </xf>
    <xf numFmtId="2" fontId="48" fillId="4" borderId="41" xfId="0" applyNumberFormat="1" applyFont="1" applyFill="1" applyBorder="1" applyAlignment="1">
      <alignment horizontal="center"/>
    </xf>
    <xf numFmtId="2" fontId="48" fillId="4" borderId="42" xfId="0" applyNumberFormat="1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2" fontId="48" fillId="4" borderId="44" xfId="0" applyNumberFormat="1" applyFont="1" applyFill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2" fontId="12" fillId="4" borderId="44" xfId="0" applyNumberFormat="1" applyFont="1" applyFill="1" applyBorder="1" applyAlignment="1">
      <alignment horizontal="center"/>
    </xf>
    <xf numFmtId="2" fontId="48" fillId="4" borderId="43" xfId="0" applyNumberFormat="1" applyFont="1" applyFill="1" applyBorder="1" applyAlignment="1">
      <alignment horizontal="center"/>
    </xf>
    <xf numFmtId="2" fontId="48" fillId="4" borderId="45" xfId="0" applyNumberFormat="1" applyFont="1" applyFill="1" applyBorder="1" applyAlignment="1">
      <alignment horizontal="center"/>
    </xf>
    <xf numFmtId="0" fontId="40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37" fillId="3" borderId="32" xfId="0" applyNumberFormat="1" applyFont="1" applyFill="1" applyBorder="1" applyAlignment="1">
      <alignment horizontal="center"/>
    </xf>
    <xf numFmtId="17" fontId="37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51"/>
      <c r="C2" s="140"/>
      <c r="D2" s="56">
        <v>36892</v>
      </c>
      <c r="E2" s="55"/>
      <c r="F2" s="55"/>
      <c r="H2" s="139" t="e">
        <f>AE20</f>
        <v>#VALUE!</v>
      </c>
      <c r="I2" s="139" t="e">
        <f>AF20</f>
        <v>#VALUE!</v>
      </c>
      <c r="J2" s="139" t="e">
        <f>AG20</f>
        <v>#VALUE!</v>
      </c>
      <c r="K2" s="139" t="e">
        <f>AH20</f>
        <v>#VALUE!</v>
      </c>
      <c r="L2" s="139" t="e">
        <f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107</v>
      </c>
      <c r="B6" s="149">
        <v>4.37</v>
      </c>
      <c r="C6" s="149">
        <v>4.3899999999999997</v>
      </c>
      <c r="D6" s="55"/>
      <c r="E6" s="55"/>
      <c r="F6" s="55"/>
      <c r="H6" s="139" t="e">
        <f>AL20</f>
        <v>#VALUE!</v>
      </c>
      <c r="I6" s="139" t="e">
        <f>AM20</f>
        <v>#VALUE!</v>
      </c>
      <c r="J6" s="139" t="e">
        <f>AN20</f>
        <v>#VALUE!</v>
      </c>
      <c r="K6" s="139" t="e">
        <f>AO20</f>
        <v>#VALUE!</v>
      </c>
      <c r="L6" s="139" t="e">
        <f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112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">
      <c r="A8" s="55" t="s">
        <v>52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">
      <c r="A9" s="55"/>
      <c r="B9" s="172"/>
      <c r="C9" s="172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">
      <c r="A10" s="75" t="s">
        <v>141</v>
      </c>
      <c r="B10" s="170">
        <v>36678</v>
      </c>
      <c r="C10" s="132"/>
      <c r="D10" s="55"/>
      <c r="E10" s="55"/>
      <c r="F10" s="55"/>
      <c r="G10" s="55"/>
      <c r="I10" s="75" t="e">
        <f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">
      <c r="A11" s="75" t="s">
        <v>142</v>
      </c>
      <c r="B11" s="170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">
      <c r="A12" s="75" t="s">
        <v>143</v>
      </c>
      <c r="B12" s="170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>AE20/31</f>
        <v>#VALUE!</v>
      </c>
      <c r="AL15" t="e">
        <f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">
      <c r="H20" s="86"/>
      <c r="I20" s="162"/>
      <c r="J20" s="162"/>
      <c r="K20" s="162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>SUM(AE25:AE55)/$L22</f>
        <v>#VALUE!</v>
      </c>
      <c r="AF20" s="102" t="e">
        <f>SUM(AF25:AF55)/$L22</f>
        <v>#VALUE!</v>
      </c>
      <c r="AG20" s="102" t="e">
        <f>SUM(AG25:AG55)/$L22</f>
        <v>#VALUE!</v>
      </c>
      <c r="AH20" s="102" t="e">
        <f>SUM(AH25:AH55)/$L22</f>
        <v>#VALUE!</v>
      </c>
      <c r="AI20" s="102" t="e">
        <f>SUM(AI25:AI55)/$L22</f>
        <v>#VALUE!</v>
      </c>
      <c r="AK20" s="102"/>
      <c r="AL20" s="102" t="e">
        <f>SUM(AL25:AL55)/$L22</f>
        <v>#VALUE!</v>
      </c>
      <c r="AM20" s="102" t="e">
        <f>SUM(AM25:AM55)/$L22</f>
        <v>#VALUE!</v>
      </c>
      <c r="AN20" s="102" t="e">
        <f>SUM(AN25:AN55)/$L22</f>
        <v>#VALUE!</v>
      </c>
      <c r="AO20" s="102" t="e">
        <f>SUM(AO25:AO55)/$L22</f>
        <v>#VALUE!</v>
      </c>
      <c r="AP20" s="102" t="e">
        <f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144</v>
      </c>
      <c r="F24" s="95" t="s">
        <v>145</v>
      </c>
      <c r="H24" s="95" t="s">
        <v>26</v>
      </c>
      <c r="I24" s="163"/>
      <c r="J24" s="163"/>
      <c r="K24" s="163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>VLOOKUP(D2,STRADDLE,14,FALSE)</f>
        <v>#N/A</v>
      </c>
      <c r="I25" s="171">
        <f>B10</f>
        <v>36678</v>
      </c>
      <c r="J25" s="171">
        <f>IF(K25=6,I25-1,IF(K25=7,I25-2,I25))</f>
        <v>36678</v>
      </c>
      <c r="K25" s="154">
        <f>WEEKDAY(B10,2)</f>
        <v>4</v>
      </c>
      <c r="L25" s="154">
        <f t="shared" ref="L25:L55" si="3">IF(I25&gt;B$11,0,IF(M25&lt;1,0,1))</f>
        <v>0</v>
      </c>
      <c r="M25" s="154">
        <f t="shared" ref="M25:M55" si="4">J25-B$12</f>
        <v>-20</v>
      </c>
      <c r="N25" s="101">
        <f t="shared" ref="N25:N55" si="5">IF($L25=0,0,bsd(N$23,N$22,$B25,$C25,$M25,$E25,$H25,0.1))</f>
        <v>0</v>
      </c>
      <c r="O25" s="101">
        <f t="shared" ref="O25:O55" si="6">IF($L25=0,0,bsd(O$23,O$22,$B25,$D25,$M25,$F25,$H25,0.1))</f>
        <v>0</v>
      </c>
      <c r="P25" s="101">
        <f t="shared" ref="P25:P55" si="7">IF($L25=0,0,bsd(P$23,P$22,$B25,$C25,$M25,$E25,$H25,0.1))</f>
        <v>0</v>
      </c>
      <c r="Q25" s="101">
        <f t="shared" ref="Q25:Q55" si="8">IF($L25=0,0,bsd(Q$23,Q$22,$B25,$D25,$M25,$F25,$H25,0.1))</f>
        <v>0</v>
      </c>
      <c r="R25" s="101">
        <f t="shared" ref="R25:R55" si="9">IF($L25=0,0,bsd(R$23,R$22,$B25,$C25,$M25,$E25,$H25,0.1))</f>
        <v>0</v>
      </c>
      <c r="S25" s="101">
        <f t="shared" ref="S25:S55" si="10">IF($L25=0,0,bsd(S$23,S$22,$B25,$D25,$M25,$F25,$H25,0.1))</f>
        <v>0</v>
      </c>
      <c r="T25" s="101">
        <f t="shared" ref="T25:T55" si="11">IF($L25=0,0,bsd(T$23,T$22,$B25,$C25,$M25,$E25,$H25,0.1))</f>
        <v>0</v>
      </c>
      <c r="U25" s="101">
        <f t="shared" ref="U25:U55" si="12">IF($L25=0,0,bsd(U$23,U$22,$B25,$D25,$M25,$F25,$H25,0.1))</f>
        <v>0</v>
      </c>
      <c r="V25" s="101">
        <f t="shared" ref="V25:V55" si="13">IF($L25=0,0,bsd(V$23,V$22,$B25,$C25,$M25,$E25,$H25,0.1))</f>
        <v>0</v>
      </c>
      <c r="W25" s="101">
        <f t="shared" ref="W25:W55" si="14">IF($L25=0,0,bsd(W$23,W$22,$B25,$D25,$M25,$F25,$H25,0.1))</f>
        <v>0</v>
      </c>
      <c r="Y25" s="78"/>
      <c r="Z25" s="78"/>
      <c r="AA25" s="152"/>
      <c r="AD25" s="102"/>
      <c r="AE25" s="103">
        <f>$L25*N25</f>
        <v>0</v>
      </c>
      <c r="AF25" s="103">
        <f>$L25*P25</f>
        <v>0</v>
      </c>
      <c r="AG25" s="103">
        <f>$L25*R25</f>
        <v>0</v>
      </c>
      <c r="AH25" s="103">
        <f>$L25*T25</f>
        <v>0</v>
      </c>
      <c r="AI25" s="103">
        <f>$L25*V25</f>
        <v>0</v>
      </c>
      <c r="AK25" s="102"/>
      <c r="AL25" s="103">
        <f t="shared" ref="AL25:AL55" si="15">$L25*O25</f>
        <v>0</v>
      </c>
      <c r="AM25" s="103">
        <f t="shared" ref="AM25:AM55" si="16">$L25*Q25</f>
        <v>0</v>
      </c>
      <c r="AN25" s="103">
        <f t="shared" ref="AN25:AN55" si="17">$L25*S25</f>
        <v>0</v>
      </c>
      <c r="AO25" s="103">
        <f t="shared" ref="AO25:AO55" si="18">$L25*U25</f>
        <v>0</v>
      </c>
      <c r="AP25" s="103">
        <f t="shared" ref="AP25:AP55" si="19">$L25*W25</f>
        <v>0</v>
      </c>
      <c r="AQ25" s="122"/>
      <c r="AR25" s="103"/>
      <c r="AS25" s="122"/>
      <c r="AT25" s="94"/>
      <c r="AU25" s="94"/>
      <c r="AV25" s="94"/>
    </row>
    <row r="26" spans="1:48" x14ac:dyDescent="0.2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>H25</f>
        <v>#N/A</v>
      </c>
      <c r="I26" s="171">
        <f>I25+1</f>
        <v>36679</v>
      </c>
      <c r="J26" s="171">
        <f t="shared" ref="J26:J55" si="20">IF(K26=6,I26-1,IF(K26=7,I26-2,I26))</f>
        <v>36679</v>
      </c>
      <c r="K26" s="154">
        <f>WEEKDAY(I26,2)</f>
        <v>5</v>
      </c>
      <c r="L26" s="154">
        <f t="shared" si="3"/>
        <v>0</v>
      </c>
      <c r="M26" s="154">
        <f t="shared" si="4"/>
        <v>-19</v>
      </c>
      <c r="N26" s="101">
        <f>IF($L26=0,0,bsd(N$23,N$22,$B26,$C26,$M26,$E26,$H26,0.1))</f>
        <v>0</v>
      </c>
      <c r="O26" s="101">
        <f t="shared" si="6"/>
        <v>0</v>
      </c>
      <c r="P26" s="101">
        <f t="shared" si="7"/>
        <v>0</v>
      </c>
      <c r="Q26" s="101">
        <f t="shared" si="8"/>
        <v>0</v>
      </c>
      <c r="R26" s="101">
        <f t="shared" si="9"/>
        <v>0</v>
      </c>
      <c r="S26" s="101">
        <f t="shared" si="10"/>
        <v>0</v>
      </c>
      <c r="T26" s="101">
        <f t="shared" si="11"/>
        <v>0</v>
      </c>
      <c r="U26" s="101">
        <f t="shared" si="12"/>
        <v>0</v>
      </c>
      <c r="V26" s="101">
        <f t="shared" si="13"/>
        <v>0</v>
      </c>
      <c r="W26" s="101">
        <f t="shared" si="14"/>
        <v>0</v>
      </c>
      <c r="Y26" s="78"/>
      <c r="Z26" s="78"/>
      <c r="AA26" s="152"/>
      <c r="AD26" s="102"/>
      <c r="AE26" s="103">
        <f t="shared" ref="AE26:AE55" si="21">$L26*N26</f>
        <v>0</v>
      </c>
      <c r="AF26" s="103">
        <f t="shared" ref="AF26:AF55" si="22">$L26*P26</f>
        <v>0</v>
      </c>
      <c r="AG26" s="103">
        <f t="shared" ref="AG26:AG55" si="23">$L26*R26</f>
        <v>0</v>
      </c>
      <c r="AH26" s="103">
        <f t="shared" ref="AH26:AH55" si="24">$L26*T26</f>
        <v>0</v>
      </c>
      <c r="AI26" s="103">
        <f t="shared" ref="AI26:AI55" si="25">$L26*V26</f>
        <v>0</v>
      </c>
      <c r="AK26" s="102"/>
      <c r="AL26" s="103">
        <f t="shared" si="15"/>
        <v>0</v>
      </c>
      <c r="AM26" s="103">
        <f t="shared" si="16"/>
        <v>0</v>
      </c>
      <c r="AN26" s="103">
        <f t="shared" si="17"/>
        <v>0</v>
      </c>
      <c r="AO26" s="103">
        <f t="shared" si="18"/>
        <v>0</v>
      </c>
      <c r="AP26" s="103">
        <f t="shared" si="19"/>
        <v>0</v>
      </c>
      <c r="AQ26" s="122"/>
      <c r="AR26" s="103"/>
      <c r="AS26" s="122"/>
      <c r="AT26" s="94"/>
      <c r="AU26" s="94"/>
      <c r="AV26" s="94"/>
    </row>
    <row r="27" spans="1:48" x14ac:dyDescent="0.2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si="28">H26</f>
        <v>#N/A</v>
      </c>
      <c r="I27" s="171">
        <f t="shared" ref="I27:I55" si="29">I26+1</f>
        <v>36680</v>
      </c>
      <c r="J27" s="171">
        <f t="shared" si="20"/>
        <v>36679</v>
      </c>
      <c r="K27" s="154">
        <f t="shared" ref="K27:K55" si="30">WEEKDAY(I27,2)</f>
        <v>6</v>
      </c>
      <c r="L27" s="154">
        <f t="shared" si="3"/>
        <v>0</v>
      </c>
      <c r="M27" s="154">
        <f t="shared" si="4"/>
        <v>-19</v>
      </c>
      <c r="N27" s="101">
        <f t="shared" si="5"/>
        <v>0</v>
      </c>
      <c r="O27" s="101">
        <f t="shared" si="6"/>
        <v>0</v>
      </c>
      <c r="P27" s="101">
        <f t="shared" si="7"/>
        <v>0</v>
      </c>
      <c r="Q27" s="101">
        <f t="shared" si="8"/>
        <v>0</v>
      </c>
      <c r="R27" s="101">
        <f t="shared" si="9"/>
        <v>0</v>
      </c>
      <c r="S27" s="101">
        <f t="shared" si="10"/>
        <v>0</v>
      </c>
      <c r="T27" s="101">
        <f t="shared" si="11"/>
        <v>0</v>
      </c>
      <c r="U27" s="101">
        <f t="shared" si="12"/>
        <v>0</v>
      </c>
      <c r="V27" s="101">
        <f t="shared" si="13"/>
        <v>0</v>
      </c>
      <c r="W27" s="101">
        <f t="shared" si="14"/>
        <v>0</v>
      </c>
      <c r="Y27" s="78"/>
      <c r="Z27" s="78"/>
      <c r="AA27" s="152"/>
      <c r="AD27" s="102"/>
      <c r="AE27" s="103">
        <f t="shared" si="21"/>
        <v>0</v>
      </c>
      <c r="AF27" s="103">
        <f t="shared" si="22"/>
        <v>0</v>
      </c>
      <c r="AG27" s="103">
        <f t="shared" si="23"/>
        <v>0</v>
      </c>
      <c r="AH27" s="103">
        <f t="shared" si="24"/>
        <v>0</v>
      </c>
      <c r="AI27" s="103">
        <f t="shared" si="25"/>
        <v>0</v>
      </c>
      <c r="AK27" s="102"/>
      <c r="AL27" s="103">
        <f t="shared" si="15"/>
        <v>0</v>
      </c>
      <c r="AM27" s="103">
        <f t="shared" si="16"/>
        <v>0</v>
      </c>
      <c r="AN27" s="103">
        <f t="shared" si="17"/>
        <v>0</v>
      </c>
      <c r="AO27" s="103">
        <f t="shared" si="18"/>
        <v>0</v>
      </c>
      <c r="AP27" s="103">
        <f t="shared" si="19"/>
        <v>0</v>
      </c>
      <c r="AQ27" s="122"/>
      <c r="AR27" s="103"/>
      <c r="AS27" s="122"/>
      <c r="AT27" s="94"/>
      <c r="AU27" s="94"/>
      <c r="AV27" s="94"/>
    </row>
    <row r="28" spans="1:48" x14ac:dyDescent="0.2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si="28"/>
        <v>#N/A</v>
      </c>
      <c r="I28" s="171">
        <f t="shared" si="29"/>
        <v>36681</v>
      </c>
      <c r="J28" s="171">
        <f t="shared" si="20"/>
        <v>36679</v>
      </c>
      <c r="K28" s="154">
        <f t="shared" si="30"/>
        <v>7</v>
      </c>
      <c r="L28" s="154">
        <f t="shared" si="3"/>
        <v>0</v>
      </c>
      <c r="M28" s="154">
        <f t="shared" si="4"/>
        <v>-19</v>
      </c>
      <c r="N28" s="101">
        <f t="shared" si="5"/>
        <v>0</v>
      </c>
      <c r="O28" s="101">
        <f t="shared" si="6"/>
        <v>0</v>
      </c>
      <c r="P28" s="101">
        <f t="shared" si="7"/>
        <v>0</v>
      </c>
      <c r="Q28" s="101">
        <f t="shared" si="8"/>
        <v>0</v>
      </c>
      <c r="R28" s="101">
        <f t="shared" si="9"/>
        <v>0</v>
      </c>
      <c r="S28" s="101">
        <f t="shared" si="10"/>
        <v>0</v>
      </c>
      <c r="T28" s="101">
        <f t="shared" si="11"/>
        <v>0</v>
      </c>
      <c r="U28" s="101">
        <f t="shared" si="12"/>
        <v>0</v>
      </c>
      <c r="V28" s="101">
        <f t="shared" si="13"/>
        <v>0</v>
      </c>
      <c r="W28" s="101">
        <f t="shared" si="14"/>
        <v>0</v>
      </c>
      <c r="Y28" s="78"/>
      <c r="Z28" s="78"/>
      <c r="AA28" s="152"/>
      <c r="AD28" s="102"/>
      <c r="AE28" s="103">
        <f t="shared" si="21"/>
        <v>0</v>
      </c>
      <c r="AF28" s="103">
        <f t="shared" si="22"/>
        <v>0</v>
      </c>
      <c r="AG28" s="103">
        <f t="shared" si="23"/>
        <v>0</v>
      </c>
      <c r="AH28" s="103">
        <f t="shared" si="24"/>
        <v>0</v>
      </c>
      <c r="AI28" s="103">
        <f t="shared" si="25"/>
        <v>0</v>
      </c>
      <c r="AK28" s="102"/>
      <c r="AL28" s="103">
        <f t="shared" si="15"/>
        <v>0</v>
      </c>
      <c r="AM28" s="103">
        <f t="shared" si="16"/>
        <v>0</v>
      </c>
      <c r="AN28" s="103">
        <f t="shared" si="17"/>
        <v>0</v>
      </c>
      <c r="AO28" s="103">
        <f t="shared" si="18"/>
        <v>0</v>
      </c>
      <c r="AP28" s="103">
        <f t="shared" si="19"/>
        <v>0</v>
      </c>
      <c r="AQ28" s="122"/>
      <c r="AR28" s="103"/>
      <c r="AS28" s="122"/>
      <c r="AT28" s="94"/>
      <c r="AU28" s="94"/>
      <c r="AV28" s="94"/>
    </row>
    <row r="29" spans="1:48" x14ac:dyDescent="0.2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si="28"/>
        <v>#N/A</v>
      </c>
      <c r="I29" s="171">
        <f t="shared" si="29"/>
        <v>36682</v>
      </c>
      <c r="J29" s="171">
        <f t="shared" si="20"/>
        <v>36682</v>
      </c>
      <c r="K29" s="154">
        <f t="shared" si="30"/>
        <v>1</v>
      </c>
      <c r="L29" s="154">
        <f t="shared" si="3"/>
        <v>0</v>
      </c>
      <c r="M29" s="154">
        <f t="shared" si="4"/>
        <v>-16</v>
      </c>
      <c r="N29" s="101">
        <f t="shared" si="5"/>
        <v>0</v>
      </c>
      <c r="O29" s="101">
        <f t="shared" si="6"/>
        <v>0</v>
      </c>
      <c r="P29" s="101">
        <f t="shared" si="7"/>
        <v>0</v>
      </c>
      <c r="Q29" s="101">
        <f t="shared" si="8"/>
        <v>0</v>
      </c>
      <c r="R29" s="101">
        <f t="shared" si="9"/>
        <v>0</v>
      </c>
      <c r="S29" s="101">
        <f t="shared" si="10"/>
        <v>0</v>
      </c>
      <c r="T29" s="101">
        <f t="shared" si="11"/>
        <v>0</v>
      </c>
      <c r="U29" s="101">
        <f t="shared" si="12"/>
        <v>0</v>
      </c>
      <c r="V29" s="101">
        <f t="shared" si="13"/>
        <v>0</v>
      </c>
      <c r="W29" s="101">
        <f t="shared" si="14"/>
        <v>0</v>
      </c>
      <c r="Y29" s="78"/>
      <c r="Z29" s="78"/>
      <c r="AA29" s="152"/>
      <c r="AD29" s="102"/>
      <c r="AE29" s="103">
        <f t="shared" si="21"/>
        <v>0</v>
      </c>
      <c r="AF29" s="103">
        <f t="shared" si="22"/>
        <v>0</v>
      </c>
      <c r="AG29" s="103">
        <f t="shared" si="23"/>
        <v>0</v>
      </c>
      <c r="AH29" s="103">
        <f t="shared" si="24"/>
        <v>0</v>
      </c>
      <c r="AI29" s="103">
        <f t="shared" si="25"/>
        <v>0</v>
      </c>
      <c r="AK29" s="102"/>
      <c r="AL29" s="103">
        <f t="shared" si="15"/>
        <v>0</v>
      </c>
      <c r="AM29" s="103">
        <f t="shared" si="16"/>
        <v>0</v>
      </c>
      <c r="AN29" s="103">
        <f t="shared" si="17"/>
        <v>0</v>
      </c>
      <c r="AO29" s="103">
        <f t="shared" si="18"/>
        <v>0</v>
      </c>
      <c r="AP29" s="103">
        <f t="shared" si="19"/>
        <v>0</v>
      </c>
      <c r="AQ29" s="122"/>
      <c r="AR29" s="103"/>
      <c r="AS29" s="122"/>
      <c r="AT29" s="94"/>
      <c r="AU29" s="94"/>
      <c r="AV29" s="94"/>
    </row>
    <row r="30" spans="1:48" x14ac:dyDescent="0.2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si="28"/>
        <v>#N/A</v>
      </c>
      <c r="I30" s="171">
        <f t="shared" si="29"/>
        <v>36683</v>
      </c>
      <c r="J30" s="171">
        <f t="shared" si="20"/>
        <v>36683</v>
      </c>
      <c r="K30" s="154">
        <f t="shared" si="30"/>
        <v>2</v>
      </c>
      <c r="L30" s="154">
        <f t="shared" si="3"/>
        <v>0</v>
      </c>
      <c r="M30" s="154">
        <f t="shared" si="4"/>
        <v>-15</v>
      </c>
      <c r="N30" s="101">
        <f t="shared" si="5"/>
        <v>0</v>
      </c>
      <c r="O30" s="101">
        <f t="shared" si="6"/>
        <v>0</v>
      </c>
      <c r="P30" s="101">
        <f t="shared" si="7"/>
        <v>0</v>
      </c>
      <c r="Q30" s="101">
        <f t="shared" si="8"/>
        <v>0</v>
      </c>
      <c r="R30" s="101">
        <f t="shared" si="9"/>
        <v>0</v>
      </c>
      <c r="S30" s="101">
        <f t="shared" si="10"/>
        <v>0</v>
      </c>
      <c r="T30" s="101">
        <f t="shared" si="11"/>
        <v>0</v>
      </c>
      <c r="U30" s="101">
        <f t="shared" si="12"/>
        <v>0</v>
      </c>
      <c r="V30" s="101">
        <f t="shared" si="13"/>
        <v>0</v>
      </c>
      <c r="W30" s="101">
        <f t="shared" si="14"/>
        <v>0</v>
      </c>
      <c r="Y30" s="78"/>
      <c r="Z30" s="78"/>
      <c r="AA30" s="152"/>
      <c r="AD30" s="102"/>
      <c r="AE30" s="103">
        <f t="shared" si="21"/>
        <v>0</v>
      </c>
      <c r="AF30" s="103">
        <f t="shared" si="22"/>
        <v>0</v>
      </c>
      <c r="AG30" s="103">
        <f t="shared" si="23"/>
        <v>0</v>
      </c>
      <c r="AH30" s="103">
        <f t="shared" si="24"/>
        <v>0</v>
      </c>
      <c r="AI30" s="103">
        <f t="shared" si="25"/>
        <v>0</v>
      </c>
      <c r="AK30" s="102"/>
      <c r="AL30" s="103">
        <f t="shared" si="15"/>
        <v>0</v>
      </c>
      <c r="AM30" s="103">
        <f t="shared" si="16"/>
        <v>0</v>
      </c>
      <c r="AN30" s="103">
        <f t="shared" si="17"/>
        <v>0</v>
      </c>
      <c r="AO30" s="103">
        <f t="shared" si="18"/>
        <v>0</v>
      </c>
      <c r="AP30" s="103">
        <f t="shared" si="19"/>
        <v>0</v>
      </c>
      <c r="AQ30" s="122"/>
      <c r="AR30" s="103"/>
      <c r="AS30" s="122"/>
      <c r="AT30" s="94"/>
      <c r="AU30" s="94"/>
      <c r="AV30" s="94"/>
    </row>
    <row r="31" spans="1:48" x14ac:dyDescent="0.2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si="28"/>
        <v>#N/A</v>
      </c>
      <c r="I31" s="171">
        <f t="shared" si="29"/>
        <v>36684</v>
      </c>
      <c r="J31" s="171">
        <f t="shared" si="20"/>
        <v>36684</v>
      </c>
      <c r="K31" s="154">
        <f t="shared" si="30"/>
        <v>3</v>
      </c>
      <c r="L31" s="154">
        <f t="shared" si="3"/>
        <v>0</v>
      </c>
      <c r="M31" s="154">
        <f t="shared" si="4"/>
        <v>-14</v>
      </c>
      <c r="N31" s="101">
        <f t="shared" si="5"/>
        <v>0</v>
      </c>
      <c r="O31" s="101">
        <f t="shared" si="6"/>
        <v>0</v>
      </c>
      <c r="P31" s="101">
        <f t="shared" si="7"/>
        <v>0</v>
      </c>
      <c r="Q31" s="101">
        <f t="shared" si="8"/>
        <v>0</v>
      </c>
      <c r="R31" s="101">
        <f t="shared" si="9"/>
        <v>0</v>
      </c>
      <c r="S31" s="101">
        <f t="shared" si="10"/>
        <v>0</v>
      </c>
      <c r="T31" s="101">
        <f t="shared" si="11"/>
        <v>0</v>
      </c>
      <c r="U31" s="101">
        <f t="shared" si="12"/>
        <v>0</v>
      </c>
      <c r="V31" s="101">
        <f t="shared" si="13"/>
        <v>0</v>
      </c>
      <c r="W31" s="101">
        <f t="shared" si="14"/>
        <v>0</v>
      </c>
      <c r="Y31" s="78"/>
      <c r="Z31" s="78"/>
      <c r="AA31" s="152"/>
      <c r="AD31" s="102"/>
      <c r="AE31" s="103">
        <f t="shared" si="21"/>
        <v>0</v>
      </c>
      <c r="AF31" s="103">
        <f t="shared" si="22"/>
        <v>0</v>
      </c>
      <c r="AG31" s="103">
        <f t="shared" si="23"/>
        <v>0</v>
      </c>
      <c r="AH31" s="103">
        <f t="shared" si="24"/>
        <v>0</v>
      </c>
      <c r="AI31" s="103">
        <f t="shared" si="25"/>
        <v>0</v>
      </c>
      <c r="AK31" s="102"/>
      <c r="AL31" s="103">
        <f t="shared" si="15"/>
        <v>0</v>
      </c>
      <c r="AM31" s="103">
        <f t="shared" si="16"/>
        <v>0</v>
      </c>
      <c r="AN31" s="103">
        <f t="shared" si="17"/>
        <v>0</v>
      </c>
      <c r="AO31" s="103">
        <f t="shared" si="18"/>
        <v>0</v>
      </c>
      <c r="AP31" s="103">
        <f t="shared" si="19"/>
        <v>0</v>
      </c>
      <c r="AQ31" s="122"/>
      <c r="AR31" s="103"/>
      <c r="AS31" s="122"/>
      <c r="AT31" s="94"/>
      <c r="AU31" s="94"/>
      <c r="AV31" s="94"/>
    </row>
    <row r="32" spans="1:48" x14ac:dyDescent="0.2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si="28"/>
        <v>#N/A</v>
      </c>
      <c r="I32" s="171">
        <f t="shared" si="29"/>
        <v>36685</v>
      </c>
      <c r="J32" s="171">
        <f t="shared" si="20"/>
        <v>36685</v>
      </c>
      <c r="K32" s="154">
        <f t="shared" si="30"/>
        <v>4</v>
      </c>
      <c r="L32" s="154">
        <f t="shared" si="3"/>
        <v>0</v>
      </c>
      <c r="M32" s="154">
        <f t="shared" si="4"/>
        <v>-13</v>
      </c>
      <c r="N32" s="101">
        <f t="shared" si="5"/>
        <v>0</v>
      </c>
      <c r="O32" s="101">
        <f t="shared" si="6"/>
        <v>0</v>
      </c>
      <c r="P32" s="101">
        <f t="shared" si="7"/>
        <v>0</v>
      </c>
      <c r="Q32" s="101">
        <f t="shared" si="8"/>
        <v>0</v>
      </c>
      <c r="R32" s="101">
        <f t="shared" si="9"/>
        <v>0</v>
      </c>
      <c r="S32" s="101">
        <f t="shared" si="10"/>
        <v>0</v>
      </c>
      <c r="T32" s="101">
        <f t="shared" si="11"/>
        <v>0</v>
      </c>
      <c r="U32" s="101">
        <f t="shared" si="12"/>
        <v>0</v>
      </c>
      <c r="V32" s="101">
        <f t="shared" si="13"/>
        <v>0</v>
      </c>
      <c r="W32" s="101">
        <f t="shared" si="14"/>
        <v>0</v>
      </c>
      <c r="Y32" s="78"/>
      <c r="Z32" s="78"/>
      <c r="AA32" s="152"/>
      <c r="AD32" s="102"/>
      <c r="AE32" s="103">
        <f t="shared" si="21"/>
        <v>0</v>
      </c>
      <c r="AF32" s="103">
        <f t="shared" si="22"/>
        <v>0</v>
      </c>
      <c r="AG32" s="103">
        <f t="shared" si="23"/>
        <v>0</v>
      </c>
      <c r="AH32" s="103">
        <f t="shared" si="24"/>
        <v>0</v>
      </c>
      <c r="AI32" s="103">
        <f t="shared" si="25"/>
        <v>0</v>
      </c>
      <c r="AK32" s="102"/>
      <c r="AL32" s="103">
        <f t="shared" si="15"/>
        <v>0</v>
      </c>
      <c r="AM32" s="103">
        <f t="shared" si="16"/>
        <v>0</v>
      </c>
      <c r="AN32" s="103">
        <f t="shared" si="17"/>
        <v>0</v>
      </c>
      <c r="AO32" s="103">
        <f t="shared" si="18"/>
        <v>0</v>
      </c>
      <c r="AP32" s="103">
        <f t="shared" si="19"/>
        <v>0</v>
      </c>
      <c r="AQ32" s="122"/>
      <c r="AR32" s="103"/>
      <c r="AS32" s="122"/>
      <c r="AT32" s="94"/>
      <c r="AU32" s="94"/>
      <c r="AV32" s="94"/>
    </row>
    <row r="33" spans="1:48" x14ac:dyDescent="0.2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si="28"/>
        <v>#N/A</v>
      </c>
      <c r="I33" s="171">
        <f t="shared" si="29"/>
        <v>36686</v>
      </c>
      <c r="J33" s="171">
        <f t="shared" si="20"/>
        <v>36686</v>
      </c>
      <c r="K33" s="154">
        <f t="shared" si="30"/>
        <v>5</v>
      </c>
      <c r="L33" s="154">
        <f t="shared" si="3"/>
        <v>0</v>
      </c>
      <c r="M33" s="154">
        <f t="shared" si="4"/>
        <v>-12</v>
      </c>
      <c r="N33" s="101">
        <f>IF($L33=0,0,bsd(N$23,N$22,$B33,$C33,$M33,$E33,$H33,0.1))</f>
        <v>0</v>
      </c>
      <c r="O33" s="101">
        <f t="shared" si="6"/>
        <v>0</v>
      </c>
      <c r="P33" s="101">
        <f t="shared" si="7"/>
        <v>0</v>
      </c>
      <c r="Q33" s="101">
        <f t="shared" si="8"/>
        <v>0</v>
      </c>
      <c r="R33" s="101">
        <f>IF($L33=0,0,bsd(R$23,R$22,$B33,$C33,$M33,$E33,$H33,0.1))</f>
        <v>0</v>
      </c>
      <c r="S33" s="101">
        <f t="shared" si="10"/>
        <v>0</v>
      </c>
      <c r="T33" s="101">
        <f t="shared" si="11"/>
        <v>0</v>
      </c>
      <c r="U33" s="101">
        <f t="shared" si="12"/>
        <v>0</v>
      </c>
      <c r="V33" s="101">
        <f t="shared" si="13"/>
        <v>0</v>
      </c>
      <c r="W33" s="101">
        <f t="shared" si="14"/>
        <v>0</v>
      </c>
      <c r="Y33" s="78"/>
      <c r="Z33" s="78"/>
      <c r="AA33" s="152"/>
      <c r="AD33" s="102"/>
      <c r="AE33" s="103">
        <f t="shared" si="21"/>
        <v>0</v>
      </c>
      <c r="AF33" s="103">
        <f t="shared" si="22"/>
        <v>0</v>
      </c>
      <c r="AG33" s="103">
        <f t="shared" si="23"/>
        <v>0</v>
      </c>
      <c r="AH33" s="103">
        <f t="shared" si="24"/>
        <v>0</v>
      </c>
      <c r="AI33" s="103">
        <f t="shared" si="25"/>
        <v>0</v>
      </c>
      <c r="AK33" s="102"/>
      <c r="AL33" s="103">
        <f t="shared" si="15"/>
        <v>0</v>
      </c>
      <c r="AM33" s="103">
        <f t="shared" si="16"/>
        <v>0</v>
      </c>
      <c r="AN33" s="103">
        <f t="shared" si="17"/>
        <v>0</v>
      </c>
      <c r="AO33" s="103">
        <f t="shared" si="18"/>
        <v>0</v>
      </c>
      <c r="AP33" s="103">
        <f t="shared" si="19"/>
        <v>0</v>
      </c>
      <c r="AQ33" s="122"/>
      <c r="AR33" s="103"/>
      <c r="AS33" s="122"/>
      <c r="AT33" s="94"/>
      <c r="AU33" s="94"/>
      <c r="AV33" s="94"/>
    </row>
    <row r="34" spans="1:48" x14ac:dyDescent="0.2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si="28"/>
        <v>#N/A</v>
      </c>
      <c r="I34" s="171">
        <f t="shared" si="29"/>
        <v>36687</v>
      </c>
      <c r="J34" s="171">
        <f t="shared" si="20"/>
        <v>36686</v>
      </c>
      <c r="K34" s="154">
        <f t="shared" si="30"/>
        <v>6</v>
      </c>
      <c r="L34" s="154">
        <f t="shared" si="3"/>
        <v>0</v>
      </c>
      <c r="M34" s="154">
        <f t="shared" si="4"/>
        <v>-12</v>
      </c>
      <c r="N34" s="101">
        <f t="shared" si="5"/>
        <v>0</v>
      </c>
      <c r="O34" s="101">
        <f t="shared" si="6"/>
        <v>0</v>
      </c>
      <c r="P34" s="101">
        <f t="shared" si="7"/>
        <v>0</v>
      </c>
      <c r="Q34" s="101">
        <f t="shared" si="8"/>
        <v>0</v>
      </c>
      <c r="R34" s="101">
        <f t="shared" si="9"/>
        <v>0</v>
      </c>
      <c r="S34" s="101">
        <f t="shared" si="10"/>
        <v>0</v>
      </c>
      <c r="T34" s="101">
        <f t="shared" si="11"/>
        <v>0</v>
      </c>
      <c r="U34" s="101">
        <f t="shared" si="12"/>
        <v>0</v>
      </c>
      <c r="V34" s="101">
        <f t="shared" si="13"/>
        <v>0</v>
      </c>
      <c r="W34" s="101">
        <f t="shared" si="14"/>
        <v>0</v>
      </c>
      <c r="Y34" s="78"/>
      <c r="Z34" s="78"/>
      <c r="AA34" s="152"/>
      <c r="AD34" s="102"/>
      <c r="AE34" s="103">
        <f t="shared" si="21"/>
        <v>0</v>
      </c>
      <c r="AF34" s="103">
        <f t="shared" si="22"/>
        <v>0</v>
      </c>
      <c r="AG34" s="103">
        <f t="shared" si="23"/>
        <v>0</v>
      </c>
      <c r="AH34" s="103">
        <f t="shared" si="24"/>
        <v>0</v>
      </c>
      <c r="AI34" s="103">
        <f t="shared" si="25"/>
        <v>0</v>
      </c>
      <c r="AK34" s="102"/>
      <c r="AL34" s="103">
        <f t="shared" si="15"/>
        <v>0</v>
      </c>
      <c r="AM34" s="103">
        <f t="shared" si="16"/>
        <v>0</v>
      </c>
      <c r="AN34" s="103">
        <f t="shared" si="17"/>
        <v>0</v>
      </c>
      <c r="AO34" s="103">
        <f t="shared" si="18"/>
        <v>0</v>
      </c>
      <c r="AP34" s="103">
        <f t="shared" si="19"/>
        <v>0</v>
      </c>
      <c r="AQ34" s="122"/>
      <c r="AR34" s="103"/>
      <c r="AS34" s="122"/>
      <c r="AT34" s="94"/>
      <c r="AU34" s="94"/>
      <c r="AV34" s="94"/>
    </row>
    <row r="35" spans="1:48" x14ac:dyDescent="0.2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si="28"/>
        <v>#N/A</v>
      </c>
      <c r="I35" s="171">
        <f t="shared" si="29"/>
        <v>36688</v>
      </c>
      <c r="J35" s="171">
        <f t="shared" si="20"/>
        <v>36686</v>
      </c>
      <c r="K35" s="154">
        <f t="shared" si="30"/>
        <v>7</v>
      </c>
      <c r="L35" s="154">
        <f t="shared" si="3"/>
        <v>0</v>
      </c>
      <c r="M35" s="154">
        <f t="shared" si="4"/>
        <v>-12</v>
      </c>
      <c r="N35" s="101">
        <f t="shared" si="5"/>
        <v>0</v>
      </c>
      <c r="O35" s="101">
        <f t="shared" si="6"/>
        <v>0</v>
      </c>
      <c r="P35" s="101">
        <f t="shared" si="7"/>
        <v>0</v>
      </c>
      <c r="Q35" s="101">
        <f t="shared" si="8"/>
        <v>0</v>
      </c>
      <c r="R35" s="101">
        <f t="shared" si="9"/>
        <v>0</v>
      </c>
      <c r="S35" s="101">
        <f t="shared" si="10"/>
        <v>0</v>
      </c>
      <c r="T35" s="101">
        <f t="shared" si="11"/>
        <v>0</v>
      </c>
      <c r="U35" s="101">
        <f t="shared" si="12"/>
        <v>0</v>
      </c>
      <c r="V35" s="101">
        <f t="shared" si="13"/>
        <v>0</v>
      </c>
      <c r="W35" s="101">
        <f t="shared" si="14"/>
        <v>0</v>
      </c>
      <c r="Y35" s="78"/>
      <c r="Z35" s="78"/>
      <c r="AA35" s="152"/>
      <c r="AD35" s="102"/>
      <c r="AE35" s="103">
        <f t="shared" si="21"/>
        <v>0</v>
      </c>
      <c r="AF35" s="103">
        <f t="shared" si="22"/>
        <v>0</v>
      </c>
      <c r="AG35" s="103">
        <f t="shared" si="23"/>
        <v>0</v>
      </c>
      <c r="AH35" s="103">
        <f t="shared" si="24"/>
        <v>0</v>
      </c>
      <c r="AI35" s="103">
        <f t="shared" si="25"/>
        <v>0</v>
      </c>
      <c r="AK35" s="102"/>
      <c r="AL35" s="103">
        <f t="shared" si="15"/>
        <v>0</v>
      </c>
      <c r="AM35" s="103">
        <f t="shared" si="16"/>
        <v>0</v>
      </c>
      <c r="AN35" s="103">
        <f t="shared" si="17"/>
        <v>0</v>
      </c>
      <c r="AO35" s="103">
        <f t="shared" si="18"/>
        <v>0</v>
      </c>
      <c r="AP35" s="103">
        <f t="shared" si="19"/>
        <v>0</v>
      </c>
      <c r="AQ35" s="122"/>
      <c r="AR35" s="103"/>
      <c r="AS35" s="122"/>
      <c r="AT35" s="94"/>
      <c r="AU35" s="94"/>
      <c r="AV35" s="94"/>
    </row>
    <row r="36" spans="1:48" x14ac:dyDescent="0.2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si="28"/>
        <v>#N/A</v>
      </c>
      <c r="I36" s="171">
        <f t="shared" si="29"/>
        <v>36689</v>
      </c>
      <c r="J36" s="171">
        <f t="shared" si="20"/>
        <v>36689</v>
      </c>
      <c r="K36" s="154">
        <f t="shared" si="30"/>
        <v>1</v>
      </c>
      <c r="L36" s="154">
        <f t="shared" si="3"/>
        <v>0</v>
      </c>
      <c r="M36" s="154">
        <f t="shared" si="4"/>
        <v>-9</v>
      </c>
      <c r="N36" s="101">
        <f t="shared" si="5"/>
        <v>0</v>
      </c>
      <c r="O36" s="101">
        <f t="shared" si="6"/>
        <v>0</v>
      </c>
      <c r="P36" s="101">
        <f t="shared" si="7"/>
        <v>0</v>
      </c>
      <c r="Q36" s="101">
        <f t="shared" si="8"/>
        <v>0</v>
      </c>
      <c r="R36" s="101">
        <f t="shared" si="9"/>
        <v>0</v>
      </c>
      <c r="S36" s="101">
        <f t="shared" si="10"/>
        <v>0</v>
      </c>
      <c r="T36" s="101">
        <f t="shared" si="11"/>
        <v>0</v>
      </c>
      <c r="U36" s="101">
        <f t="shared" si="12"/>
        <v>0</v>
      </c>
      <c r="V36" s="101">
        <f t="shared" si="13"/>
        <v>0</v>
      </c>
      <c r="W36" s="101">
        <f t="shared" si="14"/>
        <v>0</v>
      </c>
      <c r="Y36" s="78"/>
      <c r="Z36" s="78"/>
      <c r="AA36" s="152"/>
      <c r="AD36" s="102"/>
      <c r="AE36" s="103">
        <f t="shared" si="21"/>
        <v>0</v>
      </c>
      <c r="AF36" s="103">
        <f t="shared" si="22"/>
        <v>0</v>
      </c>
      <c r="AG36" s="103">
        <f t="shared" si="23"/>
        <v>0</v>
      </c>
      <c r="AH36" s="103">
        <f t="shared" si="24"/>
        <v>0</v>
      </c>
      <c r="AI36" s="103">
        <f t="shared" si="25"/>
        <v>0</v>
      </c>
      <c r="AK36" s="102"/>
      <c r="AL36" s="103">
        <f t="shared" si="15"/>
        <v>0</v>
      </c>
      <c r="AM36" s="103">
        <f t="shared" si="16"/>
        <v>0</v>
      </c>
      <c r="AN36" s="103">
        <f t="shared" si="17"/>
        <v>0</v>
      </c>
      <c r="AO36" s="103">
        <f t="shared" si="18"/>
        <v>0</v>
      </c>
      <c r="AP36" s="103">
        <f t="shared" si="19"/>
        <v>0</v>
      </c>
      <c r="AQ36" s="122"/>
      <c r="AR36" s="103"/>
      <c r="AS36" s="122"/>
      <c r="AT36" s="94"/>
      <c r="AU36" s="94"/>
      <c r="AV36" s="94"/>
    </row>
    <row r="37" spans="1:48" x14ac:dyDescent="0.2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si="28"/>
        <v>#N/A</v>
      </c>
      <c r="I37" s="171">
        <f t="shared" si="29"/>
        <v>36690</v>
      </c>
      <c r="J37" s="171">
        <f t="shared" si="20"/>
        <v>36690</v>
      </c>
      <c r="K37" s="154">
        <f t="shared" si="30"/>
        <v>2</v>
      </c>
      <c r="L37" s="154">
        <f t="shared" si="3"/>
        <v>0</v>
      </c>
      <c r="M37" s="154">
        <f t="shared" si="4"/>
        <v>-8</v>
      </c>
      <c r="N37" s="101">
        <f t="shared" si="5"/>
        <v>0</v>
      </c>
      <c r="O37" s="101">
        <f t="shared" si="6"/>
        <v>0</v>
      </c>
      <c r="P37" s="101">
        <f t="shared" si="7"/>
        <v>0</v>
      </c>
      <c r="Q37" s="101">
        <f t="shared" si="8"/>
        <v>0</v>
      </c>
      <c r="R37" s="101">
        <f t="shared" si="9"/>
        <v>0</v>
      </c>
      <c r="S37" s="101">
        <f t="shared" si="10"/>
        <v>0</v>
      </c>
      <c r="T37" s="101">
        <f t="shared" si="11"/>
        <v>0</v>
      </c>
      <c r="U37" s="101">
        <f t="shared" si="12"/>
        <v>0</v>
      </c>
      <c r="V37" s="101">
        <f t="shared" si="13"/>
        <v>0</v>
      </c>
      <c r="W37" s="101">
        <f t="shared" si="14"/>
        <v>0</v>
      </c>
      <c r="Y37" s="78"/>
      <c r="Z37" s="78"/>
      <c r="AA37" s="152"/>
      <c r="AD37" s="102"/>
      <c r="AE37" s="103">
        <f t="shared" si="21"/>
        <v>0</v>
      </c>
      <c r="AF37" s="103">
        <f t="shared" si="22"/>
        <v>0</v>
      </c>
      <c r="AG37" s="103">
        <f t="shared" si="23"/>
        <v>0</v>
      </c>
      <c r="AH37" s="103">
        <f t="shared" si="24"/>
        <v>0</v>
      </c>
      <c r="AI37" s="103">
        <f t="shared" si="25"/>
        <v>0</v>
      </c>
      <c r="AK37" s="102"/>
      <c r="AL37" s="103">
        <f t="shared" si="15"/>
        <v>0</v>
      </c>
      <c r="AM37" s="103">
        <f t="shared" si="16"/>
        <v>0</v>
      </c>
      <c r="AN37" s="103">
        <f t="shared" si="17"/>
        <v>0</v>
      </c>
      <c r="AO37" s="103">
        <f t="shared" si="18"/>
        <v>0</v>
      </c>
      <c r="AP37" s="103">
        <f t="shared" si="19"/>
        <v>0</v>
      </c>
      <c r="AQ37" s="122"/>
      <c r="AR37" s="103"/>
      <c r="AS37" s="122"/>
      <c r="AT37" s="94"/>
      <c r="AU37" s="94"/>
      <c r="AV37" s="94"/>
    </row>
    <row r="38" spans="1:48" x14ac:dyDescent="0.2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si="28"/>
        <v>#N/A</v>
      </c>
      <c r="I38" s="171">
        <f t="shared" si="29"/>
        <v>36691</v>
      </c>
      <c r="J38" s="171">
        <f t="shared" si="20"/>
        <v>36691</v>
      </c>
      <c r="K38" s="154">
        <f t="shared" si="30"/>
        <v>3</v>
      </c>
      <c r="L38" s="154">
        <f t="shared" si="3"/>
        <v>0</v>
      </c>
      <c r="M38" s="154">
        <f t="shared" si="4"/>
        <v>-7</v>
      </c>
      <c r="N38" s="101">
        <f t="shared" si="5"/>
        <v>0</v>
      </c>
      <c r="O38" s="101">
        <f t="shared" si="6"/>
        <v>0</v>
      </c>
      <c r="P38" s="101">
        <f t="shared" si="7"/>
        <v>0</v>
      </c>
      <c r="Q38" s="101">
        <f t="shared" si="8"/>
        <v>0</v>
      </c>
      <c r="R38" s="101">
        <f t="shared" si="9"/>
        <v>0</v>
      </c>
      <c r="S38" s="101">
        <f t="shared" si="10"/>
        <v>0</v>
      </c>
      <c r="T38" s="101">
        <f t="shared" si="11"/>
        <v>0</v>
      </c>
      <c r="U38" s="101">
        <f t="shared" si="12"/>
        <v>0</v>
      </c>
      <c r="V38" s="101">
        <f t="shared" si="13"/>
        <v>0</v>
      </c>
      <c r="W38" s="101">
        <f t="shared" si="14"/>
        <v>0</v>
      </c>
      <c r="Y38" s="78"/>
      <c r="Z38" s="78"/>
      <c r="AA38" s="152"/>
      <c r="AD38" s="102"/>
      <c r="AE38" s="103">
        <f t="shared" si="21"/>
        <v>0</v>
      </c>
      <c r="AF38" s="103">
        <f t="shared" si="22"/>
        <v>0</v>
      </c>
      <c r="AG38" s="103">
        <f t="shared" si="23"/>
        <v>0</v>
      </c>
      <c r="AH38" s="103">
        <f t="shared" si="24"/>
        <v>0</v>
      </c>
      <c r="AI38" s="103">
        <f t="shared" si="25"/>
        <v>0</v>
      </c>
      <c r="AK38" s="102"/>
      <c r="AL38" s="103">
        <f t="shared" si="15"/>
        <v>0</v>
      </c>
      <c r="AM38" s="103">
        <f t="shared" si="16"/>
        <v>0</v>
      </c>
      <c r="AN38" s="103">
        <f t="shared" si="17"/>
        <v>0</v>
      </c>
      <c r="AO38" s="103">
        <f t="shared" si="18"/>
        <v>0</v>
      </c>
      <c r="AP38" s="103">
        <f t="shared" si="19"/>
        <v>0</v>
      </c>
      <c r="AQ38" s="122"/>
      <c r="AR38" s="103"/>
      <c r="AS38" s="122"/>
      <c r="AT38" s="94"/>
      <c r="AU38" s="94"/>
      <c r="AV38" s="94"/>
    </row>
    <row r="39" spans="1:48" x14ac:dyDescent="0.2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si="28"/>
        <v>#N/A</v>
      </c>
      <c r="I39" s="171">
        <f t="shared" si="29"/>
        <v>36692</v>
      </c>
      <c r="J39" s="171">
        <f t="shared" si="20"/>
        <v>36692</v>
      </c>
      <c r="K39" s="154">
        <f t="shared" si="30"/>
        <v>4</v>
      </c>
      <c r="L39" s="154">
        <f t="shared" si="3"/>
        <v>0</v>
      </c>
      <c r="M39" s="154">
        <f t="shared" si="4"/>
        <v>-6</v>
      </c>
      <c r="N39" s="101">
        <f t="shared" si="5"/>
        <v>0</v>
      </c>
      <c r="O39" s="101">
        <f t="shared" si="6"/>
        <v>0</v>
      </c>
      <c r="P39" s="101">
        <f t="shared" si="7"/>
        <v>0</v>
      </c>
      <c r="Q39" s="101">
        <f t="shared" si="8"/>
        <v>0</v>
      </c>
      <c r="R39" s="101">
        <f t="shared" si="9"/>
        <v>0</v>
      </c>
      <c r="S39" s="101">
        <f t="shared" si="10"/>
        <v>0</v>
      </c>
      <c r="T39" s="101">
        <f t="shared" si="11"/>
        <v>0</v>
      </c>
      <c r="U39" s="101">
        <f t="shared" si="12"/>
        <v>0</v>
      </c>
      <c r="V39" s="101">
        <f t="shared" si="13"/>
        <v>0</v>
      </c>
      <c r="W39" s="101">
        <f t="shared" si="14"/>
        <v>0</v>
      </c>
      <c r="Y39" s="78"/>
      <c r="Z39" s="78"/>
      <c r="AA39" s="152"/>
      <c r="AD39" s="102"/>
      <c r="AE39" s="103">
        <f t="shared" si="21"/>
        <v>0</v>
      </c>
      <c r="AF39" s="103">
        <f t="shared" si="22"/>
        <v>0</v>
      </c>
      <c r="AG39" s="103">
        <f t="shared" si="23"/>
        <v>0</v>
      </c>
      <c r="AH39" s="103">
        <f t="shared" si="24"/>
        <v>0</v>
      </c>
      <c r="AI39" s="103">
        <f t="shared" si="25"/>
        <v>0</v>
      </c>
      <c r="AK39" s="102"/>
      <c r="AL39" s="103">
        <f t="shared" si="15"/>
        <v>0</v>
      </c>
      <c r="AM39" s="103">
        <f t="shared" si="16"/>
        <v>0</v>
      </c>
      <c r="AN39" s="103">
        <f t="shared" si="17"/>
        <v>0</v>
      </c>
      <c r="AO39" s="103">
        <f t="shared" si="18"/>
        <v>0</v>
      </c>
      <c r="AP39" s="103">
        <f t="shared" si="19"/>
        <v>0</v>
      </c>
      <c r="AQ39" s="122"/>
      <c r="AR39" s="103"/>
      <c r="AS39" s="122"/>
      <c r="AT39" s="94"/>
      <c r="AU39" s="94"/>
      <c r="AV39" s="94"/>
    </row>
    <row r="40" spans="1:48" x14ac:dyDescent="0.2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si="28"/>
        <v>#N/A</v>
      </c>
      <c r="I40" s="171">
        <f t="shared" si="29"/>
        <v>36693</v>
      </c>
      <c r="J40" s="171">
        <f t="shared" si="20"/>
        <v>36693</v>
      </c>
      <c r="K40" s="154">
        <f t="shared" si="30"/>
        <v>5</v>
      </c>
      <c r="L40" s="154">
        <f t="shared" si="3"/>
        <v>0</v>
      </c>
      <c r="M40" s="154">
        <f t="shared" si="4"/>
        <v>-5</v>
      </c>
      <c r="N40" s="101">
        <f t="shared" si="5"/>
        <v>0</v>
      </c>
      <c r="O40" s="101">
        <f t="shared" si="6"/>
        <v>0</v>
      </c>
      <c r="P40" s="101">
        <f t="shared" si="7"/>
        <v>0</v>
      </c>
      <c r="Q40" s="101">
        <f t="shared" si="8"/>
        <v>0</v>
      </c>
      <c r="R40" s="101">
        <f t="shared" si="9"/>
        <v>0</v>
      </c>
      <c r="S40" s="101">
        <f t="shared" si="10"/>
        <v>0</v>
      </c>
      <c r="T40" s="101">
        <f t="shared" si="11"/>
        <v>0</v>
      </c>
      <c r="U40" s="101">
        <f t="shared" si="12"/>
        <v>0</v>
      </c>
      <c r="V40" s="101">
        <f t="shared" si="13"/>
        <v>0</v>
      </c>
      <c r="W40" s="101">
        <f t="shared" si="14"/>
        <v>0</v>
      </c>
      <c r="Y40" s="78"/>
      <c r="Z40" s="78"/>
      <c r="AA40" s="152"/>
      <c r="AD40" s="102"/>
      <c r="AE40" s="103">
        <f t="shared" si="21"/>
        <v>0</v>
      </c>
      <c r="AF40" s="103">
        <f t="shared" si="22"/>
        <v>0</v>
      </c>
      <c r="AG40" s="103">
        <f t="shared" si="23"/>
        <v>0</v>
      </c>
      <c r="AH40" s="103">
        <f t="shared" si="24"/>
        <v>0</v>
      </c>
      <c r="AI40" s="103">
        <f t="shared" si="25"/>
        <v>0</v>
      </c>
      <c r="AK40" s="102"/>
      <c r="AL40" s="103">
        <f t="shared" si="15"/>
        <v>0</v>
      </c>
      <c r="AM40" s="103">
        <f t="shared" si="16"/>
        <v>0</v>
      </c>
      <c r="AN40" s="103">
        <f t="shared" si="17"/>
        <v>0</v>
      </c>
      <c r="AO40" s="103">
        <f t="shared" si="18"/>
        <v>0</v>
      </c>
      <c r="AP40" s="103">
        <f t="shared" si="19"/>
        <v>0</v>
      </c>
      <c r="AQ40" s="122"/>
      <c r="AR40" s="103"/>
      <c r="AS40" s="122"/>
      <c r="AT40" s="94"/>
      <c r="AU40" s="94"/>
      <c r="AV40" s="94"/>
    </row>
    <row r="41" spans="1:48" x14ac:dyDescent="0.2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si="28"/>
        <v>#N/A</v>
      </c>
      <c r="I41" s="171">
        <f t="shared" si="29"/>
        <v>36694</v>
      </c>
      <c r="J41" s="171">
        <f t="shared" si="20"/>
        <v>36693</v>
      </c>
      <c r="K41" s="154">
        <f t="shared" si="30"/>
        <v>6</v>
      </c>
      <c r="L41" s="154">
        <f t="shared" si="3"/>
        <v>0</v>
      </c>
      <c r="M41" s="154">
        <f t="shared" si="4"/>
        <v>-5</v>
      </c>
      <c r="N41" s="101">
        <f t="shared" si="5"/>
        <v>0</v>
      </c>
      <c r="O41" s="101">
        <f t="shared" si="6"/>
        <v>0</v>
      </c>
      <c r="P41" s="101">
        <f t="shared" si="7"/>
        <v>0</v>
      </c>
      <c r="Q41" s="101">
        <f t="shared" si="8"/>
        <v>0</v>
      </c>
      <c r="R41" s="101">
        <f t="shared" si="9"/>
        <v>0</v>
      </c>
      <c r="S41" s="101">
        <f t="shared" si="10"/>
        <v>0</v>
      </c>
      <c r="T41" s="101">
        <f t="shared" si="11"/>
        <v>0</v>
      </c>
      <c r="U41" s="101">
        <f t="shared" si="12"/>
        <v>0</v>
      </c>
      <c r="V41" s="101">
        <f t="shared" si="13"/>
        <v>0</v>
      </c>
      <c r="W41" s="101">
        <f t="shared" si="14"/>
        <v>0</v>
      </c>
      <c r="Y41" s="78"/>
      <c r="Z41" s="78"/>
      <c r="AA41" s="152"/>
      <c r="AD41" s="102"/>
      <c r="AE41" s="103">
        <f t="shared" si="21"/>
        <v>0</v>
      </c>
      <c r="AF41" s="103">
        <f t="shared" si="22"/>
        <v>0</v>
      </c>
      <c r="AG41" s="103">
        <f t="shared" si="23"/>
        <v>0</v>
      </c>
      <c r="AH41" s="103">
        <f t="shared" si="24"/>
        <v>0</v>
      </c>
      <c r="AI41" s="103">
        <f t="shared" si="25"/>
        <v>0</v>
      </c>
      <c r="AK41" s="102"/>
      <c r="AL41" s="103">
        <f t="shared" si="15"/>
        <v>0</v>
      </c>
      <c r="AM41" s="103">
        <f t="shared" si="16"/>
        <v>0</v>
      </c>
      <c r="AN41" s="103">
        <f t="shared" si="17"/>
        <v>0</v>
      </c>
      <c r="AO41" s="103">
        <f t="shared" si="18"/>
        <v>0</v>
      </c>
      <c r="AP41" s="103">
        <f t="shared" si="19"/>
        <v>0</v>
      </c>
      <c r="AQ41" s="122"/>
      <c r="AR41" s="103"/>
      <c r="AS41" s="122"/>
      <c r="AT41" s="94"/>
      <c r="AU41" s="94"/>
      <c r="AV41" s="94"/>
    </row>
    <row r="42" spans="1:48" x14ac:dyDescent="0.2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si="28"/>
        <v>#N/A</v>
      </c>
      <c r="I42" s="171">
        <f t="shared" si="29"/>
        <v>36695</v>
      </c>
      <c r="J42" s="171">
        <f t="shared" si="20"/>
        <v>36693</v>
      </c>
      <c r="K42" s="154">
        <f t="shared" si="30"/>
        <v>7</v>
      </c>
      <c r="L42" s="154">
        <f t="shared" si="3"/>
        <v>0</v>
      </c>
      <c r="M42" s="154">
        <f t="shared" si="4"/>
        <v>-5</v>
      </c>
      <c r="N42" s="101">
        <f t="shared" si="5"/>
        <v>0</v>
      </c>
      <c r="O42" s="101">
        <f t="shared" si="6"/>
        <v>0</v>
      </c>
      <c r="P42" s="101">
        <f t="shared" si="7"/>
        <v>0</v>
      </c>
      <c r="Q42" s="101">
        <f t="shared" si="8"/>
        <v>0</v>
      </c>
      <c r="R42" s="101">
        <f t="shared" si="9"/>
        <v>0</v>
      </c>
      <c r="S42" s="101">
        <f t="shared" si="10"/>
        <v>0</v>
      </c>
      <c r="T42" s="101">
        <f t="shared" si="11"/>
        <v>0</v>
      </c>
      <c r="U42" s="101">
        <f t="shared" si="12"/>
        <v>0</v>
      </c>
      <c r="V42" s="101">
        <f t="shared" si="13"/>
        <v>0</v>
      </c>
      <c r="W42" s="101">
        <f t="shared" si="14"/>
        <v>0</v>
      </c>
      <c r="Y42" s="78"/>
      <c r="Z42" s="78"/>
      <c r="AA42" s="152"/>
      <c r="AD42" s="102"/>
      <c r="AE42" s="103">
        <f t="shared" si="21"/>
        <v>0</v>
      </c>
      <c r="AF42" s="103">
        <f t="shared" si="22"/>
        <v>0</v>
      </c>
      <c r="AG42" s="103">
        <f t="shared" si="23"/>
        <v>0</v>
      </c>
      <c r="AH42" s="103">
        <f t="shared" si="24"/>
        <v>0</v>
      </c>
      <c r="AI42" s="103">
        <f t="shared" si="25"/>
        <v>0</v>
      </c>
      <c r="AK42" s="102"/>
      <c r="AL42" s="103">
        <f t="shared" si="15"/>
        <v>0</v>
      </c>
      <c r="AM42" s="103">
        <f t="shared" si="16"/>
        <v>0</v>
      </c>
      <c r="AN42" s="103">
        <f t="shared" si="17"/>
        <v>0</v>
      </c>
      <c r="AO42" s="103">
        <f t="shared" si="18"/>
        <v>0</v>
      </c>
      <c r="AP42" s="103">
        <f t="shared" si="19"/>
        <v>0</v>
      </c>
      <c r="AQ42" s="122"/>
      <c r="AR42" s="103"/>
      <c r="AS42" s="122"/>
      <c r="AT42" s="94"/>
      <c r="AU42" s="94"/>
      <c r="AV42" s="94"/>
    </row>
    <row r="43" spans="1:48" x14ac:dyDescent="0.2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si="28"/>
        <v>#N/A</v>
      </c>
      <c r="I43" s="171">
        <f t="shared" si="29"/>
        <v>36696</v>
      </c>
      <c r="J43" s="171">
        <f t="shared" si="20"/>
        <v>36696</v>
      </c>
      <c r="K43" s="154">
        <f t="shared" si="30"/>
        <v>1</v>
      </c>
      <c r="L43" s="154">
        <f t="shared" si="3"/>
        <v>0</v>
      </c>
      <c r="M43" s="154">
        <f t="shared" si="4"/>
        <v>-2</v>
      </c>
      <c r="N43" s="101">
        <f t="shared" si="5"/>
        <v>0</v>
      </c>
      <c r="O43" s="101">
        <f t="shared" si="6"/>
        <v>0</v>
      </c>
      <c r="P43" s="101">
        <f t="shared" si="7"/>
        <v>0</v>
      </c>
      <c r="Q43" s="101">
        <f t="shared" si="8"/>
        <v>0</v>
      </c>
      <c r="R43" s="101">
        <f t="shared" si="9"/>
        <v>0</v>
      </c>
      <c r="S43" s="101">
        <f t="shared" si="10"/>
        <v>0</v>
      </c>
      <c r="T43" s="101">
        <f t="shared" si="11"/>
        <v>0</v>
      </c>
      <c r="U43" s="101">
        <f>IF($L43=0,0,bsd(U$23,U$22,$B43,$D43,$M43,$F43,$H43,0.1))</f>
        <v>0</v>
      </c>
      <c r="V43" s="101">
        <f t="shared" si="13"/>
        <v>0</v>
      </c>
      <c r="W43" s="101">
        <f t="shared" si="14"/>
        <v>0</v>
      </c>
      <c r="Y43" s="78"/>
      <c r="Z43" s="78"/>
      <c r="AA43" s="152"/>
      <c r="AD43" s="102"/>
      <c r="AE43" s="103">
        <f t="shared" si="21"/>
        <v>0</v>
      </c>
      <c r="AF43" s="103">
        <f t="shared" si="22"/>
        <v>0</v>
      </c>
      <c r="AG43" s="103">
        <f t="shared" si="23"/>
        <v>0</v>
      </c>
      <c r="AH43" s="103">
        <f t="shared" si="24"/>
        <v>0</v>
      </c>
      <c r="AI43" s="103">
        <f t="shared" si="25"/>
        <v>0</v>
      </c>
      <c r="AK43" s="102"/>
      <c r="AL43" s="103">
        <f t="shared" si="15"/>
        <v>0</v>
      </c>
      <c r="AM43" s="103">
        <f t="shared" si="16"/>
        <v>0</v>
      </c>
      <c r="AN43" s="103">
        <f t="shared" si="17"/>
        <v>0</v>
      </c>
      <c r="AO43" s="103">
        <f t="shared" si="18"/>
        <v>0</v>
      </c>
      <c r="AP43" s="103">
        <f t="shared" si="19"/>
        <v>0</v>
      </c>
      <c r="AQ43" s="122"/>
      <c r="AR43" s="103"/>
      <c r="AS43" s="122"/>
      <c r="AT43" s="94"/>
      <c r="AU43" s="94"/>
      <c r="AV43" s="94"/>
    </row>
    <row r="44" spans="1:48" x14ac:dyDescent="0.2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si="28"/>
        <v>#N/A</v>
      </c>
      <c r="I44" s="171">
        <f t="shared" si="29"/>
        <v>36697</v>
      </c>
      <c r="J44" s="171">
        <f t="shared" si="20"/>
        <v>36697</v>
      </c>
      <c r="K44" s="154">
        <f t="shared" si="30"/>
        <v>2</v>
      </c>
      <c r="L44" s="154">
        <f t="shared" si="3"/>
        <v>0</v>
      </c>
      <c r="M44" s="154">
        <f t="shared" si="4"/>
        <v>-1</v>
      </c>
      <c r="N44" s="101">
        <f t="shared" si="5"/>
        <v>0</v>
      </c>
      <c r="O44" s="101">
        <f t="shared" si="6"/>
        <v>0</v>
      </c>
      <c r="P44" s="101">
        <f t="shared" si="7"/>
        <v>0</v>
      </c>
      <c r="Q44" s="101">
        <f t="shared" si="8"/>
        <v>0</v>
      </c>
      <c r="R44" s="101">
        <f t="shared" si="9"/>
        <v>0</v>
      </c>
      <c r="S44" s="101">
        <f t="shared" si="10"/>
        <v>0</v>
      </c>
      <c r="T44" s="101">
        <f t="shared" si="11"/>
        <v>0</v>
      </c>
      <c r="U44" s="101">
        <f t="shared" si="12"/>
        <v>0</v>
      </c>
      <c r="V44" s="101">
        <f t="shared" si="13"/>
        <v>0</v>
      </c>
      <c r="W44" s="101">
        <f t="shared" si="14"/>
        <v>0</v>
      </c>
      <c r="Y44" s="78"/>
      <c r="Z44" s="78"/>
      <c r="AA44" s="152"/>
      <c r="AD44" s="102"/>
      <c r="AE44" s="103">
        <f t="shared" si="21"/>
        <v>0</v>
      </c>
      <c r="AF44" s="103">
        <f t="shared" si="22"/>
        <v>0</v>
      </c>
      <c r="AG44" s="103">
        <f t="shared" si="23"/>
        <v>0</v>
      </c>
      <c r="AH44" s="103">
        <f t="shared" si="24"/>
        <v>0</v>
      </c>
      <c r="AI44" s="103">
        <f t="shared" si="25"/>
        <v>0</v>
      </c>
      <c r="AK44" s="102"/>
      <c r="AL44" s="103">
        <f t="shared" si="15"/>
        <v>0</v>
      </c>
      <c r="AM44" s="103">
        <f t="shared" si="16"/>
        <v>0</v>
      </c>
      <c r="AN44" s="103">
        <f t="shared" si="17"/>
        <v>0</v>
      </c>
      <c r="AO44" s="103">
        <f t="shared" si="18"/>
        <v>0</v>
      </c>
      <c r="AP44" s="103">
        <f t="shared" si="19"/>
        <v>0</v>
      </c>
      <c r="AQ44" s="122"/>
      <c r="AR44" s="103"/>
      <c r="AS44" s="122"/>
      <c r="AT44" s="94"/>
      <c r="AU44" s="94"/>
      <c r="AV44" s="94"/>
    </row>
    <row r="45" spans="1:48" x14ac:dyDescent="0.2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si="28"/>
        <v>#N/A</v>
      </c>
      <c r="I45" s="171">
        <f t="shared" si="29"/>
        <v>36698</v>
      </c>
      <c r="J45" s="171">
        <f t="shared" si="20"/>
        <v>36698</v>
      </c>
      <c r="K45" s="154">
        <f t="shared" si="30"/>
        <v>3</v>
      </c>
      <c r="L45" s="154">
        <f t="shared" si="3"/>
        <v>0</v>
      </c>
      <c r="M45" s="154">
        <f t="shared" si="4"/>
        <v>0</v>
      </c>
      <c r="N45" s="101">
        <f t="shared" si="5"/>
        <v>0</v>
      </c>
      <c r="O45" s="101">
        <f t="shared" si="6"/>
        <v>0</v>
      </c>
      <c r="P45" s="101">
        <f t="shared" si="7"/>
        <v>0</v>
      </c>
      <c r="Q45" s="101">
        <f t="shared" si="8"/>
        <v>0</v>
      </c>
      <c r="R45" s="101">
        <f t="shared" si="9"/>
        <v>0</v>
      </c>
      <c r="S45" s="101">
        <f t="shared" si="10"/>
        <v>0</v>
      </c>
      <c r="T45" s="101">
        <f t="shared" si="11"/>
        <v>0</v>
      </c>
      <c r="U45" s="101">
        <f t="shared" si="12"/>
        <v>0</v>
      </c>
      <c r="V45" s="101">
        <f t="shared" si="13"/>
        <v>0</v>
      </c>
      <c r="W45" s="101">
        <f t="shared" si="14"/>
        <v>0</v>
      </c>
      <c r="Y45" s="78"/>
      <c r="Z45" s="78"/>
      <c r="AA45" s="152"/>
      <c r="AD45" s="102"/>
      <c r="AE45" s="103">
        <f t="shared" si="21"/>
        <v>0</v>
      </c>
      <c r="AF45" s="103">
        <f t="shared" si="22"/>
        <v>0</v>
      </c>
      <c r="AG45" s="103">
        <f t="shared" si="23"/>
        <v>0</v>
      </c>
      <c r="AH45" s="103">
        <f t="shared" si="24"/>
        <v>0</v>
      </c>
      <c r="AI45" s="103">
        <f t="shared" si="25"/>
        <v>0</v>
      </c>
      <c r="AK45" s="102"/>
      <c r="AL45" s="103">
        <f t="shared" si="15"/>
        <v>0</v>
      </c>
      <c r="AM45" s="103">
        <f t="shared" si="16"/>
        <v>0</v>
      </c>
      <c r="AN45" s="103">
        <f t="shared" si="17"/>
        <v>0</v>
      </c>
      <c r="AO45" s="103">
        <f t="shared" si="18"/>
        <v>0</v>
      </c>
      <c r="AP45" s="103">
        <f t="shared" si="19"/>
        <v>0</v>
      </c>
      <c r="AQ45" s="122"/>
      <c r="AR45" s="103"/>
      <c r="AS45" s="122"/>
      <c r="AT45" s="94"/>
      <c r="AU45" s="94"/>
      <c r="AV45" s="94"/>
    </row>
    <row r="46" spans="1:48" x14ac:dyDescent="0.2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si="28"/>
        <v>#N/A</v>
      </c>
      <c r="I46" s="171">
        <f t="shared" si="29"/>
        <v>36699</v>
      </c>
      <c r="J46" s="171">
        <f t="shared" si="20"/>
        <v>36699</v>
      </c>
      <c r="K46" s="154">
        <f t="shared" si="30"/>
        <v>4</v>
      </c>
      <c r="L46" s="154">
        <f t="shared" si="3"/>
        <v>1</v>
      </c>
      <c r="M46" s="154">
        <f t="shared" si="4"/>
        <v>1</v>
      </c>
      <c r="N46" s="101" t="e">
        <f t="shared" si="5"/>
        <v>#VALUE!</v>
      </c>
      <c r="O46" s="101" t="e">
        <f t="shared" si="6"/>
        <v>#VALUE!</v>
      </c>
      <c r="P46" s="101" t="e">
        <f t="shared" si="7"/>
        <v>#VALUE!</v>
      </c>
      <c r="Q46" s="101" t="e">
        <f t="shared" si="8"/>
        <v>#VALUE!</v>
      </c>
      <c r="R46" s="101" t="e">
        <f t="shared" si="9"/>
        <v>#VALUE!</v>
      </c>
      <c r="S46" s="101" t="e">
        <f t="shared" si="10"/>
        <v>#VALUE!</v>
      </c>
      <c r="T46" s="101" t="e">
        <f t="shared" si="11"/>
        <v>#VALUE!</v>
      </c>
      <c r="U46" s="101" t="e">
        <f t="shared" si="12"/>
        <v>#VALUE!</v>
      </c>
      <c r="V46" s="101" t="e">
        <f t="shared" si="13"/>
        <v>#VALUE!</v>
      </c>
      <c r="W46" s="101" t="e">
        <f t="shared" si="14"/>
        <v>#VALUE!</v>
      </c>
      <c r="Y46" s="78"/>
      <c r="Z46" s="78"/>
      <c r="AA46" s="152"/>
      <c r="AD46" s="102"/>
      <c r="AE46" s="103" t="e">
        <f t="shared" si="21"/>
        <v>#VALUE!</v>
      </c>
      <c r="AF46" s="103" t="e">
        <f t="shared" si="22"/>
        <v>#VALUE!</v>
      </c>
      <c r="AG46" s="103" t="e">
        <f t="shared" si="23"/>
        <v>#VALUE!</v>
      </c>
      <c r="AH46" s="103" t="e">
        <f t="shared" si="24"/>
        <v>#VALUE!</v>
      </c>
      <c r="AI46" s="103" t="e">
        <f t="shared" si="25"/>
        <v>#VALUE!</v>
      </c>
      <c r="AK46" s="102"/>
      <c r="AL46" s="103" t="e">
        <f t="shared" si="15"/>
        <v>#VALUE!</v>
      </c>
      <c r="AM46" s="103" t="e">
        <f t="shared" si="16"/>
        <v>#VALUE!</v>
      </c>
      <c r="AN46" s="103" t="e">
        <f t="shared" si="17"/>
        <v>#VALUE!</v>
      </c>
      <c r="AO46" s="103" t="e">
        <f t="shared" si="18"/>
        <v>#VALUE!</v>
      </c>
      <c r="AP46" s="103" t="e">
        <f t="shared" si="19"/>
        <v>#VALUE!</v>
      </c>
      <c r="AQ46" s="122"/>
      <c r="AR46" s="103"/>
      <c r="AS46" s="122"/>
      <c r="AT46" s="94"/>
      <c r="AU46" s="94"/>
      <c r="AV46" s="94"/>
    </row>
    <row r="47" spans="1:48" x14ac:dyDescent="0.2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si="28"/>
        <v>#N/A</v>
      </c>
      <c r="I47" s="171">
        <f t="shared" si="29"/>
        <v>36700</v>
      </c>
      <c r="J47" s="171">
        <f t="shared" si="20"/>
        <v>36700</v>
      </c>
      <c r="K47" s="154">
        <f t="shared" si="30"/>
        <v>5</v>
      </c>
      <c r="L47" s="154">
        <f t="shared" si="3"/>
        <v>1</v>
      </c>
      <c r="M47" s="154">
        <f t="shared" si="4"/>
        <v>2</v>
      </c>
      <c r="N47" s="101" t="e">
        <f t="shared" si="5"/>
        <v>#VALUE!</v>
      </c>
      <c r="O47" s="101" t="e">
        <f t="shared" si="6"/>
        <v>#VALUE!</v>
      </c>
      <c r="P47" s="101" t="e">
        <f t="shared" si="7"/>
        <v>#VALUE!</v>
      </c>
      <c r="Q47" s="101" t="e">
        <f t="shared" si="8"/>
        <v>#VALUE!</v>
      </c>
      <c r="R47" s="101" t="e">
        <f t="shared" si="9"/>
        <v>#VALUE!</v>
      </c>
      <c r="S47" s="101" t="e">
        <f t="shared" si="10"/>
        <v>#VALUE!</v>
      </c>
      <c r="T47" s="101" t="e">
        <f t="shared" si="11"/>
        <v>#VALUE!</v>
      </c>
      <c r="U47" s="101" t="e">
        <f t="shared" si="12"/>
        <v>#VALUE!</v>
      </c>
      <c r="V47" s="101" t="e">
        <f t="shared" si="13"/>
        <v>#VALUE!</v>
      </c>
      <c r="W47" s="101" t="e">
        <f t="shared" si="14"/>
        <v>#VALUE!</v>
      </c>
      <c r="Y47" s="78"/>
      <c r="Z47" s="78"/>
      <c r="AA47" s="152"/>
      <c r="AD47" s="102"/>
      <c r="AE47" s="103" t="e">
        <f t="shared" si="21"/>
        <v>#VALUE!</v>
      </c>
      <c r="AF47" s="103" t="e">
        <f t="shared" si="22"/>
        <v>#VALUE!</v>
      </c>
      <c r="AG47" s="103" t="e">
        <f t="shared" si="23"/>
        <v>#VALUE!</v>
      </c>
      <c r="AH47" s="103" t="e">
        <f t="shared" si="24"/>
        <v>#VALUE!</v>
      </c>
      <c r="AI47" s="103" t="e">
        <f t="shared" si="25"/>
        <v>#VALUE!</v>
      </c>
      <c r="AK47" s="102"/>
      <c r="AL47" s="103" t="e">
        <f t="shared" si="15"/>
        <v>#VALUE!</v>
      </c>
      <c r="AM47" s="103" t="e">
        <f t="shared" si="16"/>
        <v>#VALUE!</v>
      </c>
      <c r="AN47" s="103" t="e">
        <f t="shared" si="17"/>
        <v>#VALUE!</v>
      </c>
      <c r="AO47" s="103" t="e">
        <f t="shared" si="18"/>
        <v>#VALUE!</v>
      </c>
      <c r="AP47" s="103" t="e">
        <f t="shared" si="19"/>
        <v>#VALUE!</v>
      </c>
      <c r="AQ47" s="122"/>
      <c r="AR47" s="103"/>
      <c r="AS47" s="122"/>
      <c r="AT47" s="94"/>
      <c r="AU47" s="94"/>
      <c r="AV47" s="94"/>
    </row>
    <row r="48" spans="1:48" x14ac:dyDescent="0.2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si="28"/>
        <v>#N/A</v>
      </c>
      <c r="I48" s="171">
        <f t="shared" si="29"/>
        <v>36701</v>
      </c>
      <c r="J48" s="171">
        <f t="shared" si="20"/>
        <v>36700</v>
      </c>
      <c r="K48" s="154">
        <f t="shared" si="30"/>
        <v>6</v>
      </c>
      <c r="L48" s="154">
        <f t="shared" si="3"/>
        <v>1</v>
      </c>
      <c r="M48" s="154">
        <f t="shared" si="4"/>
        <v>2</v>
      </c>
      <c r="N48" s="101" t="e">
        <f t="shared" si="5"/>
        <v>#VALUE!</v>
      </c>
      <c r="O48" s="101" t="e">
        <f t="shared" si="6"/>
        <v>#VALUE!</v>
      </c>
      <c r="P48" s="101" t="e">
        <f t="shared" si="7"/>
        <v>#VALUE!</v>
      </c>
      <c r="Q48" s="101" t="e">
        <f t="shared" si="8"/>
        <v>#VALUE!</v>
      </c>
      <c r="R48" s="101" t="e">
        <f t="shared" si="9"/>
        <v>#VALUE!</v>
      </c>
      <c r="S48" s="101" t="e">
        <f t="shared" si="10"/>
        <v>#VALUE!</v>
      </c>
      <c r="T48" s="101" t="e">
        <f t="shared" si="11"/>
        <v>#VALUE!</v>
      </c>
      <c r="U48" s="101" t="e">
        <f t="shared" si="12"/>
        <v>#VALUE!</v>
      </c>
      <c r="V48" s="101" t="e">
        <f t="shared" si="13"/>
        <v>#VALUE!</v>
      </c>
      <c r="W48" s="101" t="e">
        <f t="shared" si="14"/>
        <v>#VALUE!</v>
      </c>
      <c r="Y48" s="78"/>
      <c r="Z48" s="78"/>
      <c r="AA48" s="152"/>
      <c r="AD48" s="102"/>
      <c r="AE48" s="103" t="e">
        <f t="shared" si="21"/>
        <v>#VALUE!</v>
      </c>
      <c r="AF48" s="103" t="e">
        <f t="shared" si="22"/>
        <v>#VALUE!</v>
      </c>
      <c r="AG48" s="103" t="e">
        <f t="shared" si="23"/>
        <v>#VALUE!</v>
      </c>
      <c r="AH48" s="103" t="e">
        <f t="shared" si="24"/>
        <v>#VALUE!</v>
      </c>
      <c r="AI48" s="103" t="e">
        <f t="shared" si="25"/>
        <v>#VALUE!</v>
      </c>
      <c r="AK48" s="102"/>
      <c r="AL48" s="103" t="e">
        <f t="shared" si="15"/>
        <v>#VALUE!</v>
      </c>
      <c r="AM48" s="103" t="e">
        <f t="shared" si="16"/>
        <v>#VALUE!</v>
      </c>
      <c r="AN48" s="103" t="e">
        <f t="shared" si="17"/>
        <v>#VALUE!</v>
      </c>
      <c r="AO48" s="103" t="e">
        <f t="shared" si="18"/>
        <v>#VALUE!</v>
      </c>
      <c r="AP48" s="103" t="e">
        <f t="shared" si="19"/>
        <v>#VALUE!</v>
      </c>
      <c r="AQ48" s="122"/>
      <c r="AR48" s="103"/>
      <c r="AS48" s="122"/>
      <c r="AT48" s="94"/>
      <c r="AU48" s="94"/>
      <c r="AV48" s="94"/>
    </row>
    <row r="49" spans="1:48" x14ac:dyDescent="0.2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si="28"/>
        <v>#N/A</v>
      </c>
      <c r="I49" s="171">
        <f t="shared" si="29"/>
        <v>36702</v>
      </c>
      <c r="J49" s="171">
        <f t="shared" si="20"/>
        <v>36700</v>
      </c>
      <c r="K49" s="154">
        <f t="shared" si="30"/>
        <v>7</v>
      </c>
      <c r="L49" s="154">
        <f t="shared" si="3"/>
        <v>1</v>
      </c>
      <c r="M49" s="154">
        <f t="shared" si="4"/>
        <v>2</v>
      </c>
      <c r="N49" s="101" t="e">
        <f t="shared" si="5"/>
        <v>#VALUE!</v>
      </c>
      <c r="O49" s="101" t="e">
        <f t="shared" si="6"/>
        <v>#VALUE!</v>
      </c>
      <c r="P49" s="101" t="e">
        <f t="shared" si="7"/>
        <v>#VALUE!</v>
      </c>
      <c r="Q49" s="101" t="e">
        <f t="shared" si="8"/>
        <v>#VALUE!</v>
      </c>
      <c r="R49" s="101" t="e">
        <f t="shared" si="9"/>
        <v>#VALUE!</v>
      </c>
      <c r="S49" s="101" t="e">
        <f t="shared" si="10"/>
        <v>#VALUE!</v>
      </c>
      <c r="T49" s="101" t="e">
        <f t="shared" si="11"/>
        <v>#VALUE!</v>
      </c>
      <c r="U49" s="101" t="e">
        <f t="shared" si="12"/>
        <v>#VALUE!</v>
      </c>
      <c r="V49" s="101" t="e">
        <f t="shared" si="13"/>
        <v>#VALUE!</v>
      </c>
      <c r="W49" s="101" t="e">
        <f t="shared" si="14"/>
        <v>#VALUE!</v>
      </c>
      <c r="Y49" s="78"/>
      <c r="Z49" s="78"/>
      <c r="AA49" s="152"/>
      <c r="AD49" s="102"/>
      <c r="AE49" s="103" t="e">
        <f t="shared" si="21"/>
        <v>#VALUE!</v>
      </c>
      <c r="AF49" s="103" t="e">
        <f t="shared" si="22"/>
        <v>#VALUE!</v>
      </c>
      <c r="AG49" s="103" t="e">
        <f t="shared" si="23"/>
        <v>#VALUE!</v>
      </c>
      <c r="AH49" s="103" t="e">
        <f t="shared" si="24"/>
        <v>#VALUE!</v>
      </c>
      <c r="AI49" s="103" t="e">
        <f t="shared" si="25"/>
        <v>#VALUE!</v>
      </c>
      <c r="AK49" s="102"/>
      <c r="AL49" s="103" t="e">
        <f t="shared" si="15"/>
        <v>#VALUE!</v>
      </c>
      <c r="AM49" s="103" t="e">
        <f t="shared" si="16"/>
        <v>#VALUE!</v>
      </c>
      <c r="AN49" s="103" t="e">
        <f t="shared" si="17"/>
        <v>#VALUE!</v>
      </c>
      <c r="AO49" s="103" t="e">
        <f t="shared" si="18"/>
        <v>#VALUE!</v>
      </c>
      <c r="AP49" s="103" t="e">
        <f t="shared" si="19"/>
        <v>#VALUE!</v>
      </c>
      <c r="AQ49" s="122"/>
      <c r="AR49" s="103"/>
      <c r="AS49" s="122"/>
      <c r="AT49" s="94"/>
      <c r="AU49" s="94"/>
      <c r="AV49" s="94"/>
    </row>
    <row r="50" spans="1:48" x14ac:dyDescent="0.2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si="28"/>
        <v>#N/A</v>
      </c>
      <c r="I50" s="171">
        <f t="shared" si="29"/>
        <v>36703</v>
      </c>
      <c r="J50" s="171">
        <f t="shared" si="20"/>
        <v>36703</v>
      </c>
      <c r="K50" s="154">
        <f t="shared" si="30"/>
        <v>1</v>
      </c>
      <c r="L50" s="154">
        <f t="shared" si="3"/>
        <v>1</v>
      </c>
      <c r="M50" s="154">
        <f t="shared" si="4"/>
        <v>5</v>
      </c>
      <c r="N50" s="101" t="e">
        <f t="shared" si="5"/>
        <v>#VALUE!</v>
      </c>
      <c r="O50" s="101" t="e">
        <f t="shared" si="6"/>
        <v>#VALUE!</v>
      </c>
      <c r="P50" s="101" t="e">
        <f t="shared" si="7"/>
        <v>#VALUE!</v>
      </c>
      <c r="Q50" s="101" t="e">
        <f t="shared" si="8"/>
        <v>#VALUE!</v>
      </c>
      <c r="R50" s="101" t="e">
        <f t="shared" si="9"/>
        <v>#VALUE!</v>
      </c>
      <c r="S50" s="101" t="e">
        <f t="shared" si="10"/>
        <v>#VALUE!</v>
      </c>
      <c r="T50" s="101" t="e">
        <f t="shared" si="11"/>
        <v>#VALUE!</v>
      </c>
      <c r="U50" s="101" t="e">
        <f t="shared" si="12"/>
        <v>#VALUE!</v>
      </c>
      <c r="V50" s="101" t="e">
        <f t="shared" si="13"/>
        <v>#VALUE!</v>
      </c>
      <c r="W50" s="101" t="e">
        <f t="shared" si="14"/>
        <v>#VALUE!</v>
      </c>
      <c r="Y50" s="78"/>
      <c r="Z50" s="78"/>
      <c r="AA50" s="152"/>
      <c r="AD50" s="102"/>
      <c r="AE50" s="103" t="e">
        <f t="shared" si="21"/>
        <v>#VALUE!</v>
      </c>
      <c r="AF50" s="103" t="e">
        <f t="shared" si="22"/>
        <v>#VALUE!</v>
      </c>
      <c r="AG50" s="103" t="e">
        <f t="shared" si="23"/>
        <v>#VALUE!</v>
      </c>
      <c r="AH50" s="103" t="e">
        <f t="shared" si="24"/>
        <v>#VALUE!</v>
      </c>
      <c r="AI50" s="103" t="e">
        <f t="shared" si="25"/>
        <v>#VALUE!</v>
      </c>
      <c r="AK50" s="102"/>
      <c r="AL50" s="103" t="e">
        <f t="shared" si="15"/>
        <v>#VALUE!</v>
      </c>
      <c r="AM50" s="103" t="e">
        <f t="shared" si="16"/>
        <v>#VALUE!</v>
      </c>
      <c r="AN50" s="103" t="e">
        <f t="shared" si="17"/>
        <v>#VALUE!</v>
      </c>
      <c r="AO50" s="103" t="e">
        <f t="shared" si="18"/>
        <v>#VALUE!</v>
      </c>
      <c r="AP50" s="103" t="e">
        <f t="shared" si="19"/>
        <v>#VALUE!</v>
      </c>
      <c r="AQ50" s="122"/>
      <c r="AR50" s="103"/>
      <c r="AS50" s="122"/>
      <c r="AT50" s="94"/>
      <c r="AU50" s="94"/>
      <c r="AV50" s="94"/>
    </row>
    <row r="51" spans="1:48" x14ac:dyDescent="0.2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si="28"/>
        <v>#N/A</v>
      </c>
      <c r="I51" s="171">
        <f t="shared" si="29"/>
        <v>36704</v>
      </c>
      <c r="J51" s="171">
        <f t="shared" si="20"/>
        <v>36704</v>
      </c>
      <c r="K51" s="154">
        <f t="shared" si="30"/>
        <v>2</v>
      </c>
      <c r="L51" s="154">
        <f t="shared" si="3"/>
        <v>1</v>
      </c>
      <c r="M51" s="154">
        <f t="shared" si="4"/>
        <v>6</v>
      </c>
      <c r="N51" s="101" t="e">
        <f t="shared" si="5"/>
        <v>#VALUE!</v>
      </c>
      <c r="O51" s="101" t="e">
        <f t="shared" si="6"/>
        <v>#VALUE!</v>
      </c>
      <c r="P51" s="101" t="e">
        <f t="shared" si="7"/>
        <v>#VALUE!</v>
      </c>
      <c r="Q51" s="101" t="e">
        <f t="shared" si="8"/>
        <v>#VALUE!</v>
      </c>
      <c r="R51" s="101" t="e">
        <f t="shared" si="9"/>
        <v>#VALUE!</v>
      </c>
      <c r="S51" s="101" t="e">
        <f t="shared" si="10"/>
        <v>#VALUE!</v>
      </c>
      <c r="T51" s="101" t="e">
        <f t="shared" si="11"/>
        <v>#VALUE!</v>
      </c>
      <c r="U51" s="101" t="e">
        <f t="shared" si="12"/>
        <v>#VALUE!</v>
      </c>
      <c r="V51" s="101" t="e">
        <f t="shared" si="13"/>
        <v>#VALUE!</v>
      </c>
      <c r="W51" s="101" t="e">
        <f t="shared" si="14"/>
        <v>#VALUE!</v>
      </c>
      <c r="Y51" s="78"/>
      <c r="Z51" s="78"/>
      <c r="AA51" s="152"/>
      <c r="AD51" s="102"/>
      <c r="AE51" s="103" t="e">
        <f t="shared" si="21"/>
        <v>#VALUE!</v>
      </c>
      <c r="AF51" s="103" t="e">
        <f t="shared" si="22"/>
        <v>#VALUE!</v>
      </c>
      <c r="AG51" s="103" t="e">
        <f t="shared" si="23"/>
        <v>#VALUE!</v>
      </c>
      <c r="AH51" s="103" t="e">
        <f t="shared" si="24"/>
        <v>#VALUE!</v>
      </c>
      <c r="AI51" s="103" t="e">
        <f t="shared" si="25"/>
        <v>#VALUE!</v>
      </c>
      <c r="AK51" s="102"/>
      <c r="AL51" s="103" t="e">
        <f t="shared" si="15"/>
        <v>#VALUE!</v>
      </c>
      <c r="AM51" s="103" t="e">
        <f t="shared" si="16"/>
        <v>#VALUE!</v>
      </c>
      <c r="AN51" s="103" t="e">
        <f t="shared" si="17"/>
        <v>#VALUE!</v>
      </c>
      <c r="AO51" s="103" t="e">
        <f t="shared" si="18"/>
        <v>#VALUE!</v>
      </c>
      <c r="AP51" s="103" t="e">
        <f t="shared" si="19"/>
        <v>#VALUE!</v>
      </c>
      <c r="AQ51" s="122"/>
      <c r="AR51" s="103"/>
      <c r="AS51" s="122"/>
      <c r="AT51" s="94"/>
      <c r="AU51" s="94"/>
      <c r="AV51" s="94"/>
    </row>
    <row r="52" spans="1:48" x14ac:dyDescent="0.2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si="28"/>
        <v>#N/A</v>
      </c>
      <c r="I52" s="171">
        <f t="shared" si="29"/>
        <v>36705</v>
      </c>
      <c r="J52" s="171">
        <f t="shared" si="20"/>
        <v>36705</v>
      </c>
      <c r="K52" s="154">
        <f t="shared" si="30"/>
        <v>3</v>
      </c>
      <c r="L52" s="154">
        <f t="shared" si="3"/>
        <v>1</v>
      </c>
      <c r="M52" s="154">
        <f t="shared" si="4"/>
        <v>7</v>
      </c>
      <c r="N52" s="101" t="e">
        <f t="shared" si="5"/>
        <v>#VALUE!</v>
      </c>
      <c r="O52" s="101" t="e">
        <f t="shared" si="6"/>
        <v>#VALUE!</v>
      </c>
      <c r="P52" s="101" t="e">
        <f t="shared" si="7"/>
        <v>#VALUE!</v>
      </c>
      <c r="Q52" s="101" t="e">
        <f t="shared" si="8"/>
        <v>#VALUE!</v>
      </c>
      <c r="R52" s="101" t="e">
        <f t="shared" si="9"/>
        <v>#VALUE!</v>
      </c>
      <c r="S52" s="101" t="e">
        <f t="shared" si="10"/>
        <v>#VALUE!</v>
      </c>
      <c r="T52" s="101" t="e">
        <f t="shared" si="11"/>
        <v>#VALUE!</v>
      </c>
      <c r="U52" s="101" t="e">
        <f t="shared" si="12"/>
        <v>#VALUE!</v>
      </c>
      <c r="V52" s="101" t="e">
        <f t="shared" si="13"/>
        <v>#VALUE!</v>
      </c>
      <c r="W52" s="101" t="e">
        <f t="shared" si="14"/>
        <v>#VALUE!</v>
      </c>
      <c r="Y52" s="78"/>
      <c r="Z52" s="78"/>
      <c r="AA52" s="152"/>
      <c r="AD52" s="102"/>
      <c r="AE52" s="103" t="e">
        <f t="shared" si="21"/>
        <v>#VALUE!</v>
      </c>
      <c r="AF52" s="103" t="e">
        <f t="shared" si="22"/>
        <v>#VALUE!</v>
      </c>
      <c r="AG52" s="103" t="e">
        <f t="shared" si="23"/>
        <v>#VALUE!</v>
      </c>
      <c r="AH52" s="103" t="e">
        <f t="shared" si="24"/>
        <v>#VALUE!</v>
      </c>
      <c r="AI52" s="103" t="e">
        <f t="shared" si="25"/>
        <v>#VALUE!</v>
      </c>
      <c r="AK52" s="102"/>
      <c r="AL52" s="103" t="e">
        <f t="shared" si="15"/>
        <v>#VALUE!</v>
      </c>
      <c r="AM52" s="103" t="e">
        <f t="shared" si="16"/>
        <v>#VALUE!</v>
      </c>
      <c r="AN52" s="103" t="e">
        <f t="shared" si="17"/>
        <v>#VALUE!</v>
      </c>
      <c r="AO52" s="103" t="e">
        <f t="shared" si="18"/>
        <v>#VALUE!</v>
      </c>
      <c r="AP52" s="103" t="e">
        <f t="shared" si="19"/>
        <v>#VALUE!</v>
      </c>
      <c r="AQ52" s="122"/>
      <c r="AR52" s="103"/>
      <c r="AS52" s="122"/>
      <c r="AT52" s="94"/>
      <c r="AU52" s="94"/>
      <c r="AV52" s="94"/>
    </row>
    <row r="53" spans="1:48" x14ac:dyDescent="0.2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si="28"/>
        <v>#N/A</v>
      </c>
      <c r="I53" s="171">
        <f t="shared" si="29"/>
        <v>36706</v>
      </c>
      <c r="J53" s="171">
        <f t="shared" si="20"/>
        <v>36706</v>
      </c>
      <c r="K53" s="154">
        <f t="shared" si="30"/>
        <v>4</v>
      </c>
      <c r="L53" s="154">
        <f t="shared" si="3"/>
        <v>1</v>
      </c>
      <c r="M53" s="154">
        <f t="shared" si="4"/>
        <v>8</v>
      </c>
      <c r="N53" s="101" t="e">
        <f t="shared" si="5"/>
        <v>#VALUE!</v>
      </c>
      <c r="O53" s="101" t="e">
        <f t="shared" si="6"/>
        <v>#VALUE!</v>
      </c>
      <c r="P53" s="101" t="e">
        <f t="shared" si="7"/>
        <v>#VALUE!</v>
      </c>
      <c r="Q53" s="101" t="e">
        <f t="shared" si="8"/>
        <v>#VALUE!</v>
      </c>
      <c r="R53" s="101" t="e">
        <f t="shared" si="9"/>
        <v>#VALUE!</v>
      </c>
      <c r="S53" s="101" t="e">
        <f t="shared" si="10"/>
        <v>#VALUE!</v>
      </c>
      <c r="T53" s="101" t="e">
        <f t="shared" si="11"/>
        <v>#VALUE!</v>
      </c>
      <c r="U53" s="101" t="e">
        <f t="shared" si="12"/>
        <v>#VALUE!</v>
      </c>
      <c r="V53" s="101" t="e">
        <f t="shared" si="13"/>
        <v>#VALUE!</v>
      </c>
      <c r="W53" s="101" t="e">
        <f t="shared" si="14"/>
        <v>#VALUE!</v>
      </c>
      <c r="Y53" s="78"/>
      <c r="Z53" s="78"/>
      <c r="AA53" s="152"/>
      <c r="AD53" s="102"/>
      <c r="AE53" s="103" t="e">
        <f t="shared" si="21"/>
        <v>#VALUE!</v>
      </c>
      <c r="AF53" s="103" t="e">
        <f t="shared" si="22"/>
        <v>#VALUE!</v>
      </c>
      <c r="AG53" s="103" t="e">
        <f t="shared" si="23"/>
        <v>#VALUE!</v>
      </c>
      <c r="AH53" s="103" t="e">
        <f t="shared" si="24"/>
        <v>#VALUE!</v>
      </c>
      <c r="AI53" s="103" t="e">
        <f t="shared" si="25"/>
        <v>#VALUE!</v>
      </c>
      <c r="AK53" s="102"/>
      <c r="AL53" s="103" t="e">
        <f t="shared" si="15"/>
        <v>#VALUE!</v>
      </c>
      <c r="AM53" s="103" t="e">
        <f t="shared" si="16"/>
        <v>#VALUE!</v>
      </c>
      <c r="AN53" s="103" t="e">
        <f t="shared" si="17"/>
        <v>#VALUE!</v>
      </c>
      <c r="AO53" s="103" t="e">
        <f t="shared" si="18"/>
        <v>#VALUE!</v>
      </c>
      <c r="AP53" s="103" t="e">
        <f t="shared" si="19"/>
        <v>#VALUE!</v>
      </c>
      <c r="AQ53" s="122"/>
      <c r="AR53" s="103"/>
      <c r="AS53" s="122"/>
      <c r="AT53" s="94"/>
      <c r="AU53" s="94"/>
      <c r="AV53" s="94"/>
    </row>
    <row r="54" spans="1:48" x14ac:dyDescent="0.2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si="28"/>
        <v>#N/A</v>
      </c>
      <c r="I54" s="171">
        <f t="shared" si="29"/>
        <v>36707</v>
      </c>
      <c r="J54" s="171">
        <f t="shared" si="20"/>
        <v>36707</v>
      </c>
      <c r="K54" s="154">
        <f t="shared" si="30"/>
        <v>5</v>
      </c>
      <c r="L54" s="154">
        <f t="shared" si="3"/>
        <v>1</v>
      </c>
      <c r="M54" s="154">
        <f t="shared" si="4"/>
        <v>9</v>
      </c>
      <c r="N54" s="101" t="e">
        <f t="shared" si="5"/>
        <v>#VALUE!</v>
      </c>
      <c r="O54" s="101" t="e">
        <f t="shared" si="6"/>
        <v>#VALUE!</v>
      </c>
      <c r="P54" s="101" t="e">
        <f t="shared" si="7"/>
        <v>#VALUE!</v>
      </c>
      <c r="Q54" s="101" t="e">
        <f t="shared" si="8"/>
        <v>#VALUE!</v>
      </c>
      <c r="R54" s="101" t="e">
        <f t="shared" si="9"/>
        <v>#VALUE!</v>
      </c>
      <c r="S54" s="101" t="e">
        <f t="shared" si="10"/>
        <v>#VALUE!</v>
      </c>
      <c r="T54" s="101" t="e">
        <f t="shared" si="11"/>
        <v>#VALUE!</v>
      </c>
      <c r="U54" s="101" t="e">
        <f t="shared" si="12"/>
        <v>#VALUE!</v>
      </c>
      <c r="V54" s="101" t="e">
        <f t="shared" si="13"/>
        <v>#VALUE!</v>
      </c>
      <c r="W54" s="101" t="e">
        <f t="shared" si="14"/>
        <v>#VALUE!</v>
      </c>
      <c r="Y54" s="78"/>
      <c r="Z54" s="78"/>
      <c r="AA54" s="152"/>
      <c r="AD54" s="102"/>
      <c r="AE54" s="103" t="e">
        <f t="shared" si="21"/>
        <v>#VALUE!</v>
      </c>
      <c r="AF54" s="103" t="e">
        <f t="shared" si="22"/>
        <v>#VALUE!</v>
      </c>
      <c r="AG54" s="103" t="e">
        <f t="shared" si="23"/>
        <v>#VALUE!</v>
      </c>
      <c r="AH54" s="103" t="e">
        <f t="shared" si="24"/>
        <v>#VALUE!</v>
      </c>
      <c r="AI54" s="103" t="e">
        <f t="shared" si="25"/>
        <v>#VALUE!</v>
      </c>
      <c r="AK54" s="102"/>
      <c r="AL54" s="103" t="e">
        <f t="shared" si="15"/>
        <v>#VALUE!</v>
      </c>
      <c r="AM54" s="103" t="e">
        <f t="shared" si="16"/>
        <v>#VALUE!</v>
      </c>
      <c r="AN54" s="103" t="e">
        <f t="shared" si="17"/>
        <v>#VALUE!</v>
      </c>
      <c r="AO54" s="103" t="e">
        <f t="shared" si="18"/>
        <v>#VALUE!</v>
      </c>
      <c r="AP54" s="103" t="e">
        <f t="shared" si="19"/>
        <v>#VALUE!</v>
      </c>
      <c r="AQ54" s="122"/>
      <c r="AR54" s="103"/>
      <c r="AS54" s="122"/>
      <c r="AT54" s="94"/>
      <c r="AU54" s="94"/>
      <c r="AV54" s="94"/>
    </row>
    <row r="55" spans="1:48" x14ac:dyDescent="0.2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si="28"/>
        <v>#N/A</v>
      </c>
      <c r="I55" s="171">
        <f t="shared" si="29"/>
        <v>36708</v>
      </c>
      <c r="J55" s="171">
        <f t="shared" si="20"/>
        <v>36707</v>
      </c>
      <c r="K55" s="154">
        <f t="shared" si="30"/>
        <v>6</v>
      </c>
      <c r="L55" s="154">
        <f t="shared" si="3"/>
        <v>0</v>
      </c>
      <c r="M55" s="154">
        <f t="shared" si="4"/>
        <v>9</v>
      </c>
      <c r="N55" s="101">
        <f t="shared" si="5"/>
        <v>0</v>
      </c>
      <c r="O55" s="101">
        <f t="shared" si="6"/>
        <v>0</v>
      </c>
      <c r="P55" s="101">
        <f t="shared" si="7"/>
        <v>0</v>
      </c>
      <c r="Q55" s="101">
        <f t="shared" si="8"/>
        <v>0</v>
      </c>
      <c r="R55" s="101">
        <f t="shared" si="9"/>
        <v>0</v>
      </c>
      <c r="S55" s="101">
        <f t="shared" si="10"/>
        <v>0</v>
      </c>
      <c r="T55" s="101">
        <f t="shared" si="11"/>
        <v>0</v>
      </c>
      <c r="U55" s="101">
        <f t="shared" si="12"/>
        <v>0</v>
      </c>
      <c r="V55" s="101">
        <f t="shared" si="13"/>
        <v>0</v>
      </c>
      <c r="W55" s="101">
        <f t="shared" si="14"/>
        <v>0</v>
      </c>
      <c r="Y55" s="78"/>
      <c r="Z55" s="78"/>
      <c r="AA55" s="152"/>
      <c r="AD55" s="102"/>
      <c r="AE55" s="103">
        <f t="shared" si="21"/>
        <v>0</v>
      </c>
      <c r="AF55" s="103">
        <f t="shared" si="22"/>
        <v>0</v>
      </c>
      <c r="AG55" s="103">
        <f t="shared" si="23"/>
        <v>0</v>
      </c>
      <c r="AH55" s="103">
        <f t="shared" si="24"/>
        <v>0</v>
      </c>
      <c r="AI55" s="103">
        <f t="shared" si="25"/>
        <v>0</v>
      </c>
      <c r="AK55" s="102"/>
      <c r="AL55" s="103">
        <f t="shared" si="15"/>
        <v>0</v>
      </c>
      <c r="AM55" s="103">
        <f t="shared" si="16"/>
        <v>0</v>
      </c>
      <c r="AN55" s="103">
        <f t="shared" si="17"/>
        <v>0</v>
      </c>
      <c r="AO55" s="103">
        <f t="shared" si="18"/>
        <v>0</v>
      </c>
      <c r="AP55" s="103">
        <f t="shared" si="19"/>
        <v>0</v>
      </c>
      <c r="AQ55" s="122"/>
      <c r="AR55" s="103"/>
      <c r="AS55" s="122"/>
      <c r="AT55" s="94"/>
      <c r="AU55" s="94"/>
      <c r="AV55" s="94"/>
    </row>
    <row r="56" spans="1:48" x14ac:dyDescent="0.2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29" t="s">
        <v>246</v>
      </c>
      <c r="B5" s="330" t="s">
        <v>247</v>
      </c>
      <c r="C5" s="331" t="s">
        <v>248</v>
      </c>
      <c r="D5" s="331" t="s">
        <v>249</v>
      </c>
      <c r="E5" s="332" t="s">
        <v>250</v>
      </c>
      <c r="F5" s="332" t="s">
        <v>251</v>
      </c>
      <c r="G5" s="333" t="s">
        <v>252</v>
      </c>
      <c r="H5" s="334" t="s">
        <v>253</v>
      </c>
      <c r="I5" s="335" t="s">
        <v>254</v>
      </c>
      <c r="J5" s="336" t="s">
        <v>255</v>
      </c>
      <c r="K5" s="337" t="s">
        <v>256</v>
      </c>
      <c r="L5" s="337" t="s">
        <v>257</v>
      </c>
      <c r="M5" s="338" t="s">
        <v>258</v>
      </c>
      <c r="N5" s="339" t="s">
        <v>259</v>
      </c>
      <c r="O5" s="339" t="s">
        <v>260</v>
      </c>
      <c r="P5" s="339" t="s">
        <v>261</v>
      </c>
      <c r="Q5" s="339" t="s">
        <v>262</v>
      </c>
      <c r="R5" s="340" t="s">
        <v>263</v>
      </c>
      <c r="S5" s="341" t="s">
        <v>264</v>
      </c>
      <c r="T5" s="342" t="s">
        <v>265</v>
      </c>
      <c r="U5" s="343" t="s">
        <v>266</v>
      </c>
      <c r="V5" s="344" t="s">
        <v>267</v>
      </c>
      <c r="W5" s="345" t="s">
        <v>268</v>
      </c>
      <c r="X5" s="346" t="s">
        <v>269</v>
      </c>
      <c r="Y5" s="347" t="s">
        <v>270</v>
      </c>
      <c r="Z5" s="347" t="s">
        <v>271</v>
      </c>
      <c r="AA5" s="347" t="s">
        <v>272</v>
      </c>
      <c r="AB5" s="348" t="s">
        <v>273</v>
      </c>
      <c r="AC5" s="348" t="s">
        <v>274</v>
      </c>
      <c r="AD5" s="349" t="s">
        <v>275</v>
      </c>
      <c r="AE5" s="349" t="s">
        <v>276</v>
      </c>
      <c r="AF5" s="349" t="s">
        <v>277</v>
      </c>
      <c r="AG5" s="349" t="s">
        <v>278</v>
      </c>
      <c r="AH5" s="349" t="s">
        <v>259</v>
      </c>
      <c r="AI5" s="348" t="s">
        <v>279</v>
      </c>
      <c r="AJ5" s="350" t="s">
        <v>280</v>
      </c>
      <c r="AK5" s="350" t="s">
        <v>281</v>
      </c>
      <c r="AL5" s="350" t="s">
        <v>282</v>
      </c>
      <c r="AM5" s="350" t="s">
        <v>283</v>
      </c>
      <c r="AN5" s="350" t="s">
        <v>284</v>
      </c>
      <c r="AO5" s="350" t="s">
        <v>276</v>
      </c>
      <c r="AP5" s="350" t="s">
        <v>262</v>
      </c>
      <c r="AQ5" s="350" t="s">
        <v>285</v>
      </c>
      <c r="AR5" s="350" t="s">
        <v>286</v>
      </c>
      <c r="AS5" s="351"/>
      <c r="AT5" s="352"/>
      <c r="AU5" s="353" t="s">
        <v>287</v>
      </c>
      <c r="AV5" s="353" t="s">
        <v>288</v>
      </c>
      <c r="AW5" s="354" t="s">
        <v>289</v>
      </c>
      <c r="AX5" s="354" t="s">
        <v>290</v>
      </c>
      <c r="AY5" s="355" t="s">
        <v>291</v>
      </c>
      <c r="AZ5" s="353" t="s">
        <v>292</v>
      </c>
      <c r="BA5" s="353" t="s">
        <v>293</v>
      </c>
      <c r="BB5" s="355" t="s">
        <v>294</v>
      </c>
      <c r="BC5" s="355" t="s">
        <v>295</v>
      </c>
      <c r="BD5" s="355" t="s">
        <v>296</v>
      </c>
      <c r="BE5" s="356" t="s">
        <v>297</v>
      </c>
      <c r="BF5" s="353" t="s">
        <v>298</v>
      </c>
      <c r="BG5" s="353" t="s">
        <v>299</v>
      </c>
      <c r="BH5" s="354" t="s">
        <v>300</v>
      </c>
      <c r="BI5" s="357" t="s">
        <v>301</v>
      </c>
      <c r="BJ5" s="357" t="s">
        <v>302</v>
      </c>
      <c r="BK5" s="358" t="s">
        <v>303</v>
      </c>
      <c r="BL5" s="359" t="s">
        <v>304</v>
      </c>
      <c r="BM5" s="351"/>
      <c r="BN5" s="351"/>
      <c r="BO5" s="351"/>
      <c r="BP5" s="351"/>
      <c r="BQ5" s="351"/>
      <c r="BR5" s="351"/>
      <c r="BS5" s="351"/>
      <c r="BT5" s="351"/>
      <c r="BU5" s="351"/>
      <c r="BV5" s="351"/>
      <c r="BW5" s="351"/>
      <c r="BX5" s="351"/>
      <c r="BY5" s="351"/>
      <c r="BZ5" s="351"/>
      <c r="CA5" s="351"/>
      <c r="CB5" s="351"/>
      <c r="CC5" s="351"/>
      <c r="CD5" s="351"/>
      <c r="CE5" s="351"/>
    </row>
    <row r="6" spans="1:83" x14ac:dyDescent="0.2">
      <c r="A6" s="304" t="s">
        <v>217</v>
      </c>
      <c r="B6" s="305" t="s">
        <v>218</v>
      </c>
      <c r="C6" s="304" t="s">
        <v>219</v>
      </c>
      <c r="D6" s="304" t="s">
        <v>94</v>
      </c>
      <c r="E6" s="305" t="s">
        <v>220</v>
      </c>
      <c r="F6" s="305" t="s">
        <v>221</v>
      </c>
      <c r="G6" s="306">
        <v>37257</v>
      </c>
      <c r="H6" s="307">
        <v>-8250000</v>
      </c>
      <c r="I6" s="308">
        <v>0.25</v>
      </c>
      <c r="J6" s="309">
        <v>3.25</v>
      </c>
      <c r="K6" s="309">
        <v>0.06</v>
      </c>
      <c r="L6" s="309">
        <v>3.31</v>
      </c>
      <c r="M6" s="310">
        <v>2.3764979897465299E-2</v>
      </c>
      <c r="N6" s="311">
        <v>0.78500000000000003</v>
      </c>
      <c r="O6" s="311">
        <v>0.84799999999999998</v>
      </c>
      <c r="P6" s="311">
        <v>0.84799999999999998</v>
      </c>
      <c r="Q6" s="311">
        <v>0.93</v>
      </c>
      <c r="R6" s="312">
        <v>37253</v>
      </c>
      <c r="S6" s="309">
        <v>0.10059046419211953</v>
      </c>
      <c r="T6" s="313">
        <v>0.36066229705196728</v>
      </c>
      <c r="U6" s="313">
        <v>-0.313891430254159</v>
      </c>
      <c r="V6" s="314">
        <v>-829871.3295849862</v>
      </c>
      <c r="W6" s="307">
        <v>-2975463.9506787299</v>
      </c>
      <c r="X6" s="307">
        <v>-385859.65108191833</v>
      </c>
      <c r="Y6" s="307"/>
      <c r="Z6" s="315">
        <v>-825</v>
      </c>
      <c r="AA6" s="316">
        <v>0</v>
      </c>
      <c r="AB6" s="317">
        <v>0.84939193156722215</v>
      </c>
      <c r="AC6" s="317">
        <v>-7.0074834354295827</v>
      </c>
      <c r="AD6" s="318">
        <v>83360.333467921155</v>
      </c>
      <c r="AE6" s="318">
        <v>10543.899495128275</v>
      </c>
      <c r="AF6" s="318">
        <v>-22657.24740594393</v>
      </c>
      <c r="AG6" s="318">
        <v>7206.7233777890388</v>
      </c>
      <c r="AH6" s="318">
        <v>-17268.876367740198</v>
      </c>
      <c r="AI6" s="317">
        <v>0.70606980959627386</v>
      </c>
      <c r="AJ6" s="319">
        <v>-993311.00593213865</v>
      </c>
      <c r="AK6" s="319">
        <v>140111.32128691697</v>
      </c>
      <c r="AL6" s="319">
        <v>-23.743651856551878</v>
      </c>
      <c r="AM6" s="319">
        <v>89.553502980154008</v>
      </c>
      <c r="AN6" s="319">
        <v>13619.159436400398</v>
      </c>
      <c r="AO6" s="319">
        <v>11248.538674967247</v>
      </c>
      <c r="AP6" s="319">
        <v>0</v>
      </c>
      <c r="AQ6" s="319">
        <v>0</v>
      </c>
      <c r="AR6" s="319">
        <v>163439.67634715245</v>
      </c>
      <c r="AS6" s="320"/>
      <c r="AT6" s="321">
        <v>1</v>
      </c>
      <c r="AU6" s="322">
        <v>12</v>
      </c>
      <c r="AV6" s="322">
        <v>19</v>
      </c>
      <c r="AW6" s="323">
        <v>3.3260000000000001</v>
      </c>
      <c r="AX6" s="323">
        <v>3.4210000000000003</v>
      </c>
      <c r="AY6" s="324">
        <v>2.38992978137045E-2</v>
      </c>
      <c r="AZ6" s="325">
        <v>0.79249999999999998</v>
      </c>
      <c r="BA6" s="325">
        <v>0.85599999999999998</v>
      </c>
      <c r="BB6" s="324">
        <v>0.93</v>
      </c>
      <c r="BC6" s="324">
        <v>0</v>
      </c>
      <c r="BD6" s="324">
        <v>0.85599999999999998</v>
      </c>
      <c r="BE6" s="326">
        <v>-993311.00593213865</v>
      </c>
      <c r="BF6" s="322">
        <v>64</v>
      </c>
      <c r="BG6" s="322">
        <v>65</v>
      </c>
      <c r="BH6" s="323">
        <v>0.25</v>
      </c>
      <c r="BI6" s="327">
        <v>0.99561132079096881</v>
      </c>
      <c r="BJ6" s="327">
        <v>0.99552196185221098</v>
      </c>
      <c r="BK6" s="325" t="s">
        <v>222</v>
      </c>
      <c r="BL6" s="328" t="s">
        <v>223</v>
      </c>
      <c r="BM6" s="320"/>
      <c r="BN6" s="208"/>
      <c r="BO6" s="208"/>
      <c r="BP6" s="208"/>
      <c r="BQ6" s="208"/>
      <c r="BR6" s="208"/>
      <c r="BS6" s="208"/>
      <c r="BT6" s="208"/>
      <c r="BU6" s="208"/>
      <c r="BV6" s="208"/>
    </row>
    <row r="7" spans="1:83" x14ac:dyDescent="0.2">
      <c r="A7" s="304" t="s">
        <v>217</v>
      </c>
      <c r="B7" s="305" t="s">
        <v>218</v>
      </c>
      <c r="C7" s="304" t="s">
        <v>219</v>
      </c>
      <c r="D7" s="304" t="s">
        <v>94</v>
      </c>
      <c r="E7" s="305" t="s">
        <v>220</v>
      </c>
      <c r="F7" s="305" t="s">
        <v>221</v>
      </c>
      <c r="G7" s="306">
        <v>37288</v>
      </c>
      <c r="H7" s="307">
        <v>-8250000</v>
      </c>
      <c r="I7" s="308">
        <v>0.25</v>
      </c>
      <c r="J7" s="309">
        <v>3.2480000000000002</v>
      </c>
      <c r="K7" s="309">
        <v>0.05</v>
      </c>
      <c r="L7" s="309">
        <v>3.298</v>
      </c>
      <c r="M7" s="310">
        <v>2.3552572431166499E-2</v>
      </c>
      <c r="N7" s="311">
        <v>0.72499999999999998</v>
      </c>
      <c r="O7" s="311">
        <v>0.78300000000000003</v>
      </c>
      <c r="P7" s="311">
        <v>0.78300000000000003</v>
      </c>
      <c r="Q7" s="311">
        <v>0.93</v>
      </c>
      <c r="R7" s="312">
        <v>37286</v>
      </c>
      <c r="S7" s="309">
        <v>0.119128305331759</v>
      </c>
      <c r="T7" s="313">
        <v>0.37473577091897126</v>
      </c>
      <c r="U7" s="313">
        <v>-0.32103462860907495</v>
      </c>
      <c r="V7" s="314">
        <v>-982808.51898701175</v>
      </c>
      <c r="W7" s="307">
        <v>-3091570.1100815129</v>
      </c>
      <c r="X7" s="307">
        <v>-443034.42405664455</v>
      </c>
      <c r="Y7" s="307"/>
      <c r="Z7" s="315">
        <v>-825</v>
      </c>
      <c r="AA7" s="316">
        <v>0</v>
      </c>
      <c r="AB7" s="317">
        <v>0.75830522104870401</v>
      </c>
      <c r="AC7" s="317">
        <v>-6.2560180736518083</v>
      </c>
      <c r="AD7" s="318">
        <v>95515.855753920216</v>
      </c>
      <c r="AE7" s="318">
        <v>7947.5507975722185</v>
      </c>
      <c r="AF7" s="318">
        <v>-28047.36259551012</v>
      </c>
      <c r="AG7" s="318">
        <v>8869.5757476401668</v>
      </c>
      <c r="AH7" s="318">
        <v>-21421.575855510764</v>
      </c>
      <c r="AI7" s="317">
        <v>0.66057649888832248</v>
      </c>
      <c r="AJ7" s="319">
        <v>-1039551.3824677939</v>
      </c>
      <c r="AK7" s="319">
        <v>32967.601687919814</v>
      </c>
      <c r="AL7" s="319">
        <v>-40.253237774362788</v>
      </c>
      <c r="AM7" s="319">
        <v>107.92494040669408</v>
      </c>
      <c r="AN7" s="319">
        <v>16269.896423518076</v>
      </c>
      <c r="AO7" s="319">
        <v>8206.308622327866</v>
      </c>
      <c r="AP7" s="319">
        <v>0</v>
      </c>
      <c r="AQ7" s="319">
        <v>0</v>
      </c>
      <c r="AR7" s="319">
        <v>56742.863480782136</v>
      </c>
      <c r="AS7" s="320"/>
      <c r="AT7" s="321">
        <v>1</v>
      </c>
      <c r="AU7" s="322">
        <v>13</v>
      </c>
      <c r="AV7" s="322">
        <v>20</v>
      </c>
      <c r="AW7" s="323">
        <v>3.3210000000000002</v>
      </c>
      <c r="AX7" s="323">
        <v>3.371</v>
      </c>
      <c r="AY7" s="324">
        <v>2.36968871405265E-2</v>
      </c>
      <c r="AZ7" s="325">
        <v>0.73250000000000004</v>
      </c>
      <c r="BA7" s="325">
        <v>0.79100000000000004</v>
      </c>
      <c r="BB7" s="324">
        <v>0.93</v>
      </c>
      <c r="BC7" s="324">
        <v>0</v>
      </c>
      <c r="BD7" s="324">
        <v>0.79100000000000004</v>
      </c>
      <c r="BE7" s="326">
        <v>-1039551.3824677939</v>
      </c>
      <c r="BF7" s="322">
        <v>97</v>
      </c>
      <c r="BG7" s="322">
        <v>98</v>
      </c>
      <c r="BH7" s="323">
        <v>0.25</v>
      </c>
      <c r="BI7" s="327">
        <v>0.99367353397830227</v>
      </c>
      <c r="BJ7" s="327">
        <v>0.9935710352440521</v>
      </c>
      <c r="BK7" s="325" t="s">
        <v>224</v>
      </c>
      <c r="BL7" s="328" t="s">
        <v>225</v>
      </c>
      <c r="BM7" s="320"/>
      <c r="BN7" s="208"/>
      <c r="BO7" s="208"/>
      <c r="BP7" s="208"/>
      <c r="BQ7" s="208"/>
      <c r="BR7" s="208"/>
      <c r="BS7" s="208"/>
      <c r="BT7" s="208"/>
      <c r="BU7" s="208"/>
      <c r="BV7" s="208"/>
    </row>
    <row r="8" spans="1:83" x14ac:dyDescent="0.2">
      <c r="A8" s="304" t="s">
        <v>217</v>
      </c>
      <c r="B8" s="305" t="s">
        <v>218</v>
      </c>
      <c r="C8" s="304" t="s">
        <v>219</v>
      </c>
      <c r="D8" s="304" t="s">
        <v>94</v>
      </c>
      <c r="E8" s="305" t="s">
        <v>220</v>
      </c>
      <c r="F8" s="305" t="s">
        <v>221</v>
      </c>
      <c r="G8" s="306">
        <v>37316</v>
      </c>
      <c r="H8" s="307">
        <v>-8250000</v>
      </c>
      <c r="I8" s="308">
        <v>0.25</v>
      </c>
      <c r="J8" s="309">
        <v>3.1949999999999998</v>
      </c>
      <c r="K8" s="309">
        <v>0.03</v>
      </c>
      <c r="L8" s="309">
        <v>3.2250000000000001</v>
      </c>
      <c r="M8" s="310">
        <v>2.3027261633295399E-2</v>
      </c>
      <c r="N8" s="311">
        <v>0.65</v>
      </c>
      <c r="O8" s="311">
        <v>0.70199999999999996</v>
      </c>
      <c r="P8" s="311">
        <v>0.70199999999999996</v>
      </c>
      <c r="Q8" s="311">
        <v>0.93</v>
      </c>
      <c r="R8" s="312">
        <v>37314</v>
      </c>
      <c r="S8" s="309">
        <v>0.11203136587660585</v>
      </c>
      <c r="T8" s="313">
        <v>0.35995362582069368</v>
      </c>
      <c r="U8" s="313">
        <v>-0.30626599155304352</v>
      </c>
      <c r="V8" s="314">
        <v>-924258.76848199824</v>
      </c>
      <c r="W8" s="307">
        <v>-2969617.413020723</v>
      </c>
      <c r="X8" s="307">
        <v>-442922.98270811385</v>
      </c>
      <c r="Y8" s="307"/>
      <c r="Z8" s="315">
        <v>-825</v>
      </c>
      <c r="AA8" s="316">
        <v>0</v>
      </c>
      <c r="AB8" s="317">
        <v>0.75090706084760117</v>
      </c>
      <c r="AC8" s="317">
        <v>-6.1949832519927099</v>
      </c>
      <c r="AD8" s="318">
        <v>93605.156969931268</v>
      </c>
      <c r="AE8" s="318">
        <v>6044.3792133762254</v>
      </c>
      <c r="AF8" s="318">
        <v>-30787.874466149933</v>
      </c>
      <c r="AG8" s="318">
        <v>9795.0885928858861</v>
      </c>
      <c r="AH8" s="318">
        <v>-23455.815830556036</v>
      </c>
      <c r="AI8" s="317">
        <v>0.72849014819693902</v>
      </c>
      <c r="AJ8" s="319">
        <v>-977401.57562773</v>
      </c>
      <c r="AK8" s="319">
        <v>29816.984164387803</v>
      </c>
      <c r="AL8" s="319">
        <v>-89.120484721730463</v>
      </c>
      <c r="AM8" s="319">
        <v>151.97982856992166</v>
      </c>
      <c r="AN8" s="319">
        <v>17774.390260023298</v>
      </c>
      <c r="AO8" s="319">
        <v>6246.3752425329294</v>
      </c>
      <c r="AP8" s="319">
        <v>0</v>
      </c>
      <c r="AQ8" s="319">
        <v>0</v>
      </c>
      <c r="AR8" s="319">
        <v>53142.807145731756</v>
      </c>
      <c r="AS8" s="320"/>
      <c r="AT8" s="321">
        <v>1</v>
      </c>
      <c r="AU8" s="322">
        <v>14</v>
      </c>
      <c r="AV8" s="322">
        <v>21</v>
      </c>
      <c r="AW8" s="323">
        <v>3.2610000000000001</v>
      </c>
      <c r="AX8" s="323">
        <v>3.2909999999999999</v>
      </c>
      <c r="AY8" s="324">
        <v>2.3291566028777098E-2</v>
      </c>
      <c r="AZ8" s="325">
        <v>0.65749999999999997</v>
      </c>
      <c r="BA8" s="325">
        <v>0.71</v>
      </c>
      <c r="BB8" s="324">
        <v>0.93</v>
      </c>
      <c r="BC8" s="324">
        <v>0</v>
      </c>
      <c r="BD8" s="324">
        <v>0.71</v>
      </c>
      <c r="BE8" s="326">
        <v>-977401.57562773</v>
      </c>
      <c r="BF8" s="322">
        <v>125</v>
      </c>
      <c r="BG8" s="322">
        <v>126</v>
      </c>
      <c r="BH8" s="323">
        <v>0.25</v>
      </c>
      <c r="BI8" s="327">
        <v>0.99207060617160048</v>
      </c>
      <c r="BJ8" s="327">
        <v>0.99191759219903686</v>
      </c>
      <c r="BK8" s="325" t="s">
        <v>226</v>
      </c>
      <c r="BL8" s="328" t="s">
        <v>227</v>
      </c>
      <c r="BM8" s="320"/>
      <c r="BN8" s="208"/>
      <c r="BO8" s="208"/>
      <c r="BP8" s="208"/>
      <c r="BQ8" s="208"/>
      <c r="BR8" s="208"/>
      <c r="BS8" s="208"/>
      <c r="BT8" s="208"/>
      <c r="BU8" s="208"/>
      <c r="BV8" s="208"/>
    </row>
    <row r="9" spans="1:83" x14ac:dyDescent="0.2">
      <c r="A9" s="304" t="s">
        <v>217</v>
      </c>
      <c r="B9" s="305" t="s">
        <v>218</v>
      </c>
      <c r="C9" s="304" t="s">
        <v>219</v>
      </c>
      <c r="D9" s="304" t="s">
        <v>94</v>
      </c>
      <c r="E9" s="305" t="s">
        <v>220</v>
      </c>
      <c r="F9" s="305" t="s">
        <v>221</v>
      </c>
      <c r="G9" s="306">
        <v>37347</v>
      </c>
      <c r="H9" s="307">
        <v>-8250000</v>
      </c>
      <c r="I9" s="308">
        <v>0.25</v>
      </c>
      <c r="J9" s="309">
        <v>3.0950000000000002</v>
      </c>
      <c r="K9" s="309">
        <v>3.5000000000000003E-2</v>
      </c>
      <c r="L9" s="309">
        <v>3.13</v>
      </c>
      <c r="M9" s="310">
        <v>2.26849174085424E-2</v>
      </c>
      <c r="N9" s="311">
        <v>0.52249999999999996</v>
      </c>
      <c r="O9" s="311">
        <v>0.52300000000000002</v>
      </c>
      <c r="P9" s="311">
        <v>0.52300000000000002</v>
      </c>
      <c r="Q9" s="311">
        <v>0.93</v>
      </c>
      <c r="R9" s="312">
        <v>37343</v>
      </c>
      <c r="S9" s="309">
        <v>7.5301422409989549E-2</v>
      </c>
      <c r="T9" s="313">
        <v>0.31646138447290356</v>
      </c>
      <c r="U9" s="313">
        <v>-0.27380318675439969</v>
      </c>
      <c r="V9" s="314">
        <v>-621236.73488241376</v>
      </c>
      <c r="W9" s="307">
        <v>-2610806.4219014542</v>
      </c>
      <c r="X9" s="307">
        <v>-351930.13117765699</v>
      </c>
      <c r="Y9" s="307"/>
      <c r="Z9" s="315">
        <v>-825</v>
      </c>
      <c r="AA9" s="316">
        <v>0</v>
      </c>
      <c r="AB9" s="317">
        <v>0.90504694000672781</v>
      </c>
      <c r="AC9" s="317">
        <v>-7.4666372550555051</v>
      </c>
      <c r="AD9" s="318">
        <v>78013.833664063452</v>
      </c>
      <c r="AE9" s="318">
        <v>3679.8281952345847</v>
      </c>
      <c r="AF9" s="318">
        <v>-22580.330911348621</v>
      </c>
      <c r="AG9" s="318">
        <v>697.72645538846371</v>
      </c>
      <c r="AH9" s="318">
        <v>-21904.212428124134</v>
      </c>
      <c r="AI9" s="317">
        <v>0.91965692895064954</v>
      </c>
      <c r="AJ9" s="319">
        <v>-652073.49330170476</v>
      </c>
      <c r="AK9" s="319">
        <v>5232.5779419735773</v>
      </c>
      <c r="AL9" s="319">
        <v>-100.36212903598789</v>
      </c>
      <c r="AM9" s="319">
        <v>143.46002223389223</v>
      </c>
      <c r="AN9" s="319">
        <v>22304.061211714521</v>
      </c>
      <c r="AO9" s="319">
        <v>3808.7142812414095</v>
      </c>
      <c r="AP9" s="319">
        <v>0</v>
      </c>
      <c r="AQ9" s="319">
        <v>0</v>
      </c>
      <c r="AR9" s="319">
        <v>30836.758419291</v>
      </c>
      <c r="AS9" s="320"/>
      <c r="AT9" s="321">
        <v>1</v>
      </c>
      <c r="AU9" s="322">
        <v>15</v>
      </c>
      <c r="AV9" s="322">
        <v>22</v>
      </c>
      <c r="AW9" s="323">
        <v>3.1459999999999999</v>
      </c>
      <c r="AX9" s="323">
        <v>3.1759999999999997</v>
      </c>
      <c r="AY9" s="324">
        <v>2.3047576380458502E-2</v>
      </c>
      <c r="AZ9" s="325">
        <v>0.53249999999999997</v>
      </c>
      <c r="BA9" s="325">
        <v>0.53300000000000003</v>
      </c>
      <c r="BB9" s="324">
        <v>0.93</v>
      </c>
      <c r="BC9" s="324">
        <v>0</v>
      </c>
      <c r="BD9" s="324">
        <v>0.53300000000000003</v>
      </c>
      <c r="BE9" s="326">
        <v>-652073.49330170476</v>
      </c>
      <c r="BF9" s="322">
        <v>154</v>
      </c>
      <c r="BG9" s="322">
        <v>155</v>
      </c>
      <c r="BH9" s="323">
        <v>0.25</v>
      </c>
      <c r="BI9" s="327">
        <v>0.99028963661068947</v>
      </c>
      <c r="BJ9" s="327">
        <v>0.99007392962680418</v>
      </c>
      <c r="BK9" s="325" t="s">
        <v>228</v>
      </c>
      <c r="BL9" s="328" t="s">
        <v>229</v>
      </c>
      <c r="BM9" s="320"/>
      <c r="BN9" s="208"/>
      <c r="BO9" s="208"/>
      <c r="BP9" s="208"/>
      <c r="BQ9" s="208"/>
      <c r="BR9" s="208"/>
      <c r="BS9" s="208"/>
      <c r="BT9" s="208"/>
      <c r="BU9" s="208"/>
      <c r="BV9" s="208"/>
    </row>
    <row r="10" spans="1:83" x14ac:dyDescent="0.2">
      <c r="A10" s="304" t="s">
        <v>217</v>
      </c>
      <c r="B10" s="305" t="s">
        <v>218</v>
      </c>
      <c r="C10" s="304" t="s">
        <v>219</v>
      </c>
      <c r="D10" s="304" t="s">
        <v>94</v>
      </c>
      <c r="E10" s="305" t="s">
        <v>220</v>
      </c>
      <c r="F10" s="305" t="s">
        <v>221</v>
      </c>
      <c r="G10" s="306">
        <v>37377</v>
      </c>
      <c r="H10" s="307">
        <v>-8250000</v>
      </c>
      <c r="I10" s="308">
        <v>0.25</v>
      </c>
      <c r="J10" s="309">
        <v>3.125</v>
      </c>
      <c r="K10" s="309">
        <v>6.5000000000000002E-2</v>
      </c>
      <c r="L10" s="309">
        <v>3.19</v>
      </c>
      <c r="M10" s="310">
        <v>2.26737414033105E-2</v>
      </c>
      <c r="N10" s="311">
        <v>0.47</v>
      </c>
      <c r="O10" s="311">
        <v>0.47</v>
      </c>
      <c r="P10" s="311">
        <v>0.47</v>
      </c>
      <c r="Q10" s="311">
        <v>0.93</v>
      </c>
      <c r="R10" s="312">
        <v>37375</v>
      </c>
      <c r="S10" s="309">
        <v>8.4556360360052291E-2</v>
      </c>
      <c r="T10" s="313">
        <v>0.34241982957181172</v>
      </c>
      <c r="U10" s="313">
        <v>-0.29875916250443674</v>
      </c>
      <c r="V10" s="314">
        <v>-697589.97297043144</v>
      </c>
      <c r="W10" s="307">
        <v>-2824963.5939674466</v>
      </c>
      <c r="X10" s="307">
        <v>-360200.50330584357</v>
      </c>
      <c r="Y10" s="307"/>
      <c r="Z10" s="315">
        <v>-825</v>
      </c>
      <c r="AA10" s="316">
        <v>0</v>
      </c>
      <c r="AB10" s="317">
        <v>0.92660411268661402</v>
      </c>
      <c r="AC10" s="317">
        <v>-7.644483929664565</v>
      </c>
      <c r="AD10" s="318">
        <v>81049.288824528339</v>
      </c>
      <c r="AE10" s="318">
        <v>3149.4953724647971</v>
      </c>
      <c r="AF10" s="318">
        <v>-25813.145821657261</v>
      </c>
      <c r="AG10" s="318">
        <v>559.53687175473033</v>
      </c>
      <c r="AH10" s="318">
        <v>-25253.608949902529</v>
      </c>
      <c r="AI10" s="317">
        <v>0.80700927207301199</v>
      </c>
      <c r="AJ10" s="319">
        <v>-717725.63355454046</v>
      </c>
      <c r="AK10" s="319">
        <v>4460.2912600049749</v>
      </c>
      <c r="AL10" s="319">
        <v>-150.4181443802081</v>
      </c>
      <c r="AM10" s="319">
        <v>196.89367541973479</v>
      </c>
      <c r="AN10" s="319">
        <v>12832.103134068544</v>
      </c>
      <c r="AO10" s="319">
        <v>3221.4404170959024</v>
      </c>
      <c r="AP10" s="319">
        <v>0</v>
      </c>
      <c r="AQ10" s="319">
        <v>0</v>
      </c>
      <c r="AR10" s="319">
        <v>20135.66058410902</v>
      </c>
      <c r="AS10" s="320"/>
      <c r="AT10" s="321">
        <v>1</v>
      </c>
      <c r="AU10" s="322">
        <v>16</v>
      </c>
      <c r="AV10" s="322">
        <v>23</v>
      </c>
      <c r="AW10" s="323">
        <v>3.1760000000000002</v>
      </c>
      <c r="AX10" s="323">
        <v>3.2360000000000002</v>
      </c>
      <c r="AY10" s="324">
        <v>2.3083044360665099E-2</v>
      </c>
      <c r="AZ10" s="325">
        <v>0.47499999999999998</v>
      </c>
      <c r="BA10" s="325">
        <v>0.47499999999999998</v>
      </c>
      <c r="BB10" s="324">
        <v>0.93</v>
      </c>
      <c r="BC10" s="324">
        <v>0</v>
      </c>
      <c r="BD10" s="324">
        <v>0.47499999999999998</v>
      </c>
      <c r="BE10" s="326">
        <v>-717725.63355454046</v>
      </c>
      <c r="BF10" s="322">
        <v>186</v>
      </c>
      <c r="BG10" s="322">
        <v>187</v>
      </c>
      <c r="BH10" s="323">
        <v>0.25</v>
      </c>
      <c r="BI10" s="327">
        <v>0.9884621984865285</v>
      </c>
      <c r="BJ10" s="327">
        <v>0.98819423495672565</v>
      </c>
      <c r="BK10" s="325" t="s">
        <v>230</v>
      </c>
      <c r="BL10" s="328" t="s">
        <v>231</v>
      </c>
      <c r="BM10" s="320"/>
      <c r="BN10" s="208"/>
      <c r="BO10" s="208"/>
      <c r="BP10" s="208"/>
      <c r="BQ10" s="208"/>
      <c r="BR10" s="208"/>
      <c r="BS10" s="208"/>
      <c r="BT10" s="208"/>
      <c r="BU10" s="208"/>
      <c r="BV10" s="208"/>
    </row>
    <row r="11" spans="1:83" x14ac:dyDescent="0.2">
      <c r="A11" s="304" t="s">
        <v>217</v>
      </c>
      <c r="B11" s="305" t="s">
        <v>218</v>
      </c>
      <c r="C11" s="304" t="s">
        <v>219</v>
      </c>
      <c r="D11" s="304" t="s">
        <v>94</v>
      </c>
      <c r="E11" s="305" t="s">
        <v>220</v>
      </c>
      <c r="F11" s="305" t="s">
        <v>221</v>
      </c>
      <c r="G11" s="306">
        <v>37408</v>
      </c>
      <c r="H11" s="307">
        <v>-8250000</v>
      </c>
      <c r="I11" s="308">
        <v>0.25</v>
      </c>
      <c r="J11" s="309">
        <v>3.165</v>
      </c>
      <c r="K11" s="309">
        <v>0.12</v>
      </c>
      <c r="L11" s="309">
        <v>3.2850000000000001</v>
      </c>
      <c r="M11" s="310">
        <v>2.2662192864614499E-2</v>
      </c>
      <c r="N11" s="311">
        <v>0.45750000000000002</v>
      </c>
      <c r="O11" s="311">
        <v>0.45800000000000002</v>
      </c>
      <c r="P11" s="311">
        <v>0.45800000000000002</v>
      </c>
      <c r="Q11" s="311">
        <v>0.93</v>
      </c>
      <c r="R11" s="312">
        <v>37406</v>
      </c>
      <c r="S11" s="309">
        <v>0.11460610532892521</v>
      </c>
      <c r="T11" s="313">
        <v>0.40213508890184851</v>
      </c>
      <c r="U11" s="313">
        <v>-0.3534615163987409</v>
      </c>
      <c r="V11" s="314">
        <v>-945500.36896363297</v>
      </c>
      <c r="W11" s="307">
        <v>-3317614.4834402502</v>
      </c>
      <c r="X11" s="307">
        <v>-401556.97315063776</v>
      </c>
      <c r="Y11" s="307"/>
      <c r="Z11" s="315">
        <v>-825</v>
      </c>
      <c r="AA11" s="316">
        <v>0</v>
      </c>
      <c r="AB11" s="317">
        <v>0.89755523433983686</v>
      </c>
      <c r="AC11" s="317">
        <v>-7.4048306833036541</v>
      </c>
      <c r="AD11" s="318">
        <v>92214.360056501333</v>
      </c>
      <c r="AE11" s="318">
        <v>3056.7781398914772</v>
      </c>
      <c r="AF11" s="318">
        <v>-30182.139581464915</v>
      </c>
      <c r="AG11" s="318">
        <v>680.83184529235325</v>
      </c>
      <c r="AH11" s="318">
        <v>-29534.293681070336</v>
      </c>
      <c r="AI11" s="317">
        <v>0.54514775624424328</v>
      </c>
      <c r="AJ11" s="319">
        <v>-969264.93527401856</v>
      </c>
      <c r="AK11" s="319">
        <v>6182.2455785740167</v>
      </c>
      <c r="AL11" s="319">
        <v>-264.70419203210622</v>
      </c>
      <c r="AM11" s="319">
        <v>328.3349211566383</v>
      </c>
      <c r="AN11" s="319">
        <v>14994.828203975107</v>
      </c>
      <c r="AO11" s="319">
        <v>3128.5212103377562</v>
      </c>
      <c r="AP11" s="319">
        <v>0</v>
      </c>
      <c r="AQ11" s="319">
        <v>0</v>
      </c>
      <c r="AR11" s="319">
        <v>23764.566310385591</v>
      </c>
      <c r="AS11" s="320"/>
      <c r="AT11" s="321">
        <v>1</v>
      </c>
      <c r="AU11" s="322">
        <v>17</v>
      </c>
      <c r="AV11" s="322">
        <v>24</v>
      </c>
      <c r="AW11" s="323">
        <v>3.2210000000000001</v>
      </c>
      <c r="AX11" s="323">
        <v>3.3360000000000003</v>
      </c>
      <c r="AY11" s="324">
        <v>2.3119694607325301E-2</v>
      </c>
      <c r="AZ11" s="325">
        <v>0.46250000000000002</v>
      </c>
      <c r="BA11" s="325">
        <v>0.46300000000000002</v>
      </c>
      <c r="BB11" s="324">
        <v>0.93</v>
      </c>
      <c r="BC11" s="324">
        <v>0</v>
      </c>
      <c r="BD11" s="324">
        <v>0.46300000000000002</v>
      </c>
      <c r="BE11" s="326">
        <v>-969264.93527401856</v>
      </c>
      <c r="BF11" s="322">
        <v>217</v>
      </c>
      <c r="BG11" s="322">
        <v>218</v>
      </c>
      <c r="BH11" s="323">
        <v>0.25</v>
      </c>
      <c r="BI11" s="327">
        <v>0.98657926997369783</v>
      </c>
      <c r="BJ11" s="327">
        <v>0.98624966524862123</v>
      </c>
      <c r="BK11" s="325" t="s">
        <v>232</v>
      </c>
      <c r="BL11" s="328" t="s">
        <v>233</v>
      </c>
      <c r="BM11" s="320"/>
      <c r="BN11" s="208"/>
      <c r="BO11" s="208"/>
      <c r="BP11" s="208"/>
      <c r="BQ11" s="208"/>
      <c r="BR11" s="208"/>
      <c r="BS11" s="208"/>
      <c r="BT11" s="208"/>
      <c r="BU11" s="208"/>
      <c r="BV11" s="208"/>
    </row>
    <row r="12" spans="1:83" x14ac:dyDescent="0.2">
      <c r="A12" s="304" t="s">
        <v>217</v>
      </c>
      <c r="B12" s="305" t="s">
        <v>218</v>
      </c>
      <c r="C12" s="304" t="s">
        <v>219</v>
      </c>
      <c r="D12" s="304" t="s">
        <v>94</v>
      </c>
      <c r="E12" s="305" t="s">
        <v>220</v>
      </c>
      <c r="F12" s="305" t="s">
        <v>221</v>
      </c>
      <c r="G12" s="306">
        <v>37438</v>
      </c>
      <c r="H12" s="307">
        <v>-8250000</v>
      </c>
      <c r="I12" s="308">
        <v>0.25</v>
      </c>
      <c r="J12" s="309">
        <v>3.2</v>
      </c>
      <c r="K12" s="309">
        <v>0.22</v>
      </c>
      <c r="L12" s="309">
        <v>3.42</v>
      </c>
      <c r="M12" s="310">
        <v>2.2758714534247802E-2</v>
      </c>
      <c r="N12" s="311">
        <v>0.45750000000000002</v>
      </c>
      <c r="O12" s="311">
        <v>0.45800000000000002</v>
      </c>
      <c r="P12" s="311">
        <v>0.45800000000000002</v>
      </c>
      <c r="Q12" s="311">
        <v>0.93</v>
      </c>
      <c r="R12" s="312">
        <v>37434</v>
      </c>
      <c r="S12" s="309">
        <v>0.17175570551442565</v>
      </c>
      <c r="T12" s="313">
        <v>0.49471404786586909</v>
      </c>
      <c r="U12" s="313">
        <v>-0.44083986852595597</v>
      </c>
      <c r="V12" s="314">
        <v>-1416984.5704940115</v>
      </c>
      <c r="W12" s="307">
        <v>-4081390.8948934199</v>
      </c>
      <c r="X12" s="307">
        <v>-444461.97955428326</v>
      </c>
      <c r="Y12" s="307"/>
      <c r="Z12" s="315">
        <v>-825</v>
      </c>
      <c r="AA12" s="316">
        <v>0</v>
      </c>
      <c r="AB12" s="317">
        <v>0.8322233169739286</v>
      </c>
      <c r="AC12" s="317">
        <v>-6.8658423650349105</v>
      </c>
      <c r="AD12" s="318">
        <v>104704.9754426587</v>
      </c>
      <c r="AE12" s="318">
        <v>3044.3218596012002</v>
      </c>
      <c r="AF12" s="318">
        <v>-34100.38486594554</v>
      </c>
      <c r="AG12" s="318">
        <v>608.4755416989459</v>
      </c>
      <c r="AH12" s="318">
        <v>-33529.177504427957</v>
      </c>
      <c r="AI12" s="317">
        <v>0.11203722965061846</v>
      </c>
      <c r="AJ12" s="319">
        <v>-1505007.3626398414</v>
      </c>
      <c r="AK12" s="319">
        <v>68685.207655212376</v>
      </c>
      <c r="AL12" s="319">
        <v>-504.17835065093823</v>
      </c>
      <c r="AM12" s="319">
        <v>609.15696411929093</v>
      </c>
      <c r="AN12" s="319">
        <v>17113.837029865012</v>
      </c>
      <c r="AO12" s="319">
        <v>3128.7672603046522</v>
      </c>
      <c r="AP12" s="319">
        <v>0</v>
      </c>
      <c r="AQ12" s="319">
        <v>0</v>
      </c>
      <c r="AR12" s="319">
        <v>88022.792145829881</v>
      </c>
      <c r="AS12" s="320"/>
      <c r="AT12" s="321">
        <v>1</v>
      </c>
      <c r="AU12" s="322">
        <v>18</v>
      </c>
      <c r="AV12" s="322">
        <v>25</v>
      </c>
      <c r="AW12" s="323">
        <v>3.2610000000000001</v>
      </c>
      <c r="AX12" s="323">
        <v>3.4910000000000001</v>
      </c>
      <c r="AY12" s="324">
        <v>2.32560254041334E-2</v>
      </c>
      <c r="AZ12" s="325">
        <v>0.46250000000000002</v>
      </c>
      <c r="BA12" s="325">
        <v>0.46300000000000002</v>
      </c>
      <c r="BB12" s="324">
        <v>0.93</v>
      </c>
      <c r="BC12" s="324">
        <v>0</v>
      </c>
      <c r="BD12" s="324">
        <v>0.46300000000000002</v>
      </c>
      <c r="BE12" s="326">
        <v>-1505007.3626398414</v>
      </c>
      <c r="BF12" s="322">
        <v>245</v>
      </c>
      <c r="BG12" s="322">
        <v>246</v>
      </c>
      <c r="BH12" s="323">
        <v>0.25</v>
      </c>
      <c r="BI12" s="327">
        <v>0.98469082651879347</v>
      </c>
      <c r="BJ12" s="327">
        <v>0.98429852741460133</v>
      </c>
      <c r="BK12" s="325" t="s">
        <v>234</v>
      </c>
      <c r="BL12" s="328" t="s">
        <v>235</v>
      </c>
      <c r="BM12" s="320"/>
      <c r="BN12" s="208"/>
      <c r="BO12" s="208"/>
      <c r="BP12" s="208"/>
      <c r="BQ12" s="208"/>
      <c r="BR12" s="208"/>
      <c r="BS12" s="208"/>
      <c r="BT12" s="208"/>
      <c r="BU12" s="208"/>
      <c r="BV12" s="208"/>
    </row>
    <row r="13" spans="1:83" x14ac:dyDescent="0.2">
      <c r="A13" s="304" t="s">
        <v>217</v>
      </c>
      <c r="B13" s="305" t="s">
        <v>218</v>
      </c>
      <c r="C13" s="304" t="s">
        <v>219</v>
      </c>
      <c r="D13" s="304" t="s">
        <v>94</v>
      </c>
      <c r="E13" s="305" t="s">
        <v>220</v>
      </c>
      <c r="F13" s="305" t="s">
        <v>221</v>
      </c>
      <c r="G13" s="306">
        <v>37469</v>
      </c>
      <c r="H13" s="307">
        <v>-8250000</v>
      </c>
      <c r="I13" s="308">
        <v>0.25</v>
      </c>
      <c r="J13" s="309">
        <v>3.2349999999999999</v>
      </c>
      <c r="K13" s="309">
        <v>0.23499999999999999</v>
      </c>
      <c r="L13" s="309">
        <v>3.47</v>
      </c>
      <c r="M13" s="310">
        <v>2.3032629028655102E-2</v>
      </c>
      <c r="N13" s="311">
        <v>0.45750000000000002</v>
      </c>
      <c r="O13" s="311">
        <v>0.45800000000000002</v>
      </c>
      <c r="P13" s="311">
        <v>0.45800000000000002</v>
      </c>
      <c r="Q13" s="311">
        <v>0.93</v>
      </c>
      <c r="R13" s="312">
        <v>37467</v>
      </c>
      <c r="S13" s="309">
        <v>0.19301702963939388</v>
      </c>
      <c r="T13" s="313">
        <v>0.50866576509054473</v>
      </c>
      <c r="U13" s="313">
        <v>-0.4513089990959987</v>
      </c>
      <c r="V13" s="314">
        <v>-1592390.4945249995</v>
      </c>
      <c r="W13" s="307">
        <v>-4196492.5619969936</v>
      </c>
      <c r="X13" s="307">
        <v>-473193.31945500476</v>
      </c>
      <c r="Y13" s="307"/>
      <c r="Z13" s="315">
        <v>-825</v>
      </c>
      <c r="AA13" s="316">
        <v>0</v>
      </c>
      <c r="AB13" s="317">
        <v>0.76743530048960917</v>
      </c>
      <c r="AC13" s="317">
        <v>-6.3313412290392757</v>
      </c>
      <c r="AD13" s="318">
        <v>112873.51862439293</v>
      </c>
      <c r="AE13" s="318">
        <v>2874.9990179668857</v>
      </c>
      <c r="AF13" s="318">
        <v>-36553.69071655038</v>
      </c>
      <c r="AG13" s="318">
        <v>457.32084890815497</v>
      </c>
      <c r="AH13" s="318">
        <v>-36136.319256403483</v>
      </c>
      <c r="AI13" s="317">
        <v>4.7522286973884498E-2</v>
      </c>
      <c r="AJ13" s="319">
        <v>-1686626.3012022141</v>
      </c>
      <c r="AK13" s="319">
        <v>73935.479113765527</v>
      </c>
      <c r="AL13" s="319">
        <v>-679.6125087570399</v>
      </c>
      <c r="AM13" s="319">
        <v>796.25593830086291</v>
      </c>
      <c r="AN13" s="319">
        <v>18446.177910181461</v>
      </c>
      <c r="AO13" s="319">
        <v>2955.3382380895782</v>
      </c>
      <c r="AP13" s="319">
        <v>0</v>
      </c>
      <c r="AQ13" s="319">
        <v>0</v>
      </c>
      <c r="AR13" s="319">
        <v>94235.806677214568</v>
      </c>
      <c r="AS13" s="320"/>
      <c r="AT13" s="321">
        <v>1</v>
      </c>
      <c r="AU13" s="322">
        <v>19</v>
      </c>
      <c r="AV13" s="322">
        <v>26</v>
      </c>
      <c r="AW13" s="323">
        <v>3.3010000000000002</v>
      </c>
      <c r="AX13" s="323">
        <v>3.5460000000000003</v>
      </c>
      <c r="AY13" s="324">
        <v>2.3560030131535299E-2</v>
      </c>
      <c r="AZ13" s="325">
        <v>0.46250000000000002</v>
      </c>
      <c r="BA13" s="325">
        <v>0.46300000000000002</v>
      </c>
      <c r="BB13" s="324">
        <v>0.93</v>
      </c>
      <c r="BC13" s="324">
        <v>0</v>
      </c>
      <c r="BD13" s="324">
        <v>0.46300000000000002</v>
      </c>
      <c r="BE13" s="326">
        <v>-1686626.3012022141</v>
      </c>
      <c r="BF13" s="322">
        <v>278</v>
      </c>
      <c r="BG13" s="322">
        <v>279</v>
      </c>
      <c r="BH13" s="323">
        <v>0.25</v>
      </c>
      <c r="BI13" s="327">
        <v>0.98259733066905852</v>
      </c>
      <c r="BJ13" s="327">
        <v>0.98214173083183287</v>
      </c>
      <c r="BK13" s="325" t="s">
        <v>236</v>
      </c>
      <c r="BL13" s="328" t="s">
        <v>237</v>
      </c>
      <c r="BM13" s="320"/>
      <c r="BN13" s="208"/>
      <c r="BO13" s="208"/>
      <c r="BP13" s="208"/>
      <c r="BQ13" s="208"/>
      <c r="BR13" s="208"/>
      <c r="BS13" s="208"/>
      <c r="BT13" s="208"/>
      <c r="BU13" s="208"/>
      <c r="BV13" s="208"/>
    </row>
    <row r="14" spans="1:83" x14ac:dyDescent="0.2">
      <c r="A14" s="304" t="s">
        <v>217</v>
      </c>
      <c r="B14" s="305" t="s">
        <v>218</v>
      </c>
      <c r="C14" s="304" t="s">
        <v>219</v>
      </c>
      <c r="D14" s="304" t="s">
        <v>94</v>
      </c>
      <c r="E14" s="305" t="s">
        <v>220</v>
      </c>
      <c r="F14" s="305" t="s">
        <v>221</v>
      </c>
      <c r="G14" s="306">
        <v>37500</v>
      </c>
      <c r="H14" s="307">
        <v>-8250000</v>
      </c>
      <c r="I14" s="308">
        <v>0.25</v>
      </c>
      <c r="J14" s="309">
        <v>3.2349999999999999</v>
      </c>
      <c r="K14" s="309">
        <v>0.22</v>
      </c>
      <c r="L14" s="309">
        <v>3.4550000000000001</v>
      </c>
      <c r="M14" s="310">
        <v>2.3306543548447901E-2</v>
      </c>
      <c r="N14" s="311">
        <v>0.45750000000000002</v>
      </c>
      <c r="O14" s="311">
        <v>0.45800000000000002</v>
      </c>
      <c r="P14" s="311">
        <v>0.45800000000000002</v>
      </c>
      <c r="Q14" s="311">
        <v>0.93</v>
      </c>
      <c r="R14" s="312">
        <v>37497</v>
      </c>
      <c r="S14" s="309">
        <v>0.19555863024941925</v>
      </c>
      <c r="T14" s="313">
        <v>0.49874306372271188</v>
      </c>
      <c r="U14" s="313">
        <v>-0.43857714689557692</v>
      </c>
      <c r="V14" s="314">
        <v>-1613358.6995577088</v>
      </c>
      <c r="W14" s="307">
        <v>-4114630.2757123732</v>
      </c>
      <c r="X14" s="307">
        <v>-496368.8138238634</v>
      </c>
      <c r="Y14" s="307"/>
      <c r="Z14" s="315">
        <v>-825</v>
      </c>
      <c r="AA14" s="316">
        <v>0</v>
      </c>
      <c r="AB14" s="317">
        <v>0.73116195494289715</v>
      </c>
      <c r="AC14" s="317">
        <v>-6.0320861282789018</v>
      </c>
      <c r="AD14" s="318">
        <v>118120.18961691501</v>
      </c>
      <c r="AE14" s="318">
        <v>2708.9739215112327</v>
      </c>
      <c r="AF14" s="318">
        <v>-38241.994768880249</v>
      </c>
      <c r="AG14" s="318">
        <v>447.68450967982847</v>
      </c>
      <c r="AH14" s="318">
        <v>-37836.104789002471</v>
      </c>
      <c r="AI14" s="317">
        <v>9.5927199259357998E-2</v>
      </c>
      <c r="AJ14" s="319">
        <v>-1708889.6818525877</v>
      </c>
      <c r="AK14" s="319">
        <v>74669.804171269992</v>
      </c>
      <c r="AL14" s="319">
        <v>-806.16293663741089</v>
      </c>
      <c r="AM14" s="319">
        <v>931.1620363839902</v>
      </c>
      <c r="AN14" s="319">
        <v>19319.850457998691</v>
      </c>
      <c r="AO14" s="319">
        <v>2785.7964933319017</v>
      </c>
      <c r="AP14" s="319">
        <v>0</v>
      </c>
      <c r="AQ14" s="319">
        <v>0</v>
      </c>
      <c r="AR14" s="319">
        <v>95530.982294878922</v>
      </c>
      <c r="AS14" s="320"/>
      <c r="AT14" s="321">
        <v>1</v>
      </c>
      <c r="AU14" s="322">
        <v>20</v>
      </c>
      <c r="AV14" s="322">
        <v>27</v>
      </c>
      <c r="AW14" s="323">
        <v>3.3010000000000002</v>
      </c>
      <c r="AX14" s="323">
        <v>3.5310000000000001</v>
      </c>
      <c r="AY14" s="324">
        <v>2.3864034890197498E-2</v>
      </c>
      <c r="AZ14" s="325">
        <v>0.46250000000000002</v>
      </c>
      <c r="BA14" s="325">
        <v>0.46300000000000002</v>
      </c>
      <c r="BB14" s="324">
        <v>0.93</v>
      </c>
      <c r="BC14" s="324">
        <v>0</v>
      </c>
      <c r="BD14" s="324">
        <v>0.46300000000000002</v>
      </c>
      <c r="BE14" s="326">
        <v>-1708889.6818525877</v>
      </c>
      <c r="BF14" s="322">
        <v>308</v>
      </c>
      <c r="BG14" s="322">
        <v>309</v>
      </c>
      <c r="BH14" s="323">
        <v>0.25</v>
      </c>
      <c r="BI14" s="327">
        <v>0.98046324349898084</v>
      </c>
      <c r="BJ14" s="327">
        <v>0.97993971309396832</v>
      </c>
      <c r="BK14" s="325" t="s">
        <v>238</v>
      </c>
      <c r="BL14" s="328" t="s">
        <v>239</v>
      </c>
      <c r="BM14" s="320"/>
      <c r="BN14" s="208"/>
      <c r="BO14" s="208"/>
      <c r="BP14" s="208"/>
      <c r="BQ14" s="208"/>
      <c r="BR14" s="208"/>
      <c r="BS14" s="208"/>
      <c r="BT14" s="208"/>
      <c r="BU14" s="208"/>
      <c r="BV14" s="208"/>
    </row>
    <row r="15" spans="1:83" x14ac:dyDescent="0.2">
      <c r="A15" s="304" t="s">
        <v>217</v>
      </c>
      <c r="B15" s="305" t="s">
        <v>218</v>
      </c>
      <c r="C15" s="304" t="s">
        <v>219</v>
      </c>
      <c r="D15" s="304" t="s">
        <v>94</v>
      </c>
      <c r="E15" s="305" t="s">
        <v>220</v>
      </c>
      <c r="F15" s="305" t="s">
        <v>221</v>
      </c>
      <c r="G15" s="306">
        <v>37530</v>
      </c>
      <c r="H15" s="307">
        <v>-8250000</v>
      </c>
      <c r="I15" s="308">
        <v>0.25</v>
      </c>
      <c r="J15" s="309">
        <v>3.2650000000000001</v>
      </c>
      <c r="K15" s="309">
        <v>0.105</v>
      </c>
      <c r="L15" s="309">
        <v>3.37</v>
      </c>
      <c r="M15" s="310">
        <v>2.3643248381814499E-2</v>
      </c>
      <c r="N15" s="311">
        <v>0.45750000000000002</v>
      </c>
      <c r="O15" s="311">
        <v>0.45800000000000002</v>
      </c>
      <c r="P15" s="311">
        <v>0.45800000000000002</v>
      </c>
      <c r="Q15" s="311">
        <v>0.93</v>
      </c>
      <c r="R15" s="312">
        <v>37526</v>
      </c>
      <c r="S15" s="309">
        <v>0.1537479120226321</v>
      </c>
      <c r="T15" s="313">
        <v>0.41970168970163074</v>
      </c>
      <c r="U15" s="313">
        <v>-0.35887358206679931</v>
      </c>
      <c r="V15" s="314">
        <v>-1268420.2741867148</v>
      </c>
      <c r="W15" s="307">
        <v>-3462538.9400384538</v>
      </c>
      <c r="X15" s="307">
        <v>-501831.88798735931</v>
      </c>
      <c r="Y15" s="307"/>
      <c r="Z15" s="315">
        <v>-825</v>
      </c>
      <c r="AA15" s="316">
        <v>0</v>
      </c>
      <c r="AB15" s="317">
        <v>0.70383280992810104</v>
      </c>
      <c r="AC15" s="317">
        <v>-5.8066206819068329</v>
      </c>
      <c r="AD15" s="318">
        <v>118457.80844821806</v>
      </c>
      <c r="AE15" s="318">
        <v>2493.9713643305108</v>
      </c>
      <c r="AF15" s="318">
        <v>-38131.046022717223</v>
      </c>
      <c r="AG15" s="318">
        <v>246.46258779214676</v>
      </c>
      <c r="AH15" s="318">
        <v>-37926.25670926684</v>
      </c>
      <c r="AI15" s="317">
        <v>0.46078759497008814</v>
      </c>
      <c r="AJ15" s="319">
        <v>-1340265.5134225436</v>
      </c>
      <c r="AK15" s="319">
        <v>51084.774662459502</v>
      </c>
      <c r="AL15" s="319">
        <v>-736.33358316775411</v>
      </c>
      <c r="AM15" s="319">
        <v>840.78305643936619</v>
      </c>
      <c r="AN15" s="319">
        <v>19410.06507215905</v>
      </c>
      <c r="AO15" s="319">
        <v>2572.817525972845</v>
      </c>
      <c r="AP15" s="319">
        <v>0</v>
      </c>
      <c r="AQ15" s="319">
        <v>0</v>
      </c>
      <c r="AR15" s="319">
        <v>71845.239235828863</v>
      </c>
      <c r="AS15" s="320"/>
      <c r="AT15" s="321">
        <v>1</v>
      </c>
      <c r="AU15" s="322">
        <v>21</v>
      </c>
      <c r="AV15" s="322">
        <v>28</v>
      </c>
      <c r="AW15" s="323">
        <v>3.331</v>
      </c>
      <c r="AX15" s="323">
        <v>3.4409999999999998</v>
      </c>
      <c r="AY15" s="324">
        <v>2.4236772016890999E-2</v>
      </c>
      <c r="AZ15" s="325">
        <v>0.46250000000000002</v>
      </c>
      <c r="BA15" s="325">
        <v>0.46300000000000002</v>
      </c>
      <c r="BB15" s="324">
        <v>0.93</v>
      </c>
      <c r="BC15" s="324">
        <v>0</v>
      </c>
      <c r="BD15" s="324">
        <v>0.46300000000000002</v>
      </c>
      <c r="BE15" s="326">
        <v>-1340265.5134225436</v>
      </c>
      <c r="BF15" s="322">
        <v>337</v>
      </c>
      <c r="BG15" s="322">
        <v>338</v>
      </c>
      <c r="BH15" s="323">
        <v>0.25</v>
      </c>
      <c r="BI15" s="327">
        <v>0.97829496728116694</v>
      </c>
      <c r="BJ15" s="327">
        <v>0.97769494649164024</v>
      </c>
      <c r="BK15" s="325" t="s">
        <v>240</v>
      </c>
      <c r="BL15" s="328" t="s">
        <v>241</v>
      </c>
      <c r="BM15" s="320"/>
      <c r="BN15" s="208"/>
      <c r="BO15" s="208"/>
      <c r="BP15" s="208"/>
      <c r="BQ15" s="208"/>
      <c r="BR15" s="208"/>
      <c r="BS15" s="208"/>
      <c r="BT15" s="208"/>
      <c r="BU15" s="208"/>
      <c r="BV15" s="208"/>
    </row>
    <row r="16" spans="1:83" x14ac:dyDescent="0.2">
      <c r="A16" s="304" t="s">
        <v>217</v>
      </c>
      <c r="B16" s="305" t="s">
        <v>218</v>
      </c>
      <c r="C16" s="304" t="s">
        <v>219</v>
      </c>
      <c r="D16" s="304" t="s">
        <v>94</v>
      </c>
      <c r="E16" s="305" t="s">
        <v>220</v>
      </c>
      <c r="F16" s="305" t="s">
        <v>221</v>
      </c>
      <c r="G16" s="306">
        <v>37561</v>
      </c>
      <c r="H16" s="307">
        <v>-8250000</v>
      </c>
      <c r="I16" s="308">
        <v>0.25</v>
      </c>
      <c r="J16" s="309">
        <v>3.4329999999999998</v>
      </c>
      <c r="K16" s="309">
        <v>0.14000000000000001</v>
      </c>
      <c r="L16" s="309">
        <v>3.573</v>
      </c>
      <c r="M16" s="310">
        <v>2.40928657319892E-2</v>
      </c>
      <c r="N16" s="311">
        <v>0.45500000000000002</v>
      </c>
      <c r="O16" s="311">
        <v>0.45500000000000002</v>
      </c>
      <c r="P16" s="311">
        <v>0.45500000000000002</v>
      </c>
      <c r="Q16" s="311">
        <v>0.93</v>
      </c>
      <c r="R16" s="312">
        <v>37559</v>
      </c>
      <c r="S16" s="309">
        <v>0.18800285306561301</v>
      </c>
      <c r="T16" s="313">
        <v>0.4508353789902026</v>
      </c>
      <c r="U16" s="313">
        <v>-0.38643364180978812</v>
      </c>
      <c r="V16" s="314">
        <v>-1551023.5377913073</v>
      </c>
      <c r="W16" s="307">
        <v>-3719391.8766691713</v>
      </c>
      <c r="X16" s="307">
        <v>-531314.33173841948</v>
      </c>
      <c r="Y16" s="307"/>
      <c r="Z16" s="315">
        <v>-825</v>
      </c>
      <c r="AA16" s="316">
        <v>0</v>
      </c>
      <c r="AB16" s="317">
        <v>0.64339427008878203</v>
      </c>
      <c r="AC16" s="317">
        <v>-5.3080027282324513</v>
      </c>
      <c r="AD16" s="318">
        <v>132484.17514600241</v>
      </c>
      <c r="AE16" s="318">
        <v>2510.5175020569627</v>
      </c>
      <c r="AF16" s="318">
        <v>-41542.481804670155</v>
      </c>
      <c r="AG16" s="318">
        <v>-923.90250998298643</v>
      </c>
      <c r="AH16" s="318">
        <v>-42466.384314653144</v>
      </c>
      <c r="AI16" s="317">
        <v>0.30600145245391364</v>
      </c>
      <c r="AJ16" s="319">
        <v>-1631802.8514754479</v>
      </c>
      <c r="AK16" s="319">
        <v>58031.167935332051</v>
      </c>
      <c r="AL16" s="319">
        <v>-1062.098503646208</v>
      </c>
      <c r="AM16" s="319">
        <v>1190.7038016365841</v>
      </c>
      <c r="AN16" s="319">
        <v>21734.979034726042</v>
      </c>
      <c r="AO16" s="319">
        <v>2586.7930641309358</v>
      </c>
      <c r="AP16" s="319">
        <v>0</v>
      </c>
      <c r="AQ16" s="319">
        <v>0</v>
      </c>
      <c r="AR16" s="319">
        <v>80779.313684140565</v>
      </c>
      <c r="AS16" s="320"/>
      <c r="AT16" s="321">
        <v>1</v>
      </c>
      <c r="AU16" s="322">
        <v>22</v>
      </c>
      <c r="AV16" s="322">
        <v>29</v>
      </c>
      <c r="AW16" s="323">
        <v>3.5059999999999998</v>
      </c>
      <c r="AX16" s="323">
        <v>3.6509999999999998</v>
      </c>
      <c r="AY16" s="324">
        <v>2.47334438910678E-2</v>
      </c>
      <c r="AZ16" s="325">
        <v>0.46</v>
      </c>
      <c r="BA16" s="325">
        <v>0.46</v>
      </c>
      <c r="BB16" s="324">
        <v>0.93</v>
      </c>
      <c r="BC16" s="324">
        <v>0</v>
      </c>
      <c r="BD16" s="324">
        <v>0.46</v>
      </c>
      <c r="BE16" s="326">
        <v>-1631802.8514754479</v>
      </c>
      <c r="BF16" s="322">
        <v>370</v>
      </c>
      <c r="BG16" s="322">
        <v>371</v>
      </c>
      <c r="BH16" s="323">
        <v>0.25</v>
      </c>
      <c r="BI16" s="327">
        <v>0.97590357677799577</v>
      </c>
      <c r="BJ16" s="327">
        <v>0.97520912719804953</v>
      </c>
      <c r="BK16" s="325" t="s">
        <v>242</v>
      </c>
      <c r="BL16" s="328" t="s">
        <v>243</v>
      </c>
      <c r="BM16" s="320"/>
      <c r="BN16" s="208"/>
      <c r="BO16" s="208"/>
      <c r="BP16" s="208"/>
      <c r="BQ16" s="208"/>
      <c r="BR16" s="208"/>
      <c r="BS16" s="208"/>
      <c r="BT16" s="208"/>
      <c r="BU16" s="208"/>
      <c r="BV16" s="208"/>
    </row>
    <row r="17" spans="1:74" x14ac:dyDescent="0.2">
      <c r="A17" s="304" t="s">
        <v>217</v>
      </c>
      <c r="B17" s="305" t="s">
        <v>218</v>
      </c>
      <c r="C17" s="304" t="s">
        <v>219</v>
      </c>
      <c r="D17" s="304" t="s">
        <v>94</v>
      </c>
      <c r="E17" s="305" t="s">
        <v>220</v>
      </c>
      <c r="F17" s="305" t="s">
        <v>221</v>
      </c>
      <c r="G17" s="306">
        <v>37591</v>
      </c>
      <c r="H17" s="307">
        <v>-8250000</v>
      </c>
      <c r="I17" s="308">
        <v>0.25</v>
      </c>
      <c r="J17" s="309">
        <v>3.6219999999999999</v>
      </c>
      <c r="K17" s="309">
        <v>0.14000000000000001</v>
      </c>
      <c r="L17" s="309">
        <v>3.762</v>
      </c>
      <c r="M17" s="310">
        <v>2.4527979361762799E-2</v>
      </c>
      <c r="N17" s="311">
        <v>0.45250000000000001</v>
      </c>
      <c r="O17" s="311">
        <v>0.45300000000000001</v>
      </c>
      <c r="P17" s="311">
        <v>0.45300000000000001</v>
      </c>
      <c r="Q17" s="311">
        <v>0.93</v>
      </c>
      <c r="R17" s="312">
        <v>37588</v>
      </c>
      <c r="S17" s="309">
        <v>0.20805042008316701</v>
      </c>
      <c r="T17" s="313">
        <v>0.45647895497580332</v>
      </c>
      <c r="U17" s="313">
        <v>-0.38982248785661228</v>
      </c>
      <c r="V17" s="314">
        <v>-1716415.9656861278</v>
      </c>
      <c r="W17" s="307">
        <v>-3765951.3785503772</v>
      </c>
      <c r="X17" s="307">
        <v>-549915.85373332608</v>
      </c>
      <c r="Y17" s="307"/>
      <c r="Z17" s="315">
        <v>-825</v>
      </c>
      <c r="AA17" s="316">
        <v>0</v>
      </c>
      <c r="AB17" s="317">
        <v>0.59051051095662388</v>
      </c>
      <c r="AC17" s="317">
        <v>-4.8717117153921468</v>
      </c>
      <c r="AD17" s="318">
        <v>144432.94300930086</v>
      </c>
      <c r="AE17" s="318">
        <v>2519.8152327308349</v>
      </c>
      <c r="AF17" s="318">
        <v>-44675.07638869081</v>
      </c>
      <c r="AG17" s="318">
        <v>-1715.7126357426087</v>
      </c>
      <c r="AH17" s="318">
        <v>-46440.153749724792</v>
      </c>
      <c r="AI17" s="317">
        <v>0.26772772084006746</v>
      </c>
      <c r="AJ17" s="319">
        <v>-1806595.0403852926</v>
      </c>
      <c r="AK17" s="319">
        <v>65743.814988341648</v>
      </c>
      <c r="AL17" s="319">
        <v>-1357.971160287736</v>
      </c>
      <c r="AM17" s="319">
        <v>1512.0566091502551</v>
      </c>
      <c r="AN17" s="319">
        <v>23775.021537137916</v>
      </c>
      <c r="AO17" s="319">
        <v>2599.6120593063533</v>
      </c>
      <c r="AP17" s="319">
        <v>0</v>
      </c>
      <c r="AQ17" s="319">
        <v>0</v>
      </c>
      <c r="AR17" s="319">
        <v>90179.074699164834</v>
      </c>
      <c r="AS17" s="320"/>
      <c r="AT17" s="321">
        <v>1</v>
      </c>
      <c r="AU17" s="322">
        <v>23</v>
      </c>
      <c r="AV17" s="322">
        <v>30</v>
      </c>
      <c r="AW17" s="323">
        <v>3.706</v>
      </c>
      <c r="AX17" s="323">
        <v>3.851</v>
      </c>
      <c r="AY17" s="324">
        <v>2.5214094171284201E-2</v>
      </c>
      <c r="AZ17" s="325">
        <v>0.45750000000000002</v>
      </c>
      <c r="BA17" s="325">
        <v>0.45800000000000002</v>
      </c>
      <c r="BB17" s="324">
        <v>0.93</v>
      </c>
      <c r="BC17" s="324">
        <v>0</v>
      </c>
      <c r="BD17" s="324">
        <v>0.45800000000000002</v>
      </c>
      <c r="BE17" s="326">
        <v>-1806595.0403852926</v>
      </c>
      <c r="BF17" s="322">
        <v>399</v>
      </c>
      <c r="BG17" s="322">
        <v>400</v>
      </c>
      <c r="BH17" s="323">
        <v>0.25</v>
      </c>
      <c r="BI17" s="327">
        <v>0.97352508231543466</v>
      </c>
      <c r="BJ17" s="327">
        <v>0.97273249374354609</v>
      </c>
      <c r="BK17" s="325" t="s">
        <v>244</v>
      </c>
      <c r="BL17" s="328" t="s">
        <v>245</v>
      </c>
      <c r="BM17" s="320"/>
      <c r="BN17" s="208"/>
      <c r="BO17" s="208"/>
      <c r="BP17" s="208"/>
      <c r="BQ17" s="208"/>
      <c r="BR17" s="208"/>
      <c r="BS17" s="208"/>
      <c r="BT17" s="208"/>
      <c r="BU17" s="208"/>
      <c r="BV17" s="208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workbookViewId="0">
      <selection activeCell="D31" sqref="D31"/>
    </sheetView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1.75" thickTop="1" thickBot="1" x14ac:dyDescent="0.35">
      <c r="A1" s="54" t="s">
        <v>152</v>
      </c>
      <c r="C1" s="55" t="s">
        <v>23</v>
      </c>
      <c r="D1" s="194">
        <f ca="1">'opt calc'!AG31</f>
        <v>25</v>
      </c>
      <c r="E1" s="268">
        <v>0</v>
      </c>
      <c r="F1"/>
      <c r="G1" s="55" t="s">
        <v>114</v>
      </c>
      <c r="H1" s="59" t="s">
        <v>135</v>
      </c>
      <c r="J1" s="197"/>
      <c r="K1"/>
      <c r="L1" t="s">
        <v>164</v>
      </c>
      <c r="M1" s="201">
        <f>O16-N16</f>
        <v>0</v>
      </c>
      <c r="N1" s="55">
        <f>O16*2-N16</f>
        <v>0</v>
      </c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5" thickTop="1" x14ac:dyDescent="0.2">
      <c r="A2" s="54" t="s">
        <v>165</v>
      </c>
      <c r="B2" s="142">
        <f>B6+B7</f>
        <v>3.1077525035765383</v>
      </c>
      <c r="C2" s="142">
        <f>C6+C7</f>
        <v>3.1140329041487829</v>
      </c>
      <c r="D2" s="142">
        <f>D6+D7</f>
        <v>3.1140329041487829</v>
      </c>
      <c r="E2" s="142">
        <f>E6+E7</f>
        <v>3.1140329041487829</v>
      </c>
      <c r="F2"/>
      <c r="G2"/>
      <c r="H2"/>
      <c r="I2"/>
      <c r="J2"/>
      <c r="K2"/>
      <c r="L2"/>
      <c r="M2"/>
      <c r="N2"/>
      <c r="O2"/>
      <c r="P2"/>
      <c r="Q2" s="146"/>
      <c r="R2" s="55">
        <f>((P17*5)+(Q17*7))/12</f>
        <v>0.16333333333333336</v>
      </c>
      <c r="W2" s="123">
        <v>1.5</v>
      </c>
      <c r="Z2" s="60"/>
      <c r="AA2" s="60"/>
      <c r="AB2" s="60"/>
    </row>
    <row r="3" spans="1:43" x14ac:dyDescent="0.2">
      <c r="A3" s="60" t="s">
        <v>158</v>
      </c>
      <c r="B3" s="146" t="s">
        <v>212</v>
      </c>
      <c r="C3" s="146" t="s">
        <v>87</v>
      </c>
      <c r="D3" s="146" t="s">
        <v>87</v>
      </c>
      <c r="E3" s="146" t="s">
        <v>87</v>
      </c>
      <c r="F3"/>
      <c r="G3" s="55" t="s">
        <v>213</v>
      </c>
      <c r="H3" s="161">
        <v>2.8849999999999998</v>
      </c>
      <c r="I3" s="55" t="e">
        <f>#REF!*0.34</f>
        <v>#REF!</v>
      </c>
      <c r="K3" s="280" t="s">
        <v>213</v>
      </c>
      <c r="L3" s="160">
        <f>D31</f>
        <v>2.786</v>
      </c>
      <c r="M3" s="280" t="s">
        <v>213</v>
      </c>
      <c r="N3" s="188">
        <f t="shared" ref="N3:N9" si="0">IF(H3&gt;0,O3,0)</f>
        <v>9.8999999999999755E-2</v>
      </c>
      <c r="O3" s="282">
        <f>H3-L3</f>
        <v>9.8999999999999755E-2</v>
      </c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5.75" thickBot="1" x14ac:dyDescent="0.25">
      <c r="A4" s="69" t="s">
        <v>159</v>
      </c>
      <c r="B4" s="265">
        <v>37257</v>
      </c>
      <c r="C4" s="265">
        <v>37257</v>
      </c>
      <c r="D4" s="265">
        <v>37257</v>
      </c>
      <c r="E4" s="265">
        <v>37257</v>
      </c>
      <c r="F4"/>
      <c r="G4" s="54" t="s">
        <v>214</v>
      </c>
      <c r="H4" s="161">
        <v>2.94</v>
      </c>
      <c r="K4" s="280" t="s">
        <v>214</v>
      </c>
      <c r="L4" s="160">
        <f>D32</f>
        <v>2.7989999999999999</v>
      </c>
      <c r="M4" s="280" t="s">
        <v>214</v>
      </c>
      <c r="N4" s="188">
        <f t="shared" si="0"/>
        <v>0.14100000000000001</v>
      </c>
      <c r="O4" s="282">
        <f>H4-L4</f>
        <v>0.14100000000000001</v>
      </c>
      <c r="P4"/>
      <c r="Q4" s="146" t="s">
        <v>178</v>
      </c>
      <c r="R4" s="269" t="e">
        <f>AVERAGE(L31:L34)</f>
        <v>#REF!</v>
      </c>
      <c r="T4" s="167"/>
      <c r="U4" s="167"/>
      <c r="V4" s="167"/>
      <c r="W4" s="167">
        <v>180</v>
      </c>
      <c r="Z4" s="60"/>
      <c r="AA4" s="60"/>
      <c r="AB4" s="60"/>
    </row>
    <row r="5" spans="1:43" ht="16.5" thickTop="1" thickBot="1" x14ac:dyDescent="0.25">
      <c r="A5" s="69" t="s">
        <v>160</v>
      </c>
      <c r="B5" s="265">
        <v>37956</v>
      </c>
      <c r="C5" s="265">
        <v>37956</v>
      </c>
      <c r="D5" s="265">
        <v>37956</v>
      </c>
      <c r="E5" s="265">
        <v>37956</v>
      </c>
      <c r="F5"/>
      <c r="G5" s="55" t="s">
        <v>215</v>
      </c>
      <c r="H5" s="161">
        <v>2.91</v>
      </c>
      <c r="J5" s="160"/>
      <c r="K5" s="280" t="s">
        <v>215</v>
      </c>
      <c r="L5" s="160">
        <f>D33</f>
        <v>2.7589999999999999</v>
      </c>
      <c r="M5" s="280" t="s">
        <v>215</v>
      </c>
      <c r="N5" s="188">
        <f>IF(H5&gt;0,O5,0)</f>
        <v>0.15100000000000025</v>
      </c>
      <c r="O5" s="282">
        <f>H5-L5</f>
        <v>0.15100000000000025</v>
      </c>
      <c r="P5"/>
      <c r="Q5" s="146" t="s">
        <v>116</v>
      </c>
      <c r="R5" s="269" t="e">
        <f>AVERAGE(L35:L39)</f>
        <v>#REF!</v>
      </c>
      <c r="T5" s="168" t="s">
        <v>189</v>
      </c>
      <c r="U5" s="75"/>
      <c r="V5" s="75"/>
      <c r="W5" s="274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9" t="s">
        <v>53</v>
      </c>
      <c r="B6" s="191">
        <f>'opt calc'!$B9</f>
        <v>3.1077525035765383</v>
      </c>
      <c r="C6" s="191">
        <f>'opt calc'!D9</f>
        <v>3.1077525035765383</v>
      </c>
      <c r="D6" s="191">
        <f>'opt calc'!$F9</f>
        <v>3.1077525035765383</v>
      </c>
      <c r="E6" s="191">
        <f>'opt calc'!$H9</f>
        <v>3.1077525035765383</v>
      </c>
      <c r="F6"/>
      <c r="G6" s="55" t="s">
        <v>177</v>
      </c>
      <c r="H6" s="161">
        <v>2.9449999999999998</v>
      </c>
      <c r="K6" s="280" t="s">
        <v>154</v>
      </c>
      <c r="L6" s="160">
        <f>AVERAGE(D34:D40)</f>
        <v>2.9229999999999996</v>
      </c>
      <c r="M6" s="280" t="s">
        <v>154</v>
      </c>
      <c r="N6" s="188">
        <f t="shared" si="0"/>
        <v>2.2000000000000242E-2</v>
      </c>
      <c r="O6" s="282">
        <f>H6-L6</f>
        <v>2.2000000000000242E-2</v>
      </c>
      <c r="P6"/>
      <c r="Q6" s="146" t="s">
        <v>179</v>
      </c>
      <c r="R6" s="269" t="e">
        <f>AVERAGE(L40:L46)</f>
        <v>#REF!</v>
      </c>
      <c r="T6" s="167" t="s">
        <v>188</v>
      </c>
      <c r="U6" s="75"/>
      <c r="V6" s="75"/>
      <c r="W6" s="275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170</v>
      </c>
      <c r="AO6" s="52">
        <v>0</v>
      </c>
      <c r="AP6" s="52" t="s">
        <v>307</v>
      </c>
      <c r="AQ6" s="398" t="s">
        <v>212</v>
      </c>
    </row>
    <row r="7" spans="1:43" ht="13.5" thickBot="1" x14ac:dyDescent="0.25">
      <c r="A7" s="60" t="s">
        <v>35</v>
      </c>
      <c r="B7" s="188">
        <f>'opt calc'!$B11</f>
        <v>0</v>
      </c>
      <c r="C7" s="188">
        <f>'opt calc'!$D11</f>
        <v>6.2804005722445488E-3</v>
      </c>
      <c r="D7" s="188">
        <f>'opt calc'!$F11</f>
        <v>6.2804005722445488E-3</v>
      </c>
      <c r="E7" s="188">
        <f>'opt calc'!H11</f>
        <v>6.2804005722445488E-3</v>
      </c>
      <c r="F7"/>
      <c r="G7" s="54" t="s">
        <v>117</v>
      </c>
      <c r="H7" s="161">
        <v>2.9950000000000001</v>
      </c>
      <c r="I7" s="55" t="s">
        <v>216</v>
      </c>
      <c r="J7" s="55">
        <f>((H7*12)-(H6*7)-H5-H4-H3)/2</f>
        <v>3.2949999999999999</v>
      </c>
      <c r="K7" s="280" t="s">
        <v>203</v>
      </c>
      <c r="L7" s="160">
        <f>AVERAGE(D41:D42)</f>
        <v>3.3834999999999997</v>
      </c>
      <c r="M7" s="280" t="s">
        <v>203</v>
      </c>
      <c r="N7" s="188">
        <f t="shared" si="0"/>
        <v>-8.8499999999999801E-2</v>
      </c>
      <c r="O7" s="282">
        <f>J7-L7</f>
        <v>-8.8499999999999801E-2</v>
      </c>
      <c r="P7"/>
      <c r="Q7" s="146" t="s">
        <v>180</v>
      </c>
      <c r="R7" s="269" t="e">
        <f>AVERAGE(L47:L51)</f>
        <v>#REF!</v>
      </c>
      <c r="T7" s="168" t="s">
        <v>184</v>
      </c>
      <c r="U7" s="75"/>
      <c r="V7" s="75"/>
      <c r="W7" s="276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42" t="s">
        <v>206</v>
      </c>
      <c r="B8" s="190">
        <v>0</v>
      </c>
      <c r="C8" s="190">
        <v>0</v>
      </c>
      <c r="D8" s="190">
        <v>0</v>
      </c>
      <c r="E8" s="190">
        <v>0</v>
      </c>
      <c r="F8"/>
      <c r="G8" s="54" t="s">
        <v>118</v>
      </c>
      <c r="H8" s="161">
        <v>3.3250000000000002</v>
      </c>
      <c r="K8" s="280" t="s">
        <v>204</v>
      </c>
      <c r="L8" s="160">
        <f>AVERAGE(D43:D54)</f>
        <v>3.2884166666666665</v>
      </c>
      <c r="M8" s="280" t="s">
        <v>204</v>
      </c>
      <c r="N8" s="188">
        <f t="shared" si="0"/>
        <v>3.6583333333333634E-2</v>
      </c>
      <c r="O8" s="282">
        <f>H8-L8</f>
        <v>3.6583333333333634E-2</v>
      </c>
      <c r="P8"/>
      <c r="Q8" s="146" t="s">
        <v>181</v>
      </c>
      <c r="R8" s="269" t="e">
        <f>AVERAGE(L52:L58)</f>
        <v>#REF!</v>
      </c>
      <c r="T8" s="167" t="s">
        <v>185</v>
      </c>
      <c r="U8" s="75"/>
      <c r="V8" s="75"/>
      <c r="W8" s="198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52</v>
      </c>
      <c r="B9" s="187">
        <v>0</v>
      </c>
      <c r="C9" s="187">
        <v>0</v>
      </c>
      <c r="D9" s="187">
        <v>0</v>
      </c>
      <c r="E9" s="187">
        <v>0</v>
      </c>
      <c r="F9"/>
      <c r="G9" s="54" t="s">
        <v>119</v>
      </c>
      <c r="H9" s="161">
        <f>H8+0.14</f>
        <v>3.4650000000000003</v>
      </c>
      <c r="K9" s="281" t="s">
        <v>205</v>
      </c>
      <c r="L9" s="160">
        <f>AVERAGE(D55:D66)</f>
        <v>3.347666666666667</v>
      </c>
      <c r="M9" s="281" t="s">
        <v>205</v>
      </c>
      <c r="N9" s="283">
        <f t="shared" si="0"/>
        <v>0.11733333333333329</v>
      </c>
      <c r="O9" s="284">
        <f>H9-L9</f>
        <v>0.11733333333333329</v>
      </c>
      <c r="P9"/>
      <c r="Q9" s="146" t="s">
        <v>182</v>
      </c>
      <c r="R9" s="269" t="e">
        <f>AVERAGE(L59:L63)</f>
        <v>#REF!</v>
      </c>
      <c r="T9" s="167" t="s">
        <v>190</v>
      </c>
      <c r="U9" s="75"/>
      <c r="V9" s="75"/>
      <c r="W9" s="273">
        <f>W6/W5</f>
        <v>8.3333333333333329E-2</v>
      </c>
      <c r="Z9" s="60"/>
      <c r="AA9" s="60">
        <v>0.46500000000000002</v>
      </c>
      <c r="AB9" s="60"/>
    </row>
    <row r="10" spans="1:43" ht="14.25" thickTop="1" thickBot="1" x14ac:dyDescent="0.25">
      <c r="A10" s="55" t="s">
        <v>113</v>
      </c>
      <c r="B10" s="179">
        <v>1</v>
      </c>
      <c r="C10" s="179">
        <v>1</v>
      </c>
      <c r="D10" s="179">
        <v>1</v>
      </c>
      <c r="E10" s="179">
        <v>1</v>
      </c>
      <c r="F10"/>
      <c r="G10" s="54" t="s">
        <v>305</v>
      </c>
      <c r="H10" s="161">
        <f>H9+0.1</f>
        <v>3.5650000000000004</v>
      </c>
      <c r="K10" s="281" t="s">
        <v>306</v>
      </c>
      <c r="L10" s="160">
        <f>AVERAGE(D67:D78)</f>
        <v>3.4322499999999998</v>
      </c>
      <c r="M10" s="281" t="s">
        <v>205</v>
      </c>
      <c r="N10" s="283">
        <f>IF(H10&gt;0,O10,0)</f>
        <v>0.13275000000000059</v>
      </c>
      <c r="O10" s="284">
        <f>H10-L10</f>
        <v>0.13275000000000059</v>
      </c>
      <c r="P10"/>
      <c r="Q10" s="146" t="s">
        <v>183</v>
      </c>
      <c r="R10" s="269" t="e">
        <f>AVERAGE(L64:L70)</f>
        <v>#REF!</v>
      </c>
      <c r="T10" s="167" t="s">
        <v>187</v>
      </c>
      <c r="U10" s="75"/>
      <c r="V10" s="75">
        <v>3</v>
      </c>
      <c r="W10" s="277">
        <f>W9*V10</f>
        <v>0.25</v>
      </c>
      <c r="Z10" s="60"/>
      <c r="AA10" s="60"/>
      <c r="AB10" s="60"/>
    </row>
    <row r="11" spans="1:43" ht="13.5" thickTop="1" x14ac:dyDescent="0.2">
      <c r="A11" s="55" t="s">
        <v>112</v>
      </c>
      <c r="B11" s="179">
        <v>2</v>
      </c>
      <c r="C11" s="179">
        <v>2</v>
      </c>
      <c r="D11" s="179">
        <v>2</v>
      </c>
      <c r="E11" s="179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67" t="s">
        <v>186</v>
      </c>
      <c r="U11" s="75"/>
      <c r="V11" s="75"/>
      <c r="W11" s="285">
        <f>(W8*W10)/W6</f>
        <v>0.75</v>
      </c>
      <c r="Z11" s="60"/>
      <c r="AA11" s="60"/>
      <c r="AB11" s="60"/>
    </row>
    <row r="12" spans="1:43" ht="13.5" thickBot="1" x14ac:dyDescent="0.25">
      <c r="A12" s="55" t="s">
        <v>107</v>
      </c>
      <c r="B12" s="199">
        <v>4</v>
      </c>
      <c r="C12" s="199">
        <v>2.5</v>
      </c>
      <c r="D12" s="199">
        <v>2.5</v>
      </c>
      <c r="E12" s="199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0"/>
      <c r="T12" s="167"/>
      <c r="U12" s="167"/>
      <c r="V12" s="167"/>
      <c r="W12" s="167"/>
      <c r="Z12" s="60"/>
      <c r="AA12" s="60"/>
      <c r="AB12" s="60"/>
    </row>
    <row r="13" spans="1:43" ht="13.5" thickTop="1" x14ac:dyDescent="0.2">
      <c r="A13" s="55" t="s">
        <v>37</v>
      </c>
      <c r="B13" s="142">
        <f ca="1">'opt calc'!$B21</f>
        <v>1.1898563529585233</v>
      </c>
      <c r="C13" s="142">
        <f ca="1">'opt calc'!$D21</f>
        <v>0.24634509271668414</v>
      </c>
      <c r="D13" s="142">
        <f ca="1">'opt calc'!F21</f>
        <v>0.24634509271668414</v>
      </c>
      <c r="E13" s="205">
        <f ca="1">'opt calc'!$H21</f>
        <v>0.2423777604356856</v>
      </c>
      <c r="F13"/>
      <c r="G13"/>
      <c r="H13"/>
      <c r="I13"/>
      <c r="J13"/>
      <c r="K13"/>
      <c r="L13"/>
      <c r="M13"/>
      <c r="N13"/>
      <c r="O13"/>
      <c r="P13"/>
      <c r="Q13" s="146"/>
      <c r="R13" s="160"/>
      <c r="T13" s="167"/>
      <c r="U13" s="167"/>
      <c r="V13" s="167"/>
      <c r="W13" s="167">
        <f>(W11*W6)/W5</f>
        <v>6.25E-2</v>
      </c>
      <c r="Z13" s="60"/>
      <c r="AA13" s="60"/>
      <c r="AB13" s="60"/>
    </row>
    <row r="14" spans="1:43" x14ac:dyDescent="0.2">
      <c r="A14" s="55" t="s">
        <v>28</v>
      </c>
      <c r="B14" s="189">
        <f ca="1">'opt calc'!$B22</f>
        <v>-0.61587286560421717</v>
      </c>
      <c r="C14" s="189">
        <f ca="1">'opt calc'!$D22</f>
        <v>-0.2389869565123395</v>
      </c>
      <c r="D14" s="189">
        <f ca="1">'opt calc'!$F22</f>
        <v>-0.2389869565123395</v>
      </c>
      <c r="E14" s="189">
        <f ca="1">'opt calc'!$H22</f>
        <v>-0.23609888758021999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68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">
      <c r="A15" s="55" t="s">
        <v>33</v>
      </c>
      <c r="B15" s="142">
        <f ca="1">'opt calc'!$B23</f>
        <v>1.087095674779083E-2</v>
      </c>
      <c r="C15" s="142">
        <f ca="1">'opt calc'!$D23</f>
        <v>8.7903055059085806E-3</v>
      </c>
      <c r="D15" s="142">
        <f ca="1">'opt calc'!$F23</f>
        <v>8.7903055059085806E-3</v>
      </c>
      <c r="E15" s="142">
        <f ca="1">'opt calc'!$H23</f>
        <v>8.7363448210908551E-3</v>
      </c>
      <c r="F15"/>
      <c r="G15"/>
      <c r="H15"/>
      <c r="I15"/>
      <c r="J15"/>
      <c r="K15"/>
      <c r="L15"/>
      <c r="M15"/>
      <c r="N15"/>
      <c r="O15"/>
      <c r="P15"/>
      <c r="Q15" s="146"/>
      <c r="R15" s="160"/>
      <c r="T15" s="75"/>
      <c r="U15" s="198"/>
      <c r="V15" s="75"/>
      <c r="W15" s="75">
        <f>W5*W7</f>
        <v>30</v>
      </c>
      <c r="Z15" s="60"/>
      <c r="AA15" s="60"/>
      <c r="AB15" s="60"/>
    </row>
    <row r="16" spans="1:43" x14ac:dyDescent="0.2">
      <c r="B16" s="142"/>
      <c r="C16" s="195"/>
      <c r="D16" s="142"/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0"/>
      <c r="T16" s="75"/>
      <c r="U16" s="167">
        <f>(20*0.85)/30</f>
        <v>0.56666666666666665</v>
      </c>
      <c r="V16" s="75"/>
      <c r="W16" s="75"/>
      <c r="Z16" s="60"/>
      <c r="AA16" s="60"/>
      <c r="AB16" s="60"/>
    </row>
    <row r="17" spans="1:56" x14ac:dyDescent="0.2">
      <c r="A17" s="142"/>
      <c r="B17" s="142"/>
      <c r="D17" s="142"/>
      <c r="E17" s="142"/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0"/>
      <c r="W17" s="123"/>
      <c r="Z17" s="60"/>
      <c r="AA17" s="60"/>
      <c r="AB17" s="60"/>
    </row>
    <row r="18" spans="1:56" x14ac:dyDescent="0.2">
      <c r="A18" s="399"/>
      <c r="B18" s="400"/>
      <c r="C18" s="142"/>
      <c r="D18" s="142"/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0">
        <f>0.47*2</f>
        <v>0.94</v>
      </c>
      <c r="W18" s="123"/>
      <c r="Z18" s="60"/>
      <c r="AA18" s="60"/>
      <c r="AB18" s="60"/>
    </row>
    <row r="19" spans="1:56" x14ac:dyDescent="0.2">
      <c r="A19" s="54" t="s">
        <v>207</v>
      </c>
      <c r="B19" s="142"/>
      <c r="C19" s="142"/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">
      <c r="A20" s="54"/>
      <c r="B20" s="142"/>
      <c r="C20" s="142"/>
      <c r="D20" s="123"/>
      <c r="E20" s="146"/>
      <c r="F20" s="146"/>
      <c r="G20" s="146"/>
      <c r="H20" s="146"/>
      <c r="I20" s="203"/>
      <c r="W20" s="123"/>
      <c r="Z20" s="60"/>
      <c r="AA20" s="60"/>
      <c r="AB20" s="60"/>
    </row>
    <row r="21" spans="1:56" x14ac:dyDescent="0.2">
      <c r="D21" s="142"/>
      <c r="E21" s="146"/>
      <c r="F21" s="146"/>
      <c r="G21" s="146"/>
      <c r="H21" s="146"/>
      <c r="I21" s="203"/>
      <c r="W21" s="123"/>
      <c r="Z21" s="60"/>
      <c r="AA21" s="60"/>
      <c r="AB21" s="60"/>
    </row>
    <row r="22" spans="1:56" x14ac:dyDescent="0.2">
      <c r="D22" s="267"/>
      <c r="E22" s="146"/>
      <c r="F22" s="146"/>
      <c r="G22" s="146"/>
      <c r="H22" s="146"/>
      <c r="I22" s="206"/>
      <c r="W22" s="123"/>
      <c r="Z22" s="60"/>
      <c r="AA22" s="60"/>
      <c r="AB22" s="60"/>
    </row>
    <row r="23" spans="1:56" x14ac:dyDescent="0.2">
      <c r="B23" s="291"/>
      <c r="C23" s="142"/>
      <c r="D23" s="123"/>
      <c r="E23" s="146"/>
      <c r="F23" s="146"/>
      <c r="G23" s="146"/>
      <c r="H23" s="146"/>
      <c r="I23" s="146"/>
      <c r="W23" s="123"/>
      <c r="Z23" s="60"/>
      <c r="AA23" s="60"/>
      <c r="AB23" s="60"/>
    </row>
    <row r="24" spans="1:56" x14ac:dyDescent="0.2">
      <c r="B24" s="291"/>
      <c r="D24" s="123"/>
      <c r="E24" s="146"/>
      <c r="F24" s="146"/>
      <c r="G24" s="146"/>
      <c r="H24" s="146"/>
      <c r="I24" s="146"/>
      <c r="S24" s="142"/>
      <c r="W24" s="123"/>
      <c r="Z24" s="60"/>
      <c r="AA24" s="60"/>
      <c r="AB24" s="60"/>
    </row>
    <row r="25" spans="1:56" x14ac:dyDescent="0.2">
      <c r="B25" s="291"/>
      <c r="C25" s="142"/>
      <c r="D25" s="123"/>
      <c r="E25" s="146"/>
      <c r="F25" s="146"/>
      <c r="G25" s="146"/>
      <c r="H25" s="146"/>
      <c r="I25" s="146"/>
      <c r="W25" s="123"/>
      <c r="Z25" s="60"/>
      <c r="AA25" s="60"/>
      <c r="AB25" s="60"/>
    </row>
    <row r="26" spans="1:56" x14ac:dyDescent="0.2">
      <c r="A26" s="54"/>
      <c r="B26" s="291"/>
      <c r="C26" s="142"/>
      <c r="D26" s="123"/>
      <c r="E26" s="146"/>
      <c r="F26" s="146"/>
      <c r="G26" s="146"/>
      <c r="H26" s="146"/>
      <c r="I26" s="146"/>
      <c r="W26" s="123"/>
      <c r="Z26" s="60"/>
      <c r="AA26" s="60"/>
      <c r="AB26" s="60"/>
    </row>
    <row r="27" spans="1:56" x14ac:dyDescent="0.2">
      <c r="A27" s="54"/>
      <c r="B27" s="291"/>
      <c r="C27" s="142"/>
      <c r="D27" s="123"/>
      <c r="E27" s="146"/>
      <c r="F27" s="146"/>
      <c r="G27" s="146"/>
      <c r="H27" s="146"/>
      <c r="I27" s="146"/>
      <c r="W27" s="123"/>
      <c r="Z27" s="60"/>
      <c r="AA27" s="60"/>
      <c r="AB27" s="60"/>
    </row>
    <row r="28" spans="1:56" x14ac:dyDescent="0.2">
      <c r="A28" s="53"/>
      <c r="B28" s="53"/>
      <c r="E28" s="146"/>
      <c r="G28" s="61" t="s">
        <v>23</v>
      </c>
      <c r="H28" s="136"/>
      <c r="I28" s="146"/>
      <c r="Y28" s="124">
        <f>W2</f>
        <v>1.5</v>
      </c>
      <c r="AB28" s="60"/>
      <c r="AC28" s="60"/>
      <c r="AD28" s="60"/>
      <c r="BC28" s="55"/>
      <c r="BD28" s="55"/>
    </row>
    <row r="29" spans="1:56" x14ac:dyDescent="0.2">
      <c r="A29" s="53"/>
      <c r="B29" s="53"/>
      <c r="E29" s="299"/>
      <c r="G29" s="61"/>
      <c r="H29" s="136"/>
      <c r="I29" s="146"/>
      <c r="Y29" s="124"/>
      <c r="AB29" s="60"/>
      <c r="AC29" s="60"/>
      <c r="AD29" s="60"/>
      <c r="BC29" s="55"/>
      <c r="BD29" s="55"/>
    </row>
    <row r="30" spans="1:56" ht="13.5" thickBot="1" x14ac:dyDescent="0.25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161</v>
      </c>
      <c r="I30" s="63" t="s">
        <v>22</v>
      </c>
      <c r="J30" s="54" t="s">
        <v>115</v>
      </c>
      <c r="K30" s="55" t="s">
        <v>168</v>
      </c>
      <c r="L30" s="55" t="s">
        <v>167</v>
      </c>
      <c r="N30" s="63" t="s">
        <v>20</v>
      </c>
      <c r="O30" s="54" t="s">
        <v>21</v>
      </c>
      <c r="Q30" s="55" t="s">
        <v>174</v>
      </c>
      <c r="AB30" s="60"/>
      <c r="AC30" s="60"/>
      <c r="BC30" s="55"/>
      <c r="BD30" s="55"/>
    </row>
    <row r="31" spans="1:56" x14ac:dyDescent="0.2">
      <c r="A31" s="53">
        <v>1</v>
      </c>
      <c r="B31" s="64">
        <v>37288</v>
      </c>
      <c r="C31" s="53">
        <f>[4]!'NGF2,PRIM ACT 1,1'</f>
        <v>2.56</v>
      </c>
      <c r="D31" s="53">
        <f t="shared" ref="D31:D94" si="1">VLOOKUP($B31,curvesettle,2,FALSE)</f>
        <v>2.786</v>
      </c>
      <c r="E31" s="159">
        <f>N3</f>
        <v>9.8999999999999755E-2</v>
      </c>
      <c r="F31" s="65">
        <f>IF(C$1="settle",D31,IF(C$1="EOL",D31+E31,IF(ISNUMBER(C31),C31,D31)))</f>
        <v>2.786</v>
      </c>
      <c r="G31" s="66">
        <f t="shared" ref="G31:G94" si="2">VLOOKUP($B31,curvesettle,3,FALSE)</f>
        <v>0.92</v>
      </c>
      <c r="H31" s="66">
        <v>0</v>
      </c>
      <c r="I31" s="66">
        <f>G31+H31</f>
        <v>0.92</v>
      </c>
      <c r="J31" s="65">
        <f ca="1">bsd(1,3,$F31,$F31,$N31-TODAY(),$I31,$O31,Y31/2)</f>
        <v>0.53315808315428193</v>
      </c>
      <c r="K31" s="66">
        <v>0</v>
      </c>
      <c r="L31" s="66" t="e">
        <f>#REF!+K31</f>
        <v>#REF!</v>
      </c>
      <c r="M31" s="55">
        <f t="shared" ref="M31:M62" si="3">A31</f>
        <v>1</v>
      </c>
      <c r="N31" s="67">
        <f t="shared" ref="N31:N62" si="4">VLOOKUP(B31,expiration,3,FALSE)</f>
        <v>37284</v>
      </c>
      <c r="O31" s="57">
        <f t="shared" ref="O31:O94" si="5">VLOOKUP($B31,curvesettle,4,FALSE)</f>
        <v>2.1145658071011701E-2</v>
      </c>
      <c r="P31" s="196">
        <f>IF(P$30="nymex",expiry!H63+1,B31)</f>
        <v>37288</v>
      </c>
      <c r="Q31" s="278" t="e">
        <f ca="1">_xll.OSTRIP(F31,F31,P31-TODAY(),B31-P31,B32-P31-1,1,O31,I31,L31,1,0,1,0)</f>
        <v>#REF!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>(G31/SQRT(252))*F31</f>
        <v>0.16146138334323509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4">
        <v>37316</v>
      </c>
      <c r="C32" s="53">
        <f>[4]!'NGG2,PRIM ACT 1,1'</f>
        <v>2.69</v>
      </c>
      <c r="D32" s="53">
        <f t="shared" si="1"/>
        <v>2.7989999999999999</v>
      </c>
      <c r="E32" s="159">
        <f>N4</f>
        <v>0.14100000000000001</v>
      </c>
      <c r="F32" s="65">
        <f t="shared" ref="F32:F95" si="8">IF(C$1="settle",D32,IF(C$1="EOL",D32+E32,IF(ISNUMBER(C32),C32,D32)))</f>
        <v>2.7989999999999999</v>
      </c>
      <c r="G32" s="66">
        <f t="shared" si="2"/>
        <v>0.80300000000000005</v>
      </c>
      <c r="H32" s="66">
        <v>0</v>
      </c>
      <c r="I32" s="66">
        <f t="shared" ref="I32:I95" si="9">G32+H32</f>
        <v>0.80300000000000005</v>
      </c>
      <c r="J32" s="65">
        <f ca="1">bsd(1,3,$F32,$F32,$N32-TODAY(),$I32,$O32,Y32/2)</f>
        <v>0.67865404416855668</v>
      </c>
      <c r="K32" s="66">
        <v>0</v>
      </c>
      <c r="L32" s="66" t="e">
        <f>#REF!+K32</f>
        <v>#REF!</v>
      </c>
      <c r="M32" s="55">
        <f t="shared" si="3"/>
        <v>2</v>
      </c>
      <c r="N32" s="67">
        <f t="shared" si="4"/>
        <v>37312</v>
      </c>
      <c r="O32" s="57">
        <f t="shared" si="5"/>
        <v>2.07759939054513E-2</v>
      </c>
      <c r="P32" s="196">
        <f>IF(P$30="nymex",expiry!H64+1,B32)</f>
        <v>37316</v>
      </c>
      <c r="Q32" s="278" t="e">
        <f ca="1">_xll.OSTRIP(F32,F32,P32-TODAY(),B32-P32,B33-P32-1,1,O32,I32,L32,1,0,1,0)</f>
        <v>#REF!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4">
        <v>37347</v>
      </c>
      <c r="C33" s="53">
        <f>[4]!'NGH2,PRIM ACT 1,1'</f>
        <v>2.7149999999999999</v>
      </c>
      <c r="D33" s="53">
        <f t="shared" si="1"/>
        <v>2.7589999999999999</v>
      </c>
      <c r="E33" s="159">
        <f>N5</f>
        <v>0.15100000000000025</v>
      </c>
      <c r="F33" s="65">
        <f t="shared" si="8"/>
        <v>2.7589999999999999</v>
      </c>
      <c r="G33" s="66">
        <f t="shared" si="2"/>
        <v>0.66</v>
      </c>
      <c r="H33" s="66">
        <v>0</v>
      </c>
      <c r="I33" s="66">
        <f t="shared" si="9"/>
        <v>0.66</v>
      </c>
      <c r="J33" s="65">
        <f t="shared" ref="J33:J39" ca="1" si="11">bsd(1,3,$F33,$F33,$N33-TODAY(),$I33,$O33,Y33/2)</f>
        <v>0.67866407239969373</v>
      </c>
      <c r="K33" s="66">
        <v>0</v>
      </c>
      <c r="L33" s="66" t="e">
        <f>#REF!+K33</f>
        <v>#REF!</v>
      </c>
      <c r="M33" s="55">
        <f t="shared" si="3"/>
        <v>3</v>
      </c>
      <c r="N33" s="67">
        <f t="shared" si="4"/>
        <v>37340</v>
      </c>
      <c r="O33" s="57">
        <f t="shared" si="5"/>
        <v>2.0033459902157401E-2</v>
      </c>
      <c r="P33" s="196">
        <f>IF(P$30="nymex",expiry!H65+1,B33)</f>
        <v>37347</v>
      </c>
      <c r="Q33" s="278" t="e">
        <f ca="1">_xll.OSTRIP(F33,F33,P33-TODAY(),B33-P33,B34-P33-1,1,O33,I33,L33,1,0,1,0)</f>
        <v>#REF!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4">
        <v>37377</v>
      </c>
      <c r="C34" s="53">
        <f>[4]!'NGJ2,PRIM ACT 1,1'</f>
        <v>2.7</v>
      </c>
      <c r="D34" s="53">
        <f t="shared" si="1"/>
        <v>2.7989999999999999</v>
      </c>
      <c r="E34" s="159">
        <f t="shared" ref="E34:E40" si="12">N$6</f>
        <v>2.2000000000000242E-2</v>
      </c>
      <c r="F34" s="65">
        <f t="shared" si="8"/>
        <v>2.7989999999999999</v>
      </c>
      <c r="G34" s="66">
        <f t="shared" si="2"/>
        <v>0.59299999999999997</v>
      </c>
      <c r="H34" s="66">
        <v>0</v>
      </c>
      <c r="I34" s="66">
        <f t="shared" si="9"/>
        <v>0.59299999999999997</v>
      </c>
      <c r="J34" s="65">
        <f t="shared" ca="1" si="11"/>
        <v>0.72581411404497054</v>
      </c>
      <c r="K34" s="66">
        <v>0</v>
      </c>
      <c r="L34" s="66" t="e">
        <f>#REF!+K34</f>
        <v>#REF!</v>
      </c>
      <c r="M34" s="55">
        <f t="shared" si="3"/>
        <v>4</v>
      </c>
      <c r="N34" s="67">
        <f t="shared" si="4"/>
        <v>37371</v>
      </c>
      <c r="O34" s="57">
        <f t="shared" si="5"/>
        <v>2.0156242730434901E-2</v>
      </c>
      <c r="P34" s="196">
        <f>IF(P$30="nymex",expiry!H66+1,B34)</f>
        <v>37377</v>
      </c>
      <c r="Q34" s="278" t="e">
        <f ca="1">_xll.OSTRIP(F34,F34,P34-TODAY(),B34-P34,B35-P34-1,1,O34,I34,L34,1,0,1,0)</f>
        <v>#REF!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4">
        <v>37408</v>
      </c>
      <c r="C35" s="53">
        <f>[4]!'NGK2,PRIM ACT 1,1'</f>
        <v>2.7349999999999999</v>
      </c>
      <c r="D35" s="53">
        <f t="shared" si="1"/>
        <v>2.8490000000000002</v>
      </c>
      <c r="E35" s="159">
        <f t="shared" si="12"/>
        <v>2.2000000000000242E-2</v>
      </c>
      <c r="F35" s="65">
        <f t="shared" si="8"/>
        <v>2.8490000000000002</v>
      </c>
      <c r="G35" s="66">
        <f t="shared" si="2"/>
        <v>0.57299999999999995</v>
      </c>
      <c r="H35" s="66">
        <v>0</v>
      </c>
      <c r="I35" s="66">
        <f t="shared" si="9"/>
        <v>0.57299999999999995</v>
      </c>
      <c r="J35" s="65">
        <f t="shared" ca="1" si="11"/>
        <v>0.80997291295802309</v>
      </c>
      <c r="K35" s="66">
        <v>-0.05</v>
      </c>
      <c r="L35" s="66" t="e">
        <f>#REF!+K35</f>
        <v>#REF!</v>
      </c>
      <c r="M35" s="55">
        <f t="shared" si="3"/>
        <v>5</v>
      </c>
      <c r="N35" s="67">
        <f t="shared" si="4"/>
        <v>37404</v>
      </c>
      <c r="O35" s="57">
        <f t="shared" si="5"/>
        <v>2.0283118325021401E-2</v>
      </c>
      <c r="P35" s="196">
        <f>IF(P$30="nymex",expiry!H67+1,B35)</f>
        <v>37408</v>
      </c>
      <c r="Q35" s="278" t="e">
        <f ca="1">_xll.OSTRIP(F35,F35,P35-TODAY(),B35-P35,B36-P35-1,1,O35,I35,L35,1,0,1,0)</f>
        <v>#REF!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4">
        <v>37438</v>
      </c>
      <c r="C36" s="53">
        <f>[4]!'NGM2,PRIM ACT 1,1'</f>
        <v>2.79</v>
      </c>
      <c r="D36" s="53">
        <f t="shared" si="1"/>
        <v>2.8839999999999999</v>
      </c>
      <c r="E36" s="159">
        <f t="shared" si="12"/>
        <v>2.2000000000000242E-2</v>
      </c>
      <c r="F36" s="65">
        <f t="shared" si="8"/>
        <v>2.8839999999999999</v>
      </c>
      <c r="G36" s="66">
        <f t="shared" si="2"/>
        <v>0.56799999999999995</v>
      </c>
      <c r="H36" s="66">
        <v>0</v>
      </c>
      <c r="I36" s="66">
        <f t="shared" si="9"/>
        <v>0.56799999999999995</v>
      </c>
      <c r="J36" s="65">
        <f ca="1">bsd(1,3,$F36,$F36,$N36-TODAY(),$I36,$O36,Y36/2)</f>
        <v>0.88545888795907324</v>
      </c>
      <c r="K36" s="66">
        <v>-0.05</v>
      </c>
      <c r="L36" s="66" t="e">
        <f>#REF!+K36</f>
        <v>#REF!</v>
      </c>
      <c r="M36" s="55">
        <f t="shared" si="3"/>
        <v>6</v>
      </c>
      <c r="N36" s="67">
        <f t="shared" si="4"/>
        <v>37432</v>
      </c>
      <c r="O36" s="57">
        <f t="shared" si="5"/>
        <v>2.0560063885965998E-2</v>
      </c>
      <c r="P36" s="196">
        <f>IF(P$30="nymex",expiry!H68+1,B36)</f>
        <v>37438</v>
      </c>
      <c r="Q36" s="278" t="e">
        <f ca="1">_xll.OSTRIP(F36,F36,P36-TODAY(),B36-P36,B37-P36-1,1,O36,I36,L36,1,0,1,0)</f>
        <v>#REF!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4">
        <v>37469</v>
      </c>
      <c r="C37" s="53">
        <f>[4]!'NGN2,PRIM ACT 1,1'</f>
        <v>2.835</v>
      </c>
      <c r="D37" s="53">
        <f t="shared" si="1"/>
        <v>2.9209999999999998</v>
      </c>
      <c r="E37" s="159">
        <f t="shared" si="12"/>
        <v>2.2000000000000242E-2</v>
      </c>
      <c r="F37" s="65">
        <f t="shared" si="8"/>
        <v>2.9209999999999998</v>
      </c>
      <c r="G37" s="66">
        <f t="shared" si="2"/>
        <v>0.56299999999999994</v>
      </c>
      <c r="H37" s="66">
        <v>0</v>
      </c>
      <c r="I37" s="66">
        <f t="shared" si="9"/>
        <v>0.56299999999999994</v>
      </c>
      <c r="J37" s="65">
        <f t="shared" ca="1" si="11"/>
        <v>0.96234887494154453</v>
      </c>
      <c r="K37" s="66">
        <v>-0.05</v>
      </c>
      <c r="L37" s="66" t="e">
        <f>#REF!+K37</f>
        <v>#REF!</v>
      </c>
      <c r="M37" s="55">
        <f t="shared" si="3"/>
        <v>7</v>
      </c>
      <c r="N37" s="67">
        <f t="shared" si="4"/>
        <v>37463</v>
      </c>
      <c r="O37" s="57">
        <f t="shared" si="5"/>
        <v>2.1094384134566099E-2</v>
      </c>
      <c r="P37" s="196">
        <f>IF(P$30="nymex",expiry!H69+1,B37)</f>
        <v>37469</v>
      </c>
      <c r="Q37" s="278" t="e">
        <f ca="1">_xll.OSTRIP(F37,F37,P37-TODAY(),B37-P37,B38-P37-1,1,O37,I37,L37,1,0,1,0)</f>
        <v>#REF!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4">
        <v>37500</v>
      </c>
      <c r="C38" s="53">
        <f>[4]!'NGQ2,PRIM ACT 1,1'</f>
        <v>2.89</v>
      </c>
      <c r="D38" s="53">
        <f t="shared" si="1"/>
        <v>2.9209999999999998</v>
      </c>
      <c r="E38" s="159">
        <f t="shared" si="12"/>
        <v>2.2000000000000242E-2</v>
      </c>
      <c r="F38" s="65">
        <f t="shared" si="8"/>
        <v>2.9209999999999998</v>
      </c>
      <c r="G38" s="66">
        <f t="shared" si="2"/>
        <v>0.56000000000000005</v>
      </c>
      <c r="H38" s="66">
        <v>0</v>
      </c>
      <c r="I38" s="66">
        <f t="shared" si="9"/>
        <v>0.56000000000000005</v>
      </c>
      <c r="J38" s="65">
        <f t="shared" ca="1" si="11"/>
        <v>1.0262175340678352</v>
      </c>
      <c r="K38" s="66">
        <v>-0.05</v>
      </c>
      <c r="L38" s="66" t="e">
        <f>#REF!+K38</f>
        <v>#REF!</v>
      </c>
      <c r="M38" s="55">
        <f t="shared" si="3"/>
        <v>8</v>
      </c>
      <c r="N38" s="67">
        <f t="shared" si="4"/>
        <v>37495</v>
      </c>
      <c r="O38" s="57">
        <f t="shared" si="5"/>
        <v>2.1628704479852899E-2</v>
      </c>
      <c r="P38" s="196">
        <f>IF(P$30="nymex",expiry!H70+1,B38)</f>
        <v>37500</v>
      </c>
      <c r="Q38" s="278" t="e">
        <f ca="1">_xll.OSTRIP(F38,F38,P38-TODAY(),B38-P38,B39-P38-1,1,O38,I38,L38,1,0,1,0)</f>
        <v>#REF!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si="7"/>
        <v>9</v>
      </c>
      <c r="B39" s="64">
        <v>37530</v>
      </c>
      <c r="C39" s="53">
        <f>[4]!'NGU2,PRIM ACT 1,1'</f>
        <v>2.87</v>
      </c>
      <c r="D39" s="53">
        <f t="shared" si="1"/>
        <v>2.9460000000000002</v>
      </c>
      <c r="E39" s="159">
        <f t="shared" si="12"/>
        <v>2.2000000000000242E-2</v>
      </c>
      <c r="F39" s="65">
        <f t="shared" si="8"/>
        <v>2.9460000000000002</v>
      </c>
      <c r="G39" s="66">
        <f t="shared" si="2"/>
        <v>0.56000000000000005</v>
      </c>
      <c r="H39" s="66">
        <v>0</v>
      </c>
      <c r="I39" s="66">
        <f t="shared" si="9"/>
        <v>0.56000000000000005</v>
      </c>
      <c r="J39" s="65">
        <f t="shared" ca="1" si="11"/>
        <v>1.0932618932721949</v>
      </c>
      <c r="K39" s="66">
        <v>-0.05</v>
      </c>
      <c r="L39" s="66" t="e">
        <f>#REF!+K39</f>
        <v>#REF!</v>
      </c>
      <c r="M39" s="55">
        <f t="shared" si="3"/>
        <v>9</v>
      </c>
      <c r="N39" s="67">
        <f t="shared" si="4"/>
        <v>37524</v>
      </c>
      <c r="O39" s="57">
        <f t="shared" si="5"/>
        <v>2.2229563577716799E-2</v>
      </c>
      <c r="P39" s="196">
        <f>IF(P$30="nymex",expiry!H71+1,B39)</f>
        <v>37530</v>
      </c>
      <c r="Q39" s="278" t="e">
        <f ca="1">_xll.OSTRIP(F39,F39,P39-TODAY(),B39-P39,B40-P39-1,1,O39,I39,L39,1,0,1,0)</f>
        <v>#REF!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si="7"/>
        <v>10</v>
      </c>
      <c r="B40" s="64">
        <v>37561</v>
      </c>
      <c r="C40" s="53">
        <f>[4]!'NGV2,PRIM ACT 1,1'</f>
        <v>2.88</v>
      </c>
      <c r="D40" s="53">
        <f t="shared" si="1"/>
        <v>3.141</v>
      </c>
      <c r="E40" s="159">
        <f t="shared" si="12"/>
        <v>2.2000000000000242E-2</v>
      </c>
      <c r="F40" s="65">
        <f t="shared" si="8"/>
        <v>3.141</v>
      </c>
      <c r="G40" s="66">
        <f t="shared" si="2"/>
        <v>0.55300000000000005</v>
      </c>
      <c r="H40" s="66">
        <v>0</v>
      </c>
      <c r="I40" s="66">
        <f t="shared" si="9"/>
        <v>0.55300000000000005</v>
      </c>
      <c r="J40" s="65">
        <f t="shared" ref="J40:J61" ca="1" si="13">bsd(1,3,$F40,$F40,$N40-TODAY(),$I40,$O40,Y40/2)</f>
        <v>1.2163314456453076</v>
      </c>
      <c r="K40" s="66">
        <v>-0.05</v>
      </c>
      <c r="L40" s="66" t="e">
        <f>#REF!+K40</f>
        <v>#REF!</v>
      </c>
      <c r="M40" s="55">
        <f t="shared" si="3"/>
        <v>10</v>
      </c>
      <c r="N40" s="67">
        <f t="shared" si="4"/>
        <v>37557</v>
      </c>
      <c r="O40" s="57">
        <f t="shared" si="5"/>
        <v>2.2969120664737601E-2</v>
      </c>
      <c r="P40" s="196">
        <f>IF(P$30="nymex",expiry!H72+1,B40)</f>
        <v>37561</v>
      </c>
      <c r="Q40" s="278" t="e">
        <f ca="1">_xll.OSTRIP(F40,F40,P40-TODAY(),B40-P40,B41-P40-1,1,O40,I40,L40,1,0,1,0)</f>
        <v>#REF!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si="7"/>
        <v>11</v>
      </c>
      <c r="B41" s="64">
        <v>37591</v>
      </c>
      <c r="C41" s="53">
        <f>[4]!'NGX2,PRIM ACT 1,1'</f>
        <v>3.0750000000000002</v>
      </c>
      <c r="D41" s="53">
        <f t="shared" si="1"/>
        <v>3.331</v>
      </c>
      <c r="E41" s="159">
        <f>N$7</f>
        <v>-8.8499999999999801E-2</v>
      </c>
      <c r="F41" s="65">
        <f t="shared" si="8"/>
        <v>3.331</v>
      </c>
      <c r="G41" s="66">
        <f t="shared" si="2"/>
        <v>0.54800000000000004</v>
      </c>
      <c r="H41" s="66">
        <v>0</v>
      </c>
      <c r="I41" s="66">
        <f t="shared" si="9"/>
        <v>0.54800000000000004</v>
      </c>
      <c r="J41" s="65">
        <f t="shared" ca="1" si="13"/>
        <v>1.3327212698341127</v>
      </c>
      <c r="K41" s="66">
        <v>-0.05</v>
      </c>
      <c r="L41" s="66" t="e">
        <f>#REF!+K41</f>
        <v>#REF!</v>
      </c>
      <c r="M41" s="55">
        <f t="shared" si="3"/>
        <v>11</v>
      </c>
      <c r="N41" s="67">
        <f t="shared" si="4"/>
        <v>37585</v>
      </c>
      <c r="O41" s="57">
        <f t="shared" si="5"/>
        <v>2.3684821247730501E-2</v>
      </c>
      <c r="P41" s="196">
        <f>IF(P$30="nymex",expiry!H73+1,B41)</f>
        <v>37591</v>
      </c>
      <c r="Q41" s="278" t="e">
        <f ca="1">_xll.OSTRIP(F41,F41,P41-TODAY(),B41-P41,B42-P41-1,1,O41,I41,L41,1,0,1,0)</f>
        <v>#REF!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si="7"/>
        <v>12</v>
      </c>
      <c r="B42" s="64">
        <v>37622</v>
      </c>
      <c r="C42" s="53">
        <f>[4]!'NGZ2,PRIM ACT 1,1'</f>
        <v>3.26</v>
      </c>
      <c r="D42" s="53">
        <f t="shared" si="1"/>
        <v>3.4359999999999999</v>
      </c>
      <c r="E42" s="159">
        <f>N$7</f>
        <v>-8.8499999999999801E-2</v>
      </c>
      <c r="F42" s="65">
        <f t="shared" si="8"/>
        <v>3.4359999999999999</v>
      </c>
      <c r="G42" s="66">
        <f t="shared" si="2"/>
        <v>0.54300000000000004</v>
      </c>
      <c r="H42" s="66">
        <v>0</v>
      </c>
      <c r="I42" s="66">
        <f t="shared" si="9"/>
        <v>0.54300000000000004</v>
      </c>
      <c r="J42" s="65">
        <f t="shared" ca="1" si="13"/>
        <v>1.4203229944741755</v>
      </c>
      <c r="K42" s="66">
        <v>0</v>
      </c>
      <c r="L42" s="66" t="e">
        <f>#REF!+K42</f>
        <v>#REF!</v>
      </c>
      <c r="M42" s="55">
        <f t="shared" si="3"/>
        <v>12</v>
      </c>
      <c r="N42" s="67">
        <f t="shared" si="4"/>
        <v>37616</v>
      </c>
      <c r="O42" s="57">
        <f t="shared" si="5"/>
        <v>2.4485717541272E-2</v>
      </c>
      <c r="P42" s="196">
        <f>IF(P$30="nymex",expiry!H74+1,B42)</f>
        <v>37622</v>
      </c>
      <c r="Q42" s="278" t="e">
        <f ca="1">_xll.OSTRIP(F42,F42,P42-TODAY(),B42-P42,B43-P42-1,1,O42,I42,L42,1,0,1,0)</f>
        <v>#REF!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si="7"/>
        <v>13</v>
      </c>
      <c r="B43" s="64">
        <v>37653</v>
      </c>
      <c r="C43" s="53">
        <f>[4]!'NGF3,PRIM ACT 1,1'</f>
        <v>3.36</v>
      </c>
      <c r="D43" s="53">
        <f t="shared" si="1"/>
        <v>3.3660000000000001</v>
      </c>
      <c r="E43" s="159">
        <f t="shared" ref="E43:E54" si="14">N$8</f>
        <v>3.6583333333333634E-2</v>
      </c>
      <c r="F43" s="65">
        <f t="shared" si="8"/>
        <v>3.3660000000000001</v>
      </c>
      <c r="G43" s="66">
        <f t="shared" si="2"/>
        <v>0.53300000000000003</v>
      </c>
      <c r="H43" s="66">
        <v>0</v>
      </c>
      <c r="I43" s="66">
        <f t="shared" si="9"/>
        <v>0.53300000000000003</v>
      </c>
      <c r="J43" s="65">
        <f ca="1">bsd(1,3,$F43,$F43,$N43-TODAY(),$I43,$O43,Y43/2)</f>
        <v>1.4221143001571077</v>
      </c>
      <c r="K43" s="66">
        <v>0</v>
      </c>
      <c r="L43" s="66" t="e">
        <f>#REF!+K43</f>
        <v>#REF!</v>
      </c>
      <c r="M43" s="55">
        <f t="shared" si="3"/>
        <v>13</v>
      </c>
      <c r="N43" s="67">
        <f t="shared" si="4"/>
        <v>37649</v>
      </c>
      <c r="O43" s="57">
        <f t="shared" si="5"/>
        <v>2.53610969536586E-2</v>
      </c>
      <c r="P43" s="196">
        <f>IF(P$30="nymex",expiry!H75+1,B43)</f>
        <v>37653</v>
      </c>
      <c r="Q43" s="278" t="e">
        <f ca="1">_xll.OSTRIP(F43,F43,P43-TODAY(),B43-P43,B44-P43-1,1,O43,I43,L43,1,0,1,0)</f>
        <v>#REF!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si="7"/>
        <v>14</v>
      </c>
      <c r="B44" s="64">
        <v>37681</v>
      </c>
      <c r="C44" s="53">
        <f>[4]!'NGG3,PRIM ACT 1,1'</f>
        <v>3.28</v>
      </c>
      <c r="D44" s="53">
        <f t="shared" si="1"/>
        <v>3.2610000000000001</v>
      </c>
      <c r="E44" s="159">
        <f t="shared" si="14"/>
        <v>3.6583333333333634E-2</v>
      </c>
      <c r="F44" s="65">
        <f t="shared" si="8"/>
        <v>3.2610000000000001</v>
      </c>
      <c r="G44" s="66">
        <f t="shared" si="2"/>
        <v>0.503</v>
      </c>
      <c r="H44" s="66">
        <v>0</v>
      </c>
      <c r="I44" s="66">
        <f t="shared" si="9"/>
        <v>0.503</v>
      </c>
      <c r="J44" s="65">
        <f ca="1">bsd(1,3,$F44,$F44,$N44-TODAY(),$I44,$O44,Y44/2)</f>
        <v>1.343003127319387</v>
      </c>
      <c r="K44" s="66">
        <v>0</v>
      </c>
      <c r="L44" s="66" t="e">
        <f>#REF!+K44</f>
        <v>#REF!</v>
      </c>
      <c r="M44" s="55">
        <f t="shared" si="3"/>
        <v>14</v>
      </c>
      <c r="N44" s="67">
        <f t="shared" si="4"/>
        <v>37677</v>
      </c>
      <c r="O44" s="57">
        <f t="shared" si="5"/>
        <v>2.6151762451951801E-2</v>
      </c>
      <c r="P44" s="196">
        <f>IF(P$30="nymex",expiry!H76+1,B44)</f>
        <v>37681</v>
      </c>
      <c r="Q44" s="278" t="e">
        <f ca="1">_xll.OSTRIP(F44,F44,P44-TODAY(),B44-P44,B45-P44-1,1,O44,I44,L44,1,0,1,0)</f>
        <v>#REF!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si="7"/>
        <v>15</v>
      </c>
      <c r="B45" s="64">
        <v>37712</v>
      </c>
      <c r="C45" s="53">
        <f>[4]!'NGH3,PRIM ACT 1,1'</f>
        <v>3.19</v>
      </c>
      <c r="D45" s="53">
        <f t="shared" si="1"/>
        <v>3.1160000000000001</v>
      </c>
      <c r="E45" s="159">
        <f t="shared" si="14"/>
        <v>3.6583333333333634E-2</v>
      </c>
      <c r="F45" s="65">
        <f t="shared" si="8"/>
        <v>3.1160000000000001</v>
      </c>
      <c r="G45" s="66">
        <f t="shared" si="2"/>
        <v>0.42499999999999999</v>
      </c>
      <c r="H45" s="66">
        <v>0</v>
      </c>
      <c r="I45" s="66">
        <f t="shared" si="9"/>
        <v>0.42499999999999999</v>
      </c>
      <c r="J45" s="65">
        <f ca="1">bsd(1,3,$F45,$F45,$N45-TODAY(),$I45,$O45,Y45/2)</f>
        <v>1.1209188397432381</v>
      </c>
      <c r="K45" s="66">
        <v>0</v>
      </c>
      <c r="L45" s="66" t="e">
        <f>#REF!+K45</f>
        <v>#REF!</v>
      </c>
      <c r="M45" s="55">
        <f t="shared" si="3"/>
        <v>15</v>
      </c>
      <c r="N45" s="67">
        <f t="shared" si="4"/>
        <v>37706</v>
      </c>
      <c r="O45" s="57">
        <f t="shared" si="5"/>
        <v>2.70235470347737E-2</v>
      </c>
      <c r="P45" s="196">
        <f>IF(P$30="nymex",expiry!H77+1,B45)</f>
        <v>37712</v>
      </c>
      <c r="Q45" s="278" t="e">
        <f ca="1">_xll.OSTRIP(F45,F45,P45-TODAY(),B45-P45,B46-P45-1,1,O45,I45,L45,1,0,1,0)</f>
        <v>#REF!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si="7"/>
        <v>16</v>
      </c>
      <c r="B46" s="64">
        <v>37742</v>
      </c>
      <c r="C46" s="53">
        <f>[4]!'NGJ3,PRIM ACT 1,1'</f>
        <v>3.05</v>
      </c>
      <c r="D46" s="53">
        <f t="shared" si="1"/>
        <v>3.121</v>
      </c>
      <c r="E46" s="159">
        <f t="shared" si="14"/>
        <v>3.6583333333333634E-2</v>
      </c>
      <c r="F46" s="65">
        <f t="shared" si="8"/>
        <v>3.121</v>
      </c>
      <c r="G46" s="66">
        <f t="shared" si="2"/>
        <v>0.41</v>
      </c>
      <c r="H46" s="66">
        <v>0</v>
      </c>
      <c r="I46" s="66">
        <f t="shared" si="9"/>
        <v>0.41</v>
      </c>
      <c r="J46" s="65">
        <f t="shared" ca="1" si="13"/>
        <v>1.1152297679949883</v>
      </c>
      <c r="K46" s="66">
        <v>0</v>
      </c>
      <c r="L46" s="66" t="e">
        <f>#REF!+K46</f>
        <v>#REF!</v>
      </c>
      <c r="M46" s="55">
        <f t="shared" si="3"/>
        <v>16</v>
      </c>
      <c r="N46" s="67">
        <f t="shared" si="4"/>
        <v>37736</v>
      </c>
      <c r="O46" s="57">
        <f t="shared" si="5"/>
        <v>2.78505455310585E-2</v>
      </c>
      <c r="P46" s="196">
        <f>IF(P$30="nymex",expiry!H78+1,B46)</f>
        <v>37742</v>
      </c>
      <c r="Q46" s="278" t="e">
        <f ca="1">_xll.OSTRIP(F46,F46,P46-TODAY(),B46-P46,B47-P46-1,1,O46,I46,L46,1,0,1,0)</f>
        <v>#REF!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si="7"/>
        <v>17</v>
      </c>
      <c r="B47" s="64">
        <v>37773</v>
      </c>
      <c r="C47" s="53">
        <f>[4]!'NGK3,PRIM ACT 1,1'</f>
        <v>3.05</v>
      </c>
      <c r="D47" s="53">
        <f t="shared" si="1"/>
        <v>3.1509999999999998</v>
      </c>
      <c r="E47" s="159">
        <f t="shared" si="14"/>
        <v>3.6583333333333634E-2</v>
      </c>
      <c r="F47" s="65">
        <f t="shared" si="8"/>
        <v>3.1509999999999998</v>
      </c>
      <c r="G47" s="66">
        <f t="shared" si="2"/>
        <v>0.40500000000000003</v>
      </c>
      <c r="H47" s="66">
        <v>0</v>
      </c>
      <c r="I47" s="66">
        <f t="shared" si="9"/>
        <v>0.40500000000000003</v>
      </c>
      <c r="J47" s="65">
        <f t="shared" ca="1" si="13"/>
        <v>1.1443250746214844</v>
      </c>
      <c r="K47" s="66">
        <v>0</v>
      </c>
      <c r="L47" s="66" t="e">
        <f>#REF!+K47</f>
        <v>#REF!</v>
      </c>
      <c r="M47" s="55">
        <f t="shared" si="3"/>
        <v>17</v>
      </c>
      <c r="N47" s="67">
        <f t="shared" si="4"/>
        <v>37768</v>
      </c>
      <c r="O47" s="57">
        <f t="shared" si="5"/>
        <v>2.8705110886401802E-2</v>
      </c>
      <c r="P47" s="196">
        <f>IF(P$30="nymex",expiry!H79+1,B47)</f>
        <v>37773</v>
      </c>
      <c r="Q47" s="278" t="e">
        <f ca="1">_xll.OSTRIP(F47,F47,P47-TODAY(),B47-P47,B48-P47-1,1,O47,I47,L47,1,0,1,0)</f>
        <v>#REF!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si="7"/>
        <v>18</v>
      </c>
      <c r="B48" s="64">
        <v>37803</v>
      </c>
      <c r="C48" s="53">
        <f>[4]!'NGM3,PRIM ACT 1,1'</f>
        <v>3.06</v>
      </c>
      <c r="D48" s="53">
        <f t="shared" si="1"/>
        <v>3.1909999999999998</v>
      </c>
      <c r="E48" s="159">
        <f t="shared" si="14"/>
        <v>3.6583333333333634E-2</v>
      </c>
      <c r="F48" s="65">
        <f t="shared" si="8"/>
        <v>3.1909999999999998</v>
      </c>
      <c r="G48" s="66">
        <f t="shared" si="2"/>
        <v>0.40500000000000003</v>
      </c>
      <c r="H48" s="66">
        <v>0</v>
      </c>
      <c r="I48" s="66">
        <f t="shared" si="9"/>
        <v>0.40500000000000003</v>
      </c>
      <c r="J48" s="65">
        <f ca="1">bsd(1,3,$F48,$F48,$N48-TODAY(),$I48,$O48,Y48/2)</f>
        <v>1.1866258681807338</v>
      </c>
      <c r="K48" s="66">
        <v>0</v>
      </c>
      <c r="L48" s="66" t="e">
        <f>#REF!+K48</f>
        <v>#REF!</v>
      </c>
      <c r="M48" s="55">
        <f t="shared" si="3"/>
        <v>18</v>
      </c>
      <c r="N48" s="67">
        <f t="shared" si="4"/>
        <v>37797</v>
      </c>
      <c r="O48" s="57">
        <f t="shared" si="5"/>
        <v>2.9520453177735599E-2</v>
      </c>
      <c r="P48" s="196">
        <f>IF(P$30="nymex",expiry!H80+1,B48)</f>
        <v>37803</v>
      </c>
      <c r="Q48" s="278" t="e">
        <f ca="1">_xll.OSTRIP(F48,F48,P48-TODAY(),B48-P48,B49-P48-1,1,O48,I48,L48,1,0,1,0)</f>
        <v>#REF!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si="7"/>
        <v>19</v>
      </c>
      <c r="B49" s="64">
        <v>37834</v>
      </c>
      <c r="C49" s="53">
        <f>[4]!'NGN3,PRIM ACT 1,1'</f>
        <v>3.1150000000000002</v>
      </c>
      <c r="D49" s="53">
        <f t="shared" si="1"/>
        <v>3.226</v>
      </c>
      <c r="E49" s="159">
        <f t="shared" si="14"/>
        <v>3.6583333333333634E-2</v>
      </c>
      <c r="F49" s="65">
        <f t="shared" si="8"/>
        <v>3.226</v>
      </c>
      <c r="G49" s="66">
        <f t="shared" si="2"/>
        <v>0.40500000000000003</v>
      </c>
      <c r="H49" s="66">
        <v>0</v>
      </c>
      <c r="I49" s="66">
        <f t="shared" si="9"/>
        <v>0.40500000000000003</v>
      </c>
      <c r="J49" s="65">
        <f ca="1">bsd(1,3,$F49,$F49,$N49-TODAY(),$I49,$O49,Y49/2)</f>
        <v>1.2302464237311641</v>
      </c>
      <c r="K49" s="66">
        <v>0</v>
      </c>
      <c r="L49" s="66" t="e">
        <f>#REF!+K49</f>
        <v>#REF!</v>
      </c>
      <c r="M49" s="55">
        <f t="shared" si="3"/>
        <v>19</v>
      </c>
      <c r="N49" s="67">
        <f t="shared" si="4"/>
        <v>37830</v>
      </c>
      <c r="O49" s="57">
        <f t="shared" si="5"/>
        <v>3.0346320792436401E-2</v>
      </c>
      <c r="P49" s="196">
        <f>IF(P$30="nymex",expiry!H81+1,B49)</f>
        <v>37834</v>
      </c>
      <c r="Q49" s="278" t="e">
        <f ca="1">_xll.OSTRIP(F49,F49,P49-TODAY(),B49-P49,B50-P49-1,1,O49,I49,L49,1,0,1,0)</f>
        <v>#REF!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si="7"/>
        <v>20</v>
      </c>
      <c r="B50" s="64">
        <v>37865</v>
      </c>
      <c r="C50" s="53">
        <f>[4]!'NGQ3,PRIM ACT 1,1'</f>
        <v>3.15</v>
      </c>
      <c r="D50" s="53">
        <f t="shared" si="1"/>
        <v>3.2290000000000001</v>
      </c>
      <c r="E50" s="159">
        <f t="shared" si="14"/>
        <v>3.6583333333333634E-2</v>
      </c>
      <c r="F50" s="65">
        <f t="shared" si="8"/>
        <v>3.2290000000000001</v>
      </c>
      <c r="G50" s="66">
        <f t="shared" si="2"/>
        <v>0.4</v>
      </c>
      <c r="H50" s="66">
        <v>0</v>
      </c>
      <c r="I50" s="66">
        <f t="shared" si="9"/>
        <v>0.4</v>
      </c>
      <c r="J50" s="65">
        <f ca="1">bsd(1,3,$F50,$F50,$N50-TODAY(),$I50,$O50,Y50/2)</f>
        <v>1.2416714464218108</v>
      </c>
      <c r="K50" s="66">
        <v>0</v>
      </c>
      <c r="L50" s="66" t="e">
        <f>#REF!+K50</f>
        <v>#REF!</v>
      </c>
      <c r="M50" s="55">
        <f t="shared" si="3"/>
        <v>20</v>
      </c>
      <c r="N50" s="67">
        <f t="shared" si="4"/>
        <v>37859</v>
      </c>
      <c r="O50" s="57">
        <f t="shared" si="5"/>
        <v>3.1172188637070199E-2</v>
      </c>
      <c r="P50" s="196">
        <f>IF(P$30="nymex",expiry!H82+1,B50)</f>
        <v>37865</v>
      </c>
      <c r="Q50" s="278" t="e">
        <f ca="1">_xll.OSTRIP(F50,F50,P50-TODAY(),B50-P50,B51-P50-1,1,O50,I50,L50,1,0,1,0)</f>
        <v>#REF!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si="7"/>
        <v>21</v>
      </c>
      <c r="B51" s="64">
        <v>37895</v>
      </c>
      <c r="C51" s="53">
        <f>[4]!'NGU3,PRIM ACT 1,1'</f>
        <v>3.2</v>
      </c>
      <c r="D51" s="53">
        <f t="shared" si="1"/>
        <v>3.2669999999999999</v>
      </c>
      <c r="E51" s="159">
        <f t="shared" si="14"/>
        <v>3.6583333333333634E-2</v>
      </c>
      <c r="F51" s="65">
        <f t="shared" si="8"/>
        <v>3.2669999999999999</v>
      </c>
      <c r="G51" s="66">
        <f t="shared" si="2"/>
        <v>0.4</v>
      </c>
      <c r="H51" s="66">
        <v>0</v>
      </c>
      <c r="I51" s="66">
        <f t="shared" si="9"/>
        <v>0.4</v>
      </c>
      <c r="J51" s="65">
        <f t="shared" ca="1" si="13"/>
        <v>1.2816127742012213</v>
      </c>
      <c r="K51" s="66">
        <v>0</v>
      </c>
      <c r="L51" s="66" t="e">
        <f>#REF!+K51</f>
        <v>#REF!</v>
      </c>
      <c r="M51" s="55">
        <f t="shared" si="3"/>
        <v>21</v>
      </c>
      <c r="N51" s="67">
        <f t="shared" si="4"/>
        <v>37889</v>
      </c>
      <c r="O51" s="57">
        <f t="shared" si="5"/>
        <v>3.1942240182241101E-2</v>
      </c>
      <c r="P51" s="196">
        <f>IF(P$30="nymex",expiry!H83+1,B51)</f>
        <v>37895</v>
      </c>
      <c r="Q51" s="278" t="e">
        <f ca="1">_xll.OSTRIP(F51,F51,P51-TODAY(),B51-P51,B52-P51-1,1,O51,I51,L51,1,0,1,0)</f>
        <v>#REF!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si="7"/>
        <v>22</v>
      </c>
      <c r="B52" s="64">
        <v>37926</v>
      </c>
      <c r="C52" s="53">
        <f>[4]!'NGV3,PRIM ACT 1,1'</f>
        <v>3.2010000000000001</v>
      </c>
      <c r="D52" s="53">
        <f t="shared" si="1"/>
        <v>3.4119999999999999</v>
      </c>
      <c r="E52" s="159">
        <f t="shared" si="14"/>
        <v>3.6583333333333634E-2</v>
      </c>
      <c r="F52" s="65">
        <f t="shared" si="8"/>
        <v>3.4119999999999999</v>
      </c>
      <c r="G52" s="66">
        <f t="shared" si="2"/>
        <v>0.39800000000000002</v>
      </c>
      <c r="H52" s="66">
        <v>0</v>
      </c>
      <c r="I52" s="66">
        <f t="shared" si="9"/>
        <v>0.39800000000000002</v>
      </c>
      <c r="J52" s="65">
        <f t="shared" ca="1" si="13"/>
        <v>1.3597716954103669</v>
      </c>
      <c r="K52" s="66">
        <v>0</v>
      </c>
      <c r="L52" s="66" t="e">
        <f>#REF!+K52</f>
        <v>#REF!</v>
      </c>
      <c r="M52" s="55">
        <f t="shared" si="3"/>
        <v>22</v>
      </c>
      <c r="N52" s="67">
        <f t="shared" si="4"/>
        <v>37922</v>
      </c>
      <c r="O52" s="57">
        <f t="shared" si="5"/>
        <v>3.2701454698897098E-2</v>
      </c>
      <c r="P52" s="196">
        <f>IF(P$30="nymex",expiry!H84+1,B52)</f>
        <v>37926</v>
      </c>
      <c r="Q52" s="278" t="e">
        <f ca="1">_xll.OSTRIP(F52,F52,P52-TODAY(),B52-P52,B53-P52-1,1,O52,I52,L52,1,0,1,0)</f>
        <v>#REF!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si="7"/>
        <v>23</v>
      </c>
      <c r="B53" s="64">
        <v>37956</v>
      </c>
      <c r="C53" s="53">
        <f>[4]!'NGX3,PRIM ACT 1,1'</f>
        <v>3.3410000000000002</v>
      </c>
      <c r="D53" s="53">
        <f t="shared" si="1"/>
        <v>3.5510000000000002</v>
      </c>
      <c r="E53" s="159">
        <f t="shared" si="14"/>
        <v>3.6583333333333634E-2</v>
      </c>
      <c r="F53" s="65">
        <f t="shared" si="8"/>
        <v>3.5510000000000002</v>
      </c>
      <c r="G53" s="66">
        <f t="shared" si="2"/>
        <v>0.39800000000000002</v>
      </c>
      <c r="H53" s="66">
        <v>0</v>
      </c>
      <c r="I53" s="66">
        <f t="shared" si="9"/>
        <v>0.39800000000000002</v>
      </c>
      <c r="J53" s="65">
        <f ca="1">bsd(1,3,$F53,$F53,$N53-TODAY(),$I53,$O53,Y53/2)</f>
        <v>1.4375132654440803</v>
      </c>
      <c r="K53" s="66">
        <v>0</v>
      </c>
      <c r="L53" s="66" t="e">
        <f>#REF!+K53</f>
        <v>#REF!</v>
      </c>
      <c r="M53" s="55">
        <f t="shared" si="3"/>
        <v>23</v>
      </c>
      <c r="N53" s="67">
        <f t="shared" si="4"/>
        <v>37949</v>
      </c>
      <c r="O53" s="57">
        <f t="shared" si="5"/>
        <v>3.3436178609494799E-2</v>
      </c>
      <c r="P53" s="196">
        <f>IF(P$30="nymex",expiry!H85+1,B53)</f>
        <v>37956</v>
      </c>
      <c r="Q53" s="278" t="e">
        <f ca="1">_xll.OSTRIP(F53,F53,P53-TODAY(),B53-P53,B54-P53-1,1,O53,I53,L53,1,0,1,0)</f>
        <v>#REF!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si="7"/>
        <v>24</v>
      </c>
      <c r="B54" s="64">
        <v>37987</v>
      </c>
      <c r="C54" s="53">
        <f>[4]!'NGZ3,PRIM ACT 1,1'</f>
        <v>3.46</v>
      </c>
      <c r="D54" s="53">
        <f t="shared" si="1"/>
        <v>3.57</v>
      </c>
      <c r="E54" s="159">
        <f t="shared" si="14"/>
        <v>3.6583333333333634E-2</v>
      </c>
      <c r="F54" s="65">
        <f t="shared" si="8"/>
        <v>3.57</v>
      </c>
      <c r="G54" s="66">
        <f t="shared" si="2"/>
        <v>0.37</v>
      </c>
      <c r="H54" s="66">
        <v>0</v>
      </c>
      <c r="I54" s="66">
        <f t="shared" si="9"/>
        <v>0.37</v>
      </c>
      <c r="J54" s="65">
        <f t="shared" ca="1" si="13"/>
        <v>1.3686724062674385</v>
      </c>
      <c r="K54" s="66">
        <v>0</v>
      </c>
      <c r="L54" s="66" t="e">
        <f>#REF!+K54</f>
        <v>#REF!</v>
      </c>
      <c r="M54" s="55">
        <f t="shared" si="3"/>
        <v>24</v>
      </c>
      <c r="N54" s="67">
        <f t="shared" si="4"/>
        <v>37981</v>
      </c>
      <c r="O54" s="57">
        <f t="shared" si="5"/>
        <v>3.4638956672782897E-2</v>
      </c>
      <c r="P54" s="196">
        <f>IF(P$30="nymex",expiry!H86+1,B54)</f>
        <v>37987</v>
      </c>
      <c r="Q54" s="278" t="e">
        <f ca="1">_xll.OSTRIP(F54,F54,P54-TODAY(),B54-P54,B55-P54-1,1,O54,I54,L54,1,0,1,0)</f>
        <v>#REF!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si="7"/>
        <v>25</v>
      </c>
      <c r="B55" s="64">
        <v>38018</v>
      </c>
      <c r="C55" s="53">
        <f>[4]!'NGF4,PRIM ACT 1,1'</f>
        <v>3.51</v>
      </c>
      <c r="D55" s="53">
        <f t="shared" si="1"/>
        <v>3.4849999999999999</v>
      </c>
      <c r="E55" s="159">
        <f t="shared" ref="E55:E66" si="15">N$9</f>
        <v>0.11733333333333329</v>
      </c>
      <c r="F55" s="65">
        <f t="shared" si="8"/>
        <v>3.4849999999999999</v>
      </c>
      <c r="G55" s="66">
        <f t="shared" si="2"/>
        <v>0.36499999999999999</v>
      </c>
      <c r="H55" s="66">
        <v>0</v>
      </c>
      <c r="I55" s="66">
        <f t="shared" si="9"/>
        <v>0.36499999999999999</v>
      </c>
      <c r="J55" s="65">
        <f t="shared" ca="1" si="13"/>
        <v>1.3402945501093022</v>
      </c>
      <c r="K55" s="66">
        <v>0</v>
      </c>
      <c r="L55" s="66" t="e">
        <f>#REF!+K55</f>
        <v>#REF!</v>
      </c>
      <c r="M55" s="55">
        <f t="shared" si="3"/>
        <v>25</v>
      </c>
      <c r="N55" s="67">
        <f t="shared" si="4"/>
        <v>38013</v>
      </c>
      <c r="O55" s="57">
        <f t="shared" si="5"/>
        <v>3.5468569142181203E-2</v>
      </c>
      <c r="P55" s="196">
        <f>IF(P$30="nymex",expiry!H87+1,B55)</f>
        <v>38018</v>
      </c>
      <c r="Q55" s="278" t="e">
        <f ca="1">_xll.OSTRIP(F55,F55,P55-TODAY(),B55-P55,B56-P55-1,1,O55,I55,L55,1,0,1,0)</f>
        <v>#REF!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si="7"/>
        <v>26</v>
      </c>
      <c r="B56" s="64">
        <v>38047</v>
      </c>
      <c r="C56" s="53">
        <f>[4]!'NGG4,PRIM ACT 1,1'</f>
        <v>3.48</v>
      </c>
      <c r="D56" s="53">
        <f t="shared" si="1"/>
        <v>3.355</v>
      </c>
      <c r="E56" s="159">
        <f t="shared" si="15"/>
        <v>0.11733333333333329</v>
      </c>
      <c r="F56" s="65">
        <f t="shared" si="8"/>
        <v>3.355</v>
      </c>
      <c r="G56" s="66">
        <f t="shared" si="2"/>
        <v>0.35</v>
      </c>
      <c r="H56" s="66">
        <v>0</v>
      </c>
      <c r="I56" s="66">
        <f t="shared" si="9"/>
        <v>0.35</v>
      </c>
      <c r="J56" s="65">
        <f t="shared" ca="1" si="13"/>
        <v>1.2551860294057544</v>
      </c>
      <c r="K56" s="66">
        <v>0</v>
      </c>
      <c r="L56" s="66" t="e">
        <f>#REF!+K56</f>
        <v>#REF!</v>
      </c>
      <c r="M56" s="55">
        <f t="shared" si="3"/>
        <v>26</v>
      </c>
      <c r="N56" s="67">
        <f t="shared" si="4"/>
        <v>38041</v>
      </c>
      <c r="O56" s="57">
        <f t="shared" si="5"/>
        <v>3.6244658435981701E-2</v>
      </c>
      <c r="P56" s="196">
        <f>IF(P$30="nymex",expiry!H88+1,B56)</f>
        <v>38047</v>
      </c>
      <c r="Q56" s="278" t="e">
        <f ca="1">_xll.OSTRIP(F56,F56,P56-TODAY(),B56-P56,B57-P56-1,1,O56,I56,L56,1,0,1,0)</f>
        <v>#REF!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si="7"/>
        <v>27</v>
      </c>
      <c r="B57" s="64">
        <f t="shared" ref="B57:B88" si="16">DATE(YEAR(B56),MONTH(B56)+1,1)</f>
        <v>38078</v>
      </c>
      <c r="C57" s="53">
        <f>[4]!'NGH4,PRIM ACT 1,1'</f>
        <v>3.35</v>
      </c>
      <c r="D57" s="53">
        <f t="shared" si="1"/>
        <v>3.17</v>
      </c>
      <c r="E57" s="159">
        <f t="shared" si="15"/>
        <v>0.11733333333333329</v>
      </c>
      <c r="F57" s="65">
        <f t="shared" si="8"/>
        <v>3.17</v>
      </c>
      <c r="G57" s="66">
        <f t="shared" si="2"/>
        <v>0.32</v>
      </c>
      <c r="H57" s="66">
        <v>0</v>
      </c>
      <c r="I57" s="66">
        <f t="shared" si="9"/>
        <v>0.32</v>
      </c>
      <c r="J57" s="65">
        <f t="shared" ca="1" si="13"/>
        <v>1.1018634121523574</v>
      </c>
      <c r="K57" s="66">
        <v>0</v>
      </c>
      <c r="L57" s="66" t="e">
        <f>#REF!+K57</f>
        <v>#REF!</v>
      </c>
      <c r="M57" s="55">
        <f t="shared" si="3"/>
        <v>27</v>
      </c>
      <c r="N57" s="67">
        <f t="shared" si="4"/>
        <v>38072</v>
      </c>
      <c r="O57" s="57">
        <f t="shared" si="5"/>
        <v>3.7021069033523098E-2</v>
      </c>
      <c r="P57" s="196">
        <f>IF(P$30="nymex",expiry!H89+1,B57)</f>
        <v>38078</v>
      </c>
      <c r="Q57" s="278" t="e">
        <f ca="1">_xll.OSTRIP(F57,F57,P57-TODAY(),B57-P57,B58-P57-1,1,O57,I57,L57,1,0,1,0)</f>
        <v>#REF!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si="7"/>
        <v>28</v>
      </c>
      <c r="B58" s="64">
        <f t="shared" si="16"/>
        <v>38108</v>
      </c>
      <c r="C58" s="53">
        <f>[4]!'NGJ4,PRIM ACT 1,1'</f>
        <v>3.165</v>
      </c>
      <c r="D58" s="53">
        <f t="shared" si="1"/>
        <v>3.165</v>
      </c>
      <c r="E58" s="159">
        <f t="shared" si="15"/>
        <v>0.11733333333333329</v>
      </c>
      <c r="F58" s="65">
        <f t="shared" si="8"/>
        <v>3.165</v>
      </c>
      <c r="G58" s="66">
        <f t="shared" si="2"/>
        <v>0.315</v>
      </c>
      <c r="H58" s="66">
        <v>0</v>
      </c>
      <c r="I58" s="66">
        <f t="shared" si="9"/>
        <v>0.315</v>
      </c>
      <c r="J58" s="65">
        <f t="shared" ca="1" si="13"/>
        <v>1.0986188936551278</v>
      </c>
      <c r="K58" s="66">
        <v>0</v>
      </c>
      <c r="L58" s="66" t="e">
        <f>#REF!+K58</f>
        <v>#REF!</v>
      </c>
      <c r="M58" s="55">
        <f t="shared" si="3"/>
        <v>28</v>
      </c>
      <c r="N58" s="67">
        <f t="shared" si="4"/>
        <v>38104</v>
      </c>
      <c r="O58" s="57">
        <f t="shared" si="5"/>
        <v>3.7717515784331003E-2</v>
      </c>
      <c r="P58" s="196">
        <f>IF(P$30="nymex",expiry!H90+1,B58)</f>
        <v>38108</v>
      </c>
      <c r="Q58" s="278" t="e">
        <f ca="1">_xll.OSTRIP(F58,F58,P58-TODAY(),B58-P58,B59-P58-1,1,O58,I58,L58,1,0,1,0)</f>
        <v>#REF!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si="7"/>
        <v>29</v>
      </c>
      <c r="B59" s="64">
        <f t="shared" si="16"/>
        <v>38139</v>
      </c>
      <c r="C59" s="53">
        <f>[4]!'NGK4,PRIM ACT 1,1'</f>
        <v>3.165</v>
      </c>
      <c r="D59" s="53">
        <f t="shared" si="1"/>
        <v>3.2</v>
      </c>
      <c r="E59" s="159">
        <f t="shared" si="15"/>
        <v>0.11733333333333329</v>
      </c>
      <c r="F59" s="65">
        <f t="shared" si="8"/>
        <v>3.2</v>
      </c>
      <c r="G59" s="66">
        <f t="shared" si="2"/>
        <v>0.315</v>
      </c>
      <c r="H59" s="66">
        <v>0</v>
      </c>
      <c r="I59" s="66">
        <f t="shared" si="9"/>
        <v>0.315</v>
      </c>
      <c r="J59" s="65">
        <f t="shared" ca="1" si="13"/>
        <v>1.1234700528853834</v>
      </c>
      <c r="K59" s="66">
        <v>0</v>
      </c>
      <c r="L59" s="66" t="e">
        <f>#REF!+K59</f>
        <v>#REF!</v>
      </c>
      <c r="M59" s="55">
        <f t="shared" si="3"/>
        <v>29</v>
      </c>
      <c r="N59" s="67">
        <f t="shared" si="4"/>
        <v>38132</v>
      </c>
      <c r="O59" s="57">
        <f t="shared" si="5"/>
        <v>3.8437177597991E-2</v>
      </c>
      <c r="P59" s="196">
        <f>IF(P$30="nymex",expiry!H91+1,B59)</f>
        <v>38139</v>
      </c>
      <c r="Q59" s="278" t="e">
        <f ca="1">_xll.OSTRIP(F59,F59,P59-TODAY(),B59-P59,B60-P59-1,1,O59,I59,L59,1,0,1,0)</f>
        <v>#REF!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si="7"/>
        <v>30</v>
      </c>
      <c r="B60" s="64">
        <f t="shared" si="16"/>
        <v>38169</v>
      </c>
      <c r="C60" s="53">
        <f>[4]!'NGM4,PRIM ACT 1,1'</f>
        <v>3.2</v>
      </c>
      <c r="D60" s="53">
        <f t="shared" si="1"/>
        <v>3.24</v>
      </c>
      <c r="E60" s="159">
        <f t="shared" si="15"/>
        <v>0.11733333333333329</v>
      </c>
      <c r="F60" s="65">
        <f t="shared" si="8"/>
        <v>3.24</v>
      </c>
      <c r="G60" s="66">
        <f t="shared" si="2"/>
        <v>0.315</v>
      </c>
      <c r="H60" s="66">
        <v>0</v>
      </c>
      <c r="I60" s="66">
        <f t="shared" si="9"/>
        <v>0.315</v>
      </c>
      <c r="J60" s="65">
        <f t="shared" ca="1" si="13"/>
        <v>1.1514730056169311</v>
      </c>
      <c r="K60" s="66">
        <v>0</v>
      </c>
      <c r="L60" s="66" t="e">
        <f>#REF!+K60</f>
        <v>#REF!</v>
      </c>
      <c r="M60" s="55">
        <f t="shared" si="3"/>
        <v>30</v>
      </c>
      <c r="N60" s="67">
        <f t="shared" si="4"/>
        <v>38163</v>
      </c>
      <c r="O60" s="57">
        <f t="shared" si="5"/>
        <v>3.9098228026385802E-2</v>
      </c>
      <c r="P60" s="196">
        <f>IF(P$30="nymex",expiry!H92+1,B60)</f>
        <v>38169</v>
      </c>
      <c r="Q60" s="278" t="e">
        <f ca="1">_xll.OSTRIP(F60,F60,P60-TODAY(),B60-P60,B61-P60-1,1,O60,I60,L60,1,0,1,0)</f>
        <v>#REF!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si="7"/>
        <v>31</v>
      </c>
      <c r="B61" s="64">
        <f t="shared" si="16"/>
        <v>38200</v>
      </c>
      <c r="C61" s="53">
        <f>[4]!'NGN4,PRIM ACT 1,1'</f>
        <v>3.24</v>
      </c>
      <c r="D61" s="53">
        <f t="shared" si="1"/>
        <v>3.28</v>
      </c>
      <c r="E61" s="159">
        <f t="shared" si="15"/>
        <v>0.11733333333333329</v>
      </c>
      <c r="F61" s="65">
        <f t="shared" si="8"/>
        <v>3.28</v>
      </c>
      <c r="G61" s="66">
        <f t="shared" si="2"/>
        <v>0.315</v>
      </c>
      <c r="H61" s="66">
        <v>0</v>
      </c>
      <c r="I61" s="66">
        <f t="shared" si="9"/>
        <v>0.315</v>
      </c>
      <c r="J61" s="65">
        <f t="shared" ca="1" si="13"/>
        <v>1.1797072194711182</v>
      </c>
      <c r="K61" s="66">
        <v>0</v>
      </c>
      <c r="L61" s="66" t="e">
        <f>#REF!+K61</f>
        <v>#REF!</v>
      </c>
      <c r="M61" s="55">
        <f t="shared" si="3"/>
        <v>31</v>
      </c>
      <c r="N61" s="67">
        <f t="shared" si="4"/>
        <v>38195</v>
      </c>
      <c r="O61" s="57">
        <f t="shared" si="5"/>
        <v>3.9742489332663701E-2</v>
      </c>
      <c r="P61" s="196">
        <f>IF(P$30="nymex",expiry!H93+1,B61)</f>
        <v>38200</v>
      </c>
      <c r="Q61" s="278" t="e">
        <f ca="1">_xll.OSTRIP(F61,F61,P61-TODAY(),B61-P61,B62-P61-1,1,O61,I61,L61,1,0,1,0)</f>
        <v>#REF!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si="7"/>
        <v>32</v>
      </c>
      <c r="B62" s="64">
        <f t="shared" si="16"/>
        <v>38231</v>
      </c>
      <c r="C62" s="53">
        <f>[4]!'NGQ4,PRIM ACT 1,1'</f>
        <v>3.28</v>
      </c>
      <c r="D62" s="53">
        <f t="shared" si="1"/>
        <v>3.2749999999999999</v>
      </c>
      <c r="E62" s="159">
        <f t="shared" si="15"/>
        <v>0.11733333333333329</v>
      </c>
      <c r="F62" s="65">
        <f t="shared" si="8"/>
        <v>3.2749999999999999</v>
      </c>
      <c r="G62" s="66">
        <f t="shared" si="2"/>
        <v>0.315</v>
      </c>
      <c r="H62" s="66">
        <v>0</v>
      </c>
      <c r="I62" s="66">
        <f t="shared" si="9"/>
        <v>0.315</v>
      </c>
      <c r="J62" s="54"/>
      <c r="K62" s="66">
        <v>0</v>
      </c>
      <c r="L62" s="66" t="e">
        <f>#REF!+K62</f>
        <v>#REF!</v>
      </c>
      <c r="M62" s="55">
        <f t="shared" si="3"/>
        <v>32</v>
      </c>
      <c r="N62" s="67">
        <f t="shared" si="4"/>
        <v>38225</v>
      </c>
      <c r="O62" s="57">
        <f t="shared" si="5"/>
        <v>4.0386750778223797E-2</v>
      </c>
      <c r="P62" s="196">
        <f>IF(P$30="nymex",expiry!H94+1,B62)</f>
        <v>38231</v>
      </c>
      <c r="Q62" s="278" t="e">
        <f ca="1">_xll.OSTRIP(F62,F62,P62-TODAY(),B62-P62,B63-P62-1,1,O62,I62,L62,1,0,1,0)</f>
        <v>#REF!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si="7"/>
        <v>33</v>
      </c>
      <c r="B63" s="64">
        <f t="shared" si="16"/>
        <v>38261</v>
      </c>
      <c r="C63" s="53">
        <f>[4]!'NGU4,PRIM ACT 1,1'</f>
        <v>3.22</v>
      </c>
      <c r="D63" s="53">
        <f t="shared" si="1"/>
        <v>3.3</v>
      </c>
      <c r="E63" s="159">
        <f t="shared" si="15"/>
        <v>0.11733333333333329</v>
      </c>
      <c r="F63" s="65">
        <f t="shared" si="8"/>
        <v>3.3</v>
      </c>
      <c r="G63" s="66">
        <f t="shared" si="2"/>
        <v>0.315</v>
      </c>
      <c r="H63" s="66">
        <v>0</v>
      </c>
      <c r="I63" s="66">
        <f t="shared" si="9"/>
        <v>0.315</v>
      </c>
      <c r="J63" s="54"/>
      <c r="K63" s="66">
        <v>0</v>
      </c>
      <c r="L63" s="66" t="e">
        <f>#REF!+K63</f>
        <v>#REF!</v>
      </c>
      <c r="M63" s="55">
        <f t="shared" ref="M63:M94" si="17">A63</f>
        <v>33</v>
      </c>
      <c r="N63" s="67">
        <f t="shared" ref="N63:N94" si="18">VLOOKUP(B63,expiration,3,FALSE)</f>
        <v>38257</v>
      </c>
      <c r="O63" s="57">
        <f t="shared" si="5"/>
        <v>4.0975446534947203E-2</v>
      </c>
      <c r="P63" s="196">
        <f>IF(P$30="nymex",expiry!H95+1,B63)</f>
        <v>38261</v>
      </c>
      <c r="Q63" s="278" t="e">
        <f ca="1">_xll.OSTRIP(F63,F63,P63-TODAY(),B63-P63,B64-P63-1,1,O63,I63,L63,1,0,1,0)</f>
        <v>#REF!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si="7"/>
        <v>34</v>
      </c>
      <c r="B64" s="64">
        <f t="shared" si="16"/>
        <v>38292</v>
      </c>
      <c r="C64" s="53">
        <f>[4]!'NGV4,PRIM ACT 1,1'</f>
        <v>3.2879999999999998</v>
      </c>
      <c r="D64" s="53">
        <f t="shared" si="1"/>
        <v>3.452</v>
      </c>
      <c r="E64" s="159">
        <f t="shared" si="15"/>
        <v>0.11733333333333329</v>
      </c>
      <c r="F64" s="65">
        <f t="shared" si="8"/>
        <v>3.452</v>
      </c>
      <c r="G64" s="66">
        <f t="shared" si="2"/>
        <v>0.315</v>
      </c>
      <c r="H64" s="66">
        <v>0</v>
      </c>
      <c r="I64" s="66">
        <f t="shared" si="9"/>
        <v>0.315</v>
      </c>
      <c r="J64" s="54"/>
      <c r="K64" s="66">
        <v>0</v>
      </c>
      <c r="L64" s="66" t="e">
        <f>#REF!+K64</f>
        <v>#REF!</v>
      </c>
      <c r="M64" s="55">
        <f t="shared" si="17"/>
        <v>34</v>
      </c>
      <c r="N64" s="67">
        <f t="shared" si="18"/>
        <v>38286</v>
      </c>
      <c r="O64" s="57">
        <f t="shared" si="5"/>
        <v>4.1550342233317203E-2</v>
      </c>
      <c r="Q64" s="264" t="e">
        <f ca="1">_xll.OSTRIP(F64,F64,B64-TODAY(),0,(B65-1)-B64,1,O64,I64,L64,1,0,1,0)</f>
        <v>#REF!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si="7"/>
        <v>35</v>
      </c>
      <c r="B65" s="64">
        <f t="shared" si="16"/>
        <v>38322</v>
      </c>
      <c r="C65" s="53">
        <f>[4]!'NGX4,PRIM ACT 1,1'</f>
        <v>3.4</v>
      </c>
      <c r="D65" s="53">
        <f t="shared" si="1"/>
        <v>3.5950000000000002</v>
      </c>
      <c r="E65" s="159">
        <f t="shared" si="15"/>
        <v>0.11733333333333329</v>
      </c>
      <c r="F65" s="65">
        <f t="shared" si="8"/>
        <v>3.5950000000000002</v>
      </c>
      <c r="G65" s="66">
        <f t="shared" si="2"/>
        <v>0.315</v>
      </c>
      <c r="H65" s="66">
        <v>0</v>
      </c>
      <c r="I65" s="66">
        <f t="shared" si="9"/>
        <v>0.315</v>
      </c>
      <c r="J65" s="54"/>
      <c r="K65" s="66">
        <v>0</v>
      </c>
      <c r="L65" s="66" t="e">
        <f>#REF!+K65</f>
        <v>#REF!</v>
      </c>
      <c r="M65" s="55">
        <f t="shared" si="17"/>
        <v>35</v>
      </c>
      <c r="N65" s="67">
        <f t="shared" si="18"/>
        <v>38315</v>
      </c>
      <c r="O65" s="57">
        <f t="shared" si="5"/>
        <v>4.2106693014662501E-2</v>
      </c>
      <c r="Q65" s="264" t="e">
        <f ca="1">_xll.OSTRIP(F65,F65,B65-TODAY(),0,(B66-1)-B65,1,O65,I65,L65,1,0,1,0)</f>
        <v>#REF!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si="7"/>
        <v>36</v>
      </c>
      <c r="B66" s="64">
        <f t="shared" si="16"/>
        <v>38353</v>
      </c>
      <c r="C66" s="53" t="str">
        <f>[4]!'NGz4,PRIM ACT 1,1'</f>
        <v>#N/A N/A</v>
      </c>
      <c r="D66" s="53">
        <f t="shared" si="1"/>
        <v>3.6549999999999998</v>
      </c>
      <c r="E66" s="159">
        <f t="shared" si="15"/>
        <v>0.11733333333333329</v>
      </c>
      <c r="F66" s="65">
        <f t="shared" si="8"/>
        <v>3.6549999999999998</v>
      </c>
      <c r="G66" s="66">
        <f t="shared" si="2"/>
        <v>0.315</v>
      </c>
      <c r="H66" s="66">
        <v>0</v>
      </c>
      <c r="I66" s="66">
        <f t="shared" si="9"/>
        <v>0.315</v>
      </c>
      <c r="J66" s="54"/>
      <c r="K66" s="66">
        <v>0</v>
      </c>
      <c r="L66" s="66" t="e">
        <f>#REF!+K66</f>
        <v>#REF!</v>
      </c>
      <c r="M66" s="55">
        <f t="shared" si="17"/>
        <v>36</v>
      </c>
      <c r="N66" s="67">
        <f t="shared" si="18"/>
        <v>38348</v>
      </c>
      <c r="O66" s="57">
        <f t="shared" si="5"/>
        <v>4.26576899474638E-2</v>
      </c>
      <c r="Q66" s="264" t="e">
        <f ca="1">_xll.OSTRIP(F66,F66,B66-TODAY(),0,(B67-1)-B66,1,O66,I66,L66,1,0,1,0)</f>
        <v>#REF!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si="7"/>
        <v>37</v>
      </c>
      <c r="B67" s="64">
        <f t="shared" si="16"/>
        <v>38384</v>
      </c>
      <c r="C67" s="53"/>
      <c r="D67" s="53">
        <f t="shared" si="1"/>
        <v>3.57</v>
      </c>
      <c r="E67" s="159">
        <f t="shared" ref="E67:E98" si="19">N$10</f>
        <v>0.13275000000000059</v>
      </c>
      <c r="F67" s="65">
        <f t="shared" si="8"/>
        <v>3.57</v>
      </c>
      <c r="G67" s="66">
        <f t="shared" si="2"/>
        <v>0.3125</v>
      </c>
      <c r="H67" s="66">
        <v>0</v>
      </c>
      <c r="I67" s="66">
        <f t="shared" si="9"/>
        <v>0.3125</v>
      </c>
      <c r="J67" s="54"/>
      <c r="K67" s="66">
        <v>0</v>
      </c>
      <c r="L67" s="66" t="e">
        <f>#REF!+K67</f>
        <v>#REF!</v>
      </c>
      <c r="M67" s="55">
        <f t="shared" si="17"/>
        <v>37</v>
      </c>
      <c r="N67" s="67">
        <f t="shared" si="18"/>
        <v>38378</v>
      </c>
      <c r="O67" s="57">
        <f t="shared" si="5"/>
        <v>4.3189005462617398E-2</v>
      </c>
      <c r="Q67" s="264" t="e">
        <f ca="1">_xll.OSTRIP(F67,F67,B67-TODAY(),0,(B68-1)-B67,1,O67,I67,L67,1,0,1,0)</f>
        <v>#REF!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">
      <c r="A68" s="53">
        <f t="shared" si="7"/>
        <v>38</v>
      </c>
      <c r="B68" s="64">
        <f t="shared" si="16"/>
        <v>38412</v>
      </c>
      <c r="C68" s="53"/>
      <c r="D68" s="53">
        <f t="shared" si="1"/>
        <v>3.44</v>
      </c>
      <c r="E68" s="159">
        <f t="shared" si="19"/>
        <v>0.13275000000000059</v>
      </c>
      <c r="F68" s="65">
        <f t="shared" si="8"/>
        <v>3.44</v>
      </c>
      <c r="G68" s="66">
        <f t="shared" si="2"/>
        <v>0.30249999999999999</v>
      </c>
      <c r="H68" s="66">
        <v>0</v>
      </c>
      <c r="I68" s="66">
        <f t="shared" si="9"/>
        <v>0.30249999999999999</v>
      </c>
      <c r="J68" s="54"/>
      <c r="K68" s="66">
        <v>0</v>
      </c>
      <c r="L68" s="66" t="e">
        <f>#REF!+K68</f>
        <v>#REF!</v>
      </c>
      <c r="M68" s="55">
        <f t="shared" si="17"/>
        <v>38</v>
      </c>
      <c r="N68" s="67">
        <f t="shared" si="18"/>
        <v>38406</v>
      </c>
      <c r="O68" s="57">
        <f t="shared" si="5"/>
        <v>4.3668903428556699E-2</v>
      </c>
      <c r="Q68" s="264" t="e">
        <f ca="1">_xll.OSTRIP(F68,F68,B68-TODAY(),0,(B69-1)-B68,1,O68,I68,L68,1,0,1,0)</f>
        <v>#REF!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">
      <c r="A69" s="53">
        <f t="shared" si="7"/>
        <v>39</v>
      </c>
      <c r="B69" s="64">
        <f t="shared" si="16"/>
        <v>38443</v>
      </c>
      <c r="C69" s="53"/>
      <c r="D69" s="53">
        <f t="shared" si="1"/>
        <v>3.2549999999999999</v>
      </c>
      <c r="E69" s="159">
        <f t="shared" si="19"/>
        <v>0.13275000000000059</v>
      </c>
      <c r="F69" s="65">
        <f t="shared" si="8"/>
        <v>3.2549999999999999</v>
      </c>
      <c r="G69" s="66">
        <f t="shared" si="2"/>
        <v>0.29249999999999998</v>
      </c>
      <c r="H69" s="66">
        <v>0</v>
      </c>
      <c r="I69" s="66">
        <f t="shared" si="9"/>
        <v>0.29249999999999998</v>
      </c>
      <c r="J69" s="54"/>
      <c r="K69" s="66">
        <v>0</v>
      </c>
      <c r="L69" s="66" t="e">
        <f>#REF!+K69</f>
        <v>#REF!</v>
      </c>
      <c r="M69" s="55">
        <f t="shared" si="17"/>
        <v>39</v>
      </c>
      <c r="N69" s="67">
        <f t="shared" si="18"/>
        <v>38439</v>
      </c>
      <c r="O69" s="57">
        <f t="shared" si="5"/>
        <v>4.4162985915453798E-2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">
      <c r="A70" s="53">
        <f t="shared" si="7"/>
        <v>40</v>
      </c>
      <c r="B70" s="64">
        <f t="shared" si="16"/>
        <v>38473</v>
      </c>
      <c r="C70" s="53"/>
      <c r="D70" s="53">
        <f t="shared" si="1"/>
        <v>3.25</v>
      </c>
      <c r="E70" s="159">
        <f t="shared" si="19"/>
        <v>0.13275000000000059</v>
      </c>
      <c r="F70" s="65">
        <f t="shared" si="8"/>
        <v>3.25</v>
      </c>
      <c r="G70" s="66">
        <f t="shared" si="2"/>
        <v>0.28499999999999998</v>
      </c>
      <c r="H70" s="66">
        <v>0</v>
      </c>
      <c r="I70" s="66">
        <f t="shared" si="9"/>
        <v>0.28499999999999998</v>
      </c>
      <c r="J70" s="54"/>
      <c r="K70" s="66">
        <v>0</v>
      </c>
      <c r="L70" s="66" t="e">
        <f>#REF!+K70</f>
        <v>#REF!</v>
      </c>
      <c r="M70" s="55">
        <f t="shared" si="17"/>
        <v>40</v>
      </c>
      <c r="N70" s="67">
        <f t="shared" si="18"/>
        <v>38468</v>
      </c>
      <c r="O70" s="57">
        <f t="shared" si="5"/>
        <v>4.4608713967775299E-2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">
      <c r="A71" s="53">
        <f t="shared" si="7"/>
        <v>41</v>
      </c>
      <c r="B71" s="64">
        <f t="shared" si="16"/>
        <v>38504</v>
      </c>
      <c r="C71" s="53"/>
      <c r="D71" s="53">
        <f t="shared" si="1"/>
        <v>3.2850000000000001</v>
      </c>
      <c r="E71" s="159">
        <f t="shared" si="19"/>
        <v>0.13275000000000059</v>
      </c>
      <c r="F71" s="65">
        <f t="shared" si="8"/>
        <v>3.2850000000000001</v>
      </c>
      <c r="G71" s="66">
        <f t="shared" si="2"/>
        <v>0.28499999999999998</v>
      </c>
      <c r="H71" s="66">
        <v>0</v>
      </c>
      <c r="I71" s="66">
        <f t="shared" si="9"/>
        <v>0.28499999999999998</v>
      </c>
      <c r="J71" s="54"/>
      <c r="K71" s="66">
        <v>0</v>
      </c>
      <c r="L71" s="66" t="e">
        <f>#REF!+K71</f>
        <v>#REF!</v>
      </c>
      <c r="M71" s="55">
        <f t="shared" si="17"/>
        <v>41</v>
      </c>
      <c r="N71" s="67">
        <f t="shared" si="18"/>
        <v>38497</v>
      </c>
      <c r="O71" s="57">
        <f t="shared" si="5"/>
        <v>4.5069299691712597E-2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">
      <c r="A72" s="53">
        <f t="shared" si="7"/>
        <v>42</v>
      </c>
      <c r="B72" s="64">
        <f t="shared" si="16"/>
        <v>38534</v>
      </c>
      <c r="C72" s="53"/>
      <c r="D72" s="53">
        <f t="shared" si="1"/>
        <v>3.3250000000000002</v>
      </c>
      <c r="E72" s="159">
        <f t="shared" si="19"/>
        <v>0.13275000000000059</v>
      </c>
      <c r="F72" s="65">
        <f t="shared" si="8"/>
        <v>3.3250000000000002</v>
      </c>
      <c r="G72" s="66">
        <f t="shared" si="2"/>
        <v>0.28000000000000003</v>
      </c>
      <c r="H72" s="66">
        <v>0</v>
      </c>
      <c r="I72" s="66">
        <f t="shared" si="9"/>
        <v>0.28000000000000003</v>
      </c>
      <c r="J72" s="54"/>
      <c r="K72" s="66">
        <v>0</v>
      </c>
      <c r="L72" s="66" t="e">
        <f>#REF!+K72</f>
        <v>#REF!</v>
      </c>
      <c r="M72" s="55">
        <f t="shared" si="17"/>
        <v>42</v>
      </c>
      <c r="N72" s="67">
        <f t="shared" si="18"/>
        <v>38530</v>
      </c>
      <c r="O72" s="57">
        <f t="shared" si="5"/>
        <v>4.54931128840683E-2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">
      <c r="A73" s="53">
        <f t="shared" si="7"/>
        <v>43</v>
      </c>
      <c r="B73" s="64">
        <f t="shared" si="16"/>
        <v>38565</v>
      </c>
      <c r="C73" s="53"/>
      <c r="D73" s="53">
        <f t="shared" si="1"/>
        <v>3.3650000000000002</v>
      </c>
      <c r="E73" s="159">
        <f t="shared" si="19"/>
        <v>0.13275000000000059</v>
      </c>
      <c r="F73" s="65">
        <f t="shared" si="8"/>
        <v>3.3650000000000002</v>
      </c>
      <c r="G73" s="66">
        <f t="shared" si="2"/>
        <v>0.28000000000000003</v>
      </c>
      <c r="H73" s="66">
        <v>0</v>
      </c>
      <c r="I73" s="66">
        <f t="shared" si="9"/>
        <v>0.28000000000000003</v>
      </c>
      <c r="J73" s="54"/>
      <c r="K73" s="66">
        <v>0</v>
      </c>
      <c r="L73" s="66" t="e">
        <f>#REF!+K73</f>
        <v>#REF!</v>
      </c>
      <c r="M73" s="55">
        <f t="shared" si="17"/>
        <v>43</v>
      </c>
      <c r="N73" s="67">
        <f t="shared" si="18"/>
        <v>38559</v>
      </c>
      <c r="O73" s="57">
        <f t="shared" si="5"/>
        <v>4.5909969215756997E-2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">
      <c r="A74" s="53">
        <f t="shared" si="7"/>
        <v>44</v>
      </c>
      <c r="B74" s="64">
        <f t="shared" si="16"/>
        <v>38596</v>
      </c>
      <c r="C74" s="53"/>
      <c r="D74" s="53">
        <f t="shared" si="1"/>
        <v>3.36</v>
      </c>
      <c r="E74" s="159">
        <f t="shared" si="19"/>
        <v>0.13275000000000059</v>
      </c>
      <c r="F74" s="65">
        <f t="shared" si="8"/>
        <v>3.36</v>
      </c>
      <c r="G74" s="66">
        <f t="shared" si="2"/>
        <v>0.28000000000000003</v>
      </c>
      <c r="H74" s="66">
        <v>0</v>
      </c>
      <c r="I74" s="66">
        <f t="shared" si="9"/>
        <v>0.28000000000000003</v>
      </c>
      <c r="J74" s="54"/>
      <c r="K74" s="66">
        <v>0</v>
      </c>
      <c r="L74" s="66" t="e">
        <f>#REF!+K74</f>
        <v>#REF!</v>
      </c>
      <c r="M74" s="55">
        <f t="shared" si="17"/>
        <v>44</v>
      </c>
      <c r="N74" s="67">
        <f t="shared" si="18"/>
        <v>38590</v>
      </c>
      <c r="O74" s="57">
        <f t="shared" si="5"/>
        <v>4.6326825605579998E-2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">
      <c r="A75" s="53">
        <f t="shared" si="7"/>
        <v>45</v>
      </c>
      <c r="B75" s="64">
        <f t="shared" si="16"/>
        <v>38626</v>
      </c>
      <c r="C75" s="53"/>
      <c r="D75" s="53">
        <f t="shared" si="1"/>
        <v>3.3849999999999998</v>
      </c>
      <c r="E75" s="159">
        <f t="shared" si="19"/>
        <v>0.13275000000000059</v>
      </c>
      <c r="F75" s="65">
        <f t="shared" si="8"/>
        <v>3.3849999999999998</v>
      </c>
      <c r="G75" s="66">
        <f t="shared" si="2"/>
        <v>0.28000000000000003</v>
      </c>
      <c r="H75" s="66">
        <v>0</v>
      </c>
      <c r="I75" s="66">
        <f t="shared" si="9"/>
        <v>0.28000000000000003</v>
      </c>
      <c r="J75" s="54"/>
      <c r="K75" s="66">
        <v>0</v>
      </c>
      <c r="L75" s="66" t="e">
        <f>#REF!+K75</f>
        <v>#REF!</v>
      </c>
      <c r="M75" s="55">
        <f t="shared" si="17"/>
        <v>45</v>
      </c>
      <c r="N75" s="67">
        <f t="shared" si="18"/>
        <v>38622</v>
      </c>
      <c r="O75" s="57">
        <f t="shared" si="5"/>
        <v>4.6716549265346498E-2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">
      <c r="A76" s="53">
        <f t="shared" si="7"/>
        <v>46</v>
      </c>
      <c r="B76" s="64">
        <f t="shared" si="16"/>
        <v>38657</v>
      </c>
      <c r="C76" s="53"/>
      <c r="D76" s="53">
        <f t="shared" si="1"/>
        <v>3.5369999999999999</v>
      </c>
      <c r="E76" s="159">
        <f t="shared" si="19"/>
        <v>0.13275000000000059</v>
      </c>
      <c r="F76" s="65">
        <f t="shared" si="8"/>
        <v>3.5369999999999999</v>
      </c>
      <c r="G76" s="66">
        <f t="shared" si="2"/>
        <v>0.28000000000000003</v>
      </c>
      <c r="H76" s="66">
        <v>0</v>
      </c>
      <c r="I76" s="66">
        <f t="shared" si="9"/>
        <v>0.28000000000000003</v>
      </c>
      <c r="J76" s="54"/>
      <c r="K76" s="66">
        <v>0</v>
      </c>
      <c r="L76" s="66" t="e">
        <f>#REF!+K76</f>
        <v>#REF!</v>
      </c>
      <c r="M76" s="55">
        <f t="shared" si="17"/>
        <v>46</v>
      </c>
      <c r="N76" s="67">
        <f t="shared" si="18"/>
        <v>38651</v>
      </c>
      <c r="O76" s="57">
        <f t="shared" si="5"/>
        <v>4.70928800068173E-2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">
      <c r="A77" s="53">
        <f t="shared" si="7"/>
        <v>47</v>
      </c>
      <c r="B77" s="64">
        <f t="shared" si="16"/>
        <v>38687</v>
      </c>
      <c r="C77" s="53"/>
      <c r="D77" s="53">
        <f t="shared" si="1"/>
        <v>3.68</v>
      </c>
      <c r="E77" s="159">
        <f t="shared" si="19"/>
        <v>0.13275000000000059</v>
      </c>
      <c r="F77" s="65">
        <f t="shared" si="8"/>
        <v>3.68</v>
      </c>
      <c r="G77" s="66">
        <f t="shared" si="2"/>
        <v>0.28000000000000003</v>
      </c>
      <c r="H77" s="66">
        <v>0</v>
      </c>
      <c r="I77" s="66">
        <f t="shared" si="9"/>
        <v>0.28000000000000003</v>
      </c>
      <c r="J77" s="54"/>
      <c r="K77" s="66">
        <v>0</v>
      </c>
      <c r="L77" s="66" t="e">
        <f>#REF!+K77</f>
        <v>#REF!</v>
      </c>
      <c r="M77" s="55">
        <f t="shared" si="17"/>
        <v>47</v>
      </c>
      <c r="N77" s="67">
        <f t="shared" si="18"/>
        <v>38681</v>
      </c>
      <c r="O77" s="57">
        <f t="shared" si="5"/>
        <v>4.7457071092037201E-2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">
      <c r="A78" s="53">
        <f t="shared" si="7"/>
        <v>48</v>
      </c>
      <c r="B78" s="64">
        <f t="shared" si="16"/>
        <v>38718</v>
      </c>
      <c r="C78"/>
      <c r="D78" s="53">
        <f t="shared" si="1"/>
        <v>3.7349999999999999</v>
      </c>
      <c r="E78" s="159">
        <f t="shared" si="19"/>
        <v>0.13275000000000059</v>
      </c>
      <c r="F78" s="65">
        <f t="shared" si="8"/>
        <v>3.7349999999999999</v>
      </c>
      <c r="G78" s="66">
        <f t="shared" si="2"/>
        <v>0.28499999999999998</v>
      </c>
      <c r="H78" s="66">
        <v>0</v>
      </c>
      <c r="I78" s="66">
        <f t="shared" si="9"/>
        <v>0.28499999999999998</v>
      </c>
      <c r="J78" s="54"/>
      <c r="K78" s="66">
        <v>0</v>
      </c>
      <c r="L78" s="66" t="e">
        <f>#REF!+K78</f>
        <v>#REF!</v>
      </c>
      <c r="M78" s="55">
        <f t="shared" si="17"/>
        <v>48</v>
      </c>
      <c r="N78" s="67">
        <f t="shared" si="18"/>
        <v>38713</v>
      </c>
      <c r="O78" s="57">
        <f t="shared" si="5"/>
        <v>4.7810067825002203E-2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si="7"/>
        <v>49</v>
      </c>
      <c r="B79" s="64">
        <f t="shared" si="16"/>
        <v>38749</v>
      </c>
      <c r="C79"/>
      <c r="D79" s="53">
        <f t="shared" si="1"/>
        <v>3.65</v>
      </c>
      <c r="E79" s="159">
        <f t="shared" si="19"/>
        <v>0.13275000000000059</v>
      </c>
      <c r="F79" s="65">
        <f t="shared" si="8"/>
        <v>3.65</v>
      </c>
      <c r="G79" s="66">
        <f t="shared" si="2"/>
        <v>0.28000000000000003</v>
      </c>
      <c r="H79" s="66">
        <v>0</v>
      </c>
      <c r="I79" s="66">
        <f t="shared" si="9"/>
        <v>0.28000000000000003</v>
      </c>
      <c r="J79" s="54"/>
      <c r="K79" s="66">
        <v>0</v>
      </c>
      <c r="L79" s="66" t="e">
        <f>#REF!+K79</f>
        <v>#REF!</v>
      </c>
      <c r="M79" s="55">
        <f t="shared" si="17"/>
        <v>49</v>
      </c>
      <c r="N79" s="67">
        <f t="shared" si="18"/>
        <v>38743</v>
      </c>
      <c r="O79" s="57">
        <f t="shared" si="5"/>
        <v>4.8120638955663403E-2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si="7"/>
        <v>50</v>
      </c>
      <c r="B80" s="64">
        <f t="shared" si="16"/>
        <v>38777</v>
      </c>
      <c r="C80"/>
      <c r="D80" s="53">
        <f t="shared" si="1"/>
        <v>3.52</v>
      </c>
      <c r="E80" s="159">
        <f t="shared" si="19"/>
        <v>0.13275000000000059</v>
      </c>
      <c r="F80" s="65">
        <f t="shared" si="8"/>
        <v>3.52</v>
      </c>
      <c r="G80" s="66">
        <f t="shared" si="2"/>
        <v>0.27</v>
      </c>
      <c r="H80" s="66">
        <v>0</v>
      </c>
      <c r="I80" s="66">
        <f t="shared" si="9"/>
        <v>0.27</v>
      </c>
      <c r="J80" s="54"/>
      <c r="K80" s="66">
        <v>0</v>
      </c>
      <c r="L80" s="66" t="e">
        <f>#REF!+K80</f>
        <v>#REF!</v>
      </c>
      <c r="M80" s="55">
        <f t="shared" si="17"/>
        <v>50</v>
      </c>
      <c r="N80" s="67">
        <f t="shared" si="18"/>
        <v>38771</v>
      </c>
      <c r="O80" s="57">
        <f t="shared" si="5"/>
        <v>4.84011548433219E-2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si="7"/>
        <v>51</v>
      </c>
      <c r="B81" s="64">
        <f t="shared" si="16"/>
        <v>38808</v>
      </c>
      <c r="C81"/>
      <c r="D81" s="53">
        <f t="shared" si="1"/>
        <v>3.335</v>
      </c>
      <c r="E81" s="159">
        <f t="shared" si="19"/>
        <v>0.13275000000000059</v>
      </c>
      <c r="F81" s="65">
        <f t="shared" si="8"/>
        <v>3.335</v>
      </c>
      <c r="G81" s="66">
        <f t="shared" si="2"/>
        <v>0.25</v>
      </c>
      <c r="H81" s="66">
        <v>0</v>
      </c>
      <c r="I81" s="66">
        <f t="shared" si="9"/>
        <v>0.25</v>
      </c>
      <c r="J81" s="54"/>
      <c r="K81" s="66">
        <v>0</v>
      </c>
      <c r="L81" s="66" t="e">
        <f>#REF!+K81</f>
        <v>#REF!</v>
      </c>
      <c r="M81" s="55">
        <f t="shared" si="17"/>
        <v>51</v>
      </c>
      <c r="N81" s="67">
        <f t="shared" si="18"/>
        <v>38804</v>
      </c>
      <c r="O81" s="57">
        <f t="shared" si="5"/>
        <v>4.8711726035327398E-2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si="7"/>
        <v>52</v>
      </c>
      <c r="B82" s="64">
        <f t="shared" si="16"/>
        <v>38838</v>
      </c>
      <c r="C82"/>
      <c r="D82" s="53">
        <f t="shared" si="1"/>
        <v>3.33</v>
      </c>
      <c r="E82" s="159">
        <f t="shared" si="19"/>
        <v>0.13275000000000059</v>
      </c>
      <c r="F82" s="65">
        <f t="shared" si="8"/>
        <v>3.33</v>
      </c>
      <c r="G82" s="66">
        <f t="shared" si="2"/>
        <v>0.245</v>
      </c>
      <c r="H82" s="66">
        <v>0</v>
      </c>
      <c r="I82" s="66">
        <f t="shared" si="9"/>
        <v>0.245</v>
      </c>
      <c r="J82" s="54"/>
      <c r="K82" s="66">
        <v>0</v>
      </c>
      <c r="L82" s="66" t="e">
        <f>#REF!+K82</f>
        <v>#REF!</v>
      </c>
      <c r="M82" s="55">
        <f t="shared" si="17"/>
        <v>52</v>
      </c>
      <c r="N82" s="67">
        <f t="shared" si="18"/>
        <v>38832</v>
      </c>
      <c r="O82" s="57">
        <f t="shared" si="5"/>
        <v>4.9012278832467601E-2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si="7"/>
        <v>53</v>
      </c>
      <c r="B83" s="64">
        <f t="shared" si="16"/>
        <v>38869</v>
      </c>
      <c r="C83"/>
      <c r="D83" s="53">
        <f t="shared" si="1"/>
        <v>3.3650000000000002</v>
      </c>
      <c r="E83" s="159">
        <f t="shared" si="19"/>
        <v>0.13275000000000059</v>
      </c>
      <c r="F83" s="65">
        <f t="shared" si="8"/>
        <v>3.3650000000000002</v>
      </c>
      <c r="G83" s="66">
        <f t="shared" si="2"/>
        <v>0.2475</v>
      </c>
      <c r="H83" s="66">
        <v>0</v>
      </c>
      <c r="I83" s="66">
        <f t="shared" si="9"/>
        <v>0.2475</v>
      </c>
      <c r="J83" s="54"/>
      <c r="K83" s="66">
        <v>0</v>
      </c>
      <c r="L83" s="66" t="e">
        <f>#REF!+K83</f>
        <v>#REF!</v>
      </c>
      <c r="M83" s="55">
        <f t="shared" si="17"/>
        <v>53</v>
      </c>
      <c r="N83" s="67">
        <f t="shared" si="18"/>
        <v>38862</v>
      </c>
      <c r="O83" s="57">
        <f t="shared" si="5"/>
        <v>4.9322850087879302E-2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si="7"/>
        <v>54</v>
      </c>
      <c r="B84" s="64">
        <f t="shared" si="16"/>
        <v>38899</v>
      </c>
      <c r="C84"/>
      <c r="D84" s="53">
        <f t="shared" si="1"/>
        <v>3.4049999999999998</v>
      </c>
      <c r="E84" s="159">
        <f t="shared" si="19"/>
        <v>0.13275000000000059</v>
      </c>
      <c r="F84" s="65">
        <f t="shared" si="8"/>
        <v>3.4049999999999998</v>
      </c>
      <c r="G84" s="66">
        <f t="shared" si="2"/>
        <v>0.2475</v>
      </c>
      <c r="H84" s="66">
        <v>0</v>
      </c>
      <c r="I84" s="66">
        <f t="shared" si="9"/>
        <v>0.2475</v>
      </c>
      <c r="J84" s="54"/>
      <c r="K84" s="66">
        <v>0</v>
      </c>
      <c r="L84" s="66" t="e">
        <f>#REF!+K84</f>
        <v>#REF!</v>
      </c>
      <c r="M84" s="55">
        <f t="shared" si="17"/>
        <v>54</v>
      </c>
      <c r="N84" s="67">
        <f t="shared" si="18"/>
        <v>38895</v>
      </c>
      <c r="O84" s="57">
        <f t="shared" si="5"/>
        <v>4.962340294637E-2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si="7"/>
        <v>55</v>
      </c>
      <c r="B85" s="64">
        <f t="shared" si="16"/>
        <v>38930</v>
      </c>
      <c r="C85"/>
      <c r="D85" s="53">
        <f t="shared" si="1"/>
        <v>3.4449999999999998</v>
      </c>
      <c r="E85" s="159">
        <f t="shared" si="19"/>
        <v>0.13275000000000059</v>
      </c>
      <c r="F85" s="65">
        <f t="shared" si="8"/>
        <v>3.4449999999999998</v>
      </c>
      <c r="G85" s="66">
        <f t="shared" si="2"/>
        <v>0.2475</v>
      </c>
      <c r="H85" s="66">
        <v>0</v>
      </c>
      <c r="I85" s="66">
        <f t="shared" si="9"/>
        <v>0.2475</v>
      </c>
      <c r="J85" s="54"/>
      <c r="K85" s="66">
        <v>0</v>
      </c>
      <c r="L85" s="66" t="e">
        <f>#REF!+K85</f>
        <v>#REF!</v>
      </c>
      <c r="M85" s="55">
        <f t="shared" si="17"/>
        <v>55</v>
      </c>
      <c r="N85" s="67">
        <f t="shared" si="18"/>
        <v>38924</v>
      </c>
      <c r="O85" s="57">
        <f t="shared" si="5"/>
        <v>4.9933974265168303E-2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si="7"/>
        <v>56</v>
      </c>
      <c r="B86" s="64">
        <f t="shared" si="16"/>
        <v>38961</v>
      </c>
      <c r="C86"/>
      <c r="D86" s="53">
        <f t="shared" si="1"/>
        <v>3.44</v>
      </c>
      <c r="E86" s="159">
        <f t="shared" si="19"/>
        <v>0.13275000000000059</v>
      </c>
      <c r="F86" s="65">
        <f t="shared" si="8"/>
        <v>3.44</v>
      </c>
      <c r="G86" s="66">
        <f t="shared" si="2"/>
        <v>0.2475</v>
      </c>
      <c r="H86" s="66">
        <v>0</v>
      </c>
      <c r="I86" s="66">
        <f t="shared" si="9"/>
        <v>0.2475</v>
      </c>
      <c r="J86" s="54"/>
      <c r="K86" s="66">
        <v>0</v>
      </c>
      <c r="L86" s="66" t="e">
        <f>#REF!+K86</f>
        <v>#REF!</v>
      </c>
      <c r="M86" s="55">
        <f t="shared" si="17"/>
        <v>56</v>
      </c>
      <c r="N86" s="67">
        <f t="shared" si="18"/>
        <v>38957</v>
      </c>
      <c r="O86" s="57">
        <f t="shared" si="5"/>
        <v>5.0244545616172399E-2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si="7"/>
        <v>57</v>
      </c>
      <c r="B87" s="64">
        <f t="shared" si="16"/>
        <v>38991</v>
      </c>
      <c r="C87"/>
      <c r="D87" s="53">
        <f t="shared" si="1"/>
        <v>3.4649999999999999</v>
      </c>
      <c r="E87" s="159">
        <f t="shared" si="19"/>
        <v>0.13275000000000059</v>
      </c>
      <c r="F87" s="65">
        <f t="shared" si="8"/>
        <v>3.4649999999999999</v>
      </c>
      <c r="G87" s="66">
        <f t="shared" si="2"/>
        <v>0.2475</v>
      </c>
      <c r="H87" s="66">
        <v>0</v>
      </c>
      <c r="I87" s="66">
        <f t="shared" si="9"/>
        <v>0.2475</v>
      </c>
      <c r="J87" s="54"/>
      <c r="K87" s="66">
        <v>0</v>
      </c>
      <c r="L87" s="66" t="e">
        <f>#REF!+K87</f>
        <v>#REF!</v>
      </c>
      <c r="M87" s="55">
        <f t="shared" si="17"/>
        <v>57</v>
      </c>
      <c r="N87" s="67">
        <f t="shared" si="18"/>
        <v>38986</v>
      </c>
      <c r="O87" s="57">
        <f t="shared" si="5"/>
        <v>5.0545098567158497E-2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si="7"/>
        <v>58</v>
      </c>
      <c r="B88" s="64">
        <f t="shared" si="16"/>
        <v>39022</v>
      </c>
      <c r="C88"/>
      <c r="D88" s="53">
        <f t="shared" si="1"/>
        <v>3.617</v>
      </c>
      <c r="E88" s="159">
        <f t="shared" si="19"/>
        <v>0.13275000000000059</v>
      </c>
      <c r="F88" s="65">
        <f t="shared" si="8"/>
        <v>3.617</v>
      </c>
      <c r="G88" s="66">
        <f t="shared" si="2"/>
        <v>0.2475</v>
      </c>
      <c r="H88" s="66">
        <v>0</v>
      </c>
      <c r="I88" s="66">
        <f t="shared" si="9"/>
        <v>0.2475</v>
      </c>
      <c r="J88" s="54"/>
      <c r="K88" s="66">
        <v>0</v>
      </c>
      <c r="L88" s="66" t="e">
        <f>#REF!+K88</f>
        <v>#REF!</v>
      </c>
      <c r="M88" s="55">
        <f t="shared" si="17"/>
        <v>58</v>
      </c>
      <c r="N88" s="67">
        <f t="shared" si="18"/>
        <v>39016</v>
      </c>
      <c r="O88" s="57">
        <f t="shared" si="5"/>
        <v>5.0855669981520801E-2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si="7"/>
        <v>59</v>
      </c>
      <c r="B89" s="64">
        <f t="shared" ref="B89:B120" si="20">DATE(YEAR(B88),MONTH(B88)+1,1)</f>
        <v>39052</v>
      </c>
      <c r="C89"/>
      <c r="D89" s="53">
        <f t="shared" si="1"/>
        <v>3.76</v>
      </c>
      <c r="E89" s="159">
        <f t="shared" si="19"/>
        <v>0.13275000000000059</v>
      </c>
      <c r="F89" s="65">
        <f t="shared" si="8"/>
        <v>3.76</v>
      </c>
      <c r="G89" s="66">
        <f t="shared" si="2"/>
        <v>0.2475</v>
      </c>
      <c r="H89" s="66">
        <v>0</v>
      </c>
      <c r="I89" s="66">
        <f t="shared" si="9"/>
        <v>0.2475</v>
      </c>
      <c r="J89" s="54"/>
      <c r="K89" s="66">
        <v>0</v>
      </c>
      <c r="L89" s="66" t="e">
        <f>#REF!+K89</f>
        <v>#REF!</v>
      </c>
      <c r="M89" s="55">
        <f t="shared" si="17"/>
        <v>59</v>
      </c>
      <c r="N89" s="67">
        <f t="shared" si="18"/>
        <v>39048</v>
      </c>
      <c r="O89" s="57">
        <f t="shared" si="5"/>
        <v>5.1156222993812103E-2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si="7"/>
        <v>60</v>
      </c>
      <c r="B90" s="64">
        <f t="shared" si="20"/>
        <v>39083</v>
      </c>
      <c r="C90"/>
      <c r="D90" s="53">
        <f t="shared" si="1"/>
        <v>3.8125</v>
      </c>
      <c r="E90" s="159">
        <f t="shared" si="19"/>
        <v>0.13275000000000059</v>
      </c>
      <c r="F90" s="65">
        <f t="shared" si="8"/>
        <v>3.8125</v>
      </c>
      <c r="G90" s="66">
        <f t="shared" si="2"/>
        <v>0.2475</v>
      </c>
      <c r="H90" s="66">
        <v>0</v>
      </c>
      <c r="I90" s="66">
        <f t="shared" si="9"/>
        <v>0.2475</v>
      </c>
      <c r="J90" s="54"/>
      <c r="K90" s="66">
        <v>0</v>
      </c>
      <c r="L90" s="66" t="e">
        <f>#REF!+K90</f>
        <v>#REF!</v>
      </c>
      <c r="M90" s="55">
        <f t="shared" si="17"/>
        <v>60</v>
      </c>
      <c r="N90" s="67">
        <f t="shared" si="18"/>
        <v>39077</v>
      </c>
      <c r="O90" s="57">
        <f t="shared" si="5"/>
        <v>5.1391857633718001E-2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si="7"/>
        <v>61</v>
      </c>
      <c r="B91" s="64">
        <f t="shared" si="20"/>
        <v>39114</v>
      </c>
      <c r="C91"/>
      <c r="D91" s="53">
        <f t="shared" si="1"/>
        <v>3.7275</v>
      </c>
      <c r="E91" s="159">
        <f t="shared" si="19"/>
        <v>0.13275000000000059</v>
      </c>
      <c r="F91" s="65">
        <f t="shared" si="8"/>
        <v>3.7275</v>
      </c>
      <c r="G91" s="66">
        <f t="shared" si="2"/>
        <v>0.24249999999999999</v>
      </c>
      <c r="H91" s="66">
        <v>0</v>
      </c>
      <c r="I91" s="66">
        <f t="shared" si="9"/>
        <v>0.24249999999999999</v>
      </c>
      <c r="J91" s="54"/>
      <c r="K91" s="66">
        <v>0</v>
      </c>
      <c r="L91" s="66" t="e">
        <f>#REF!+K91</f>
        <v>#REF!</v>
      </c>
      <c r="M91" s="55">
        <f t="shared" si="17"/>
        <v>61</v>
      </c>
      <c r="N91" s="67">
        <f t="shared" si="18"/>
        <v>39108</v>
      </c>
      <c r="O91" s="57">
        <f t="shared" si="5"/>
        <v>5.1573371239542101E-2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si="7"/>
        <v>62</v>
      </c>
      <c r="B92" s="64">
        <f t="shared" si="20"/>
        <v>39142</v>
      </c>
      <c r="C92"/>
      <c r="D92" s="53">
        <f t="shared" si="1"/>
        <v>3.5975000000000001</v>
      </c>
      <c r="E92" s="159">
        <f t="shared" si="19"/>
        <v>0.13275000000000059</v>
      </c>
      <c r="F92" s="65">
        <f t="shared" si="8"/>
        <v>3.5975000000000001</v>
      </c>
      <c r="G92" s="66">
        <f t="shared" si="2"/>
        <v>0.24</v>
      </c>
      <c r="H92" s="66">
        <v>0</v>
      </c>
      <c r="I92" s="66">
        <f t="shared" si="9"/>
        <v>0.24</v>
      </c>
      <c r="J92" s="54"/>
      <c r="K92" s="66">
        <v>0</v>
      </c>
      <c r="L92" s="66" t="e">
        <f>#REF!+K92</f>
        <v>#REF!</v>
      </c>
      <c r="M92" s="55">
        <f t="shared" si="17"/>
        <v>62</v>
      </c>
      <c r="N92" s="67">
        <f t="shared" si="18"/>
        <v>39136</v>
      </c>
      <c r="O92" s="57">
        <f t="shared" si="5"/>
        <v>5.17373190219916E-2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si="7"/>
        <v>63</v>
      </c>
      <c r="B93" s="64">
        <f t="shared" si="20"/>
        <v>39173</v>
      </c>
      <c r="C93"/>
      <c r="D93" s="53">
        <f t="shared" si="1"/>
        <v>3.4125000000000001</v>
      </c>
      <c r="E93" s="159">
        <f t="shared" si="19"/>
        <v>0.13275000000000059</v>
      </c>
      <c r="F93" s="65">
        <f t="shared" si="8"/>
        <v>3.4125000000000001</v>
      </c>
      <c r="G93" s="66">
        <f t="shared" si="2"/>
        <v>0.24</v>
      </c>
      <c r="H93" s="66">
        <v>0</v>
      </c>
      <c r="I93" s="66">
        <f t="shared" si="9"/>
        <v>0.24</v>
      </c>
      <c r="J93" s="54"/>
      <c r="K93" s="66">
        <v>0</v>
      </c>
      <c r="L93" s="66" t="e">
        <f>#REF!+K93</f>
        <v>#REF!</v>
      </c>
      <c r="M93" s="55">
        <f t="shared" si="17"/>
        <v>63</v>
      </c>
      <c r="N93" s="67">
        <f t="shared" si="18"/>
        <v>39168</v>
      </c>
      <c r="O93" s="57">
        <f t="shared" si="5"/>
        <v>5.1918832648734502E-2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si="7"/>
        <v>64</v>
      </c>
      <c r="B94" s="64">
        <f t="shared" si="20"/>
        <v>39203</v>
      </c>
      <c r="C94"/>
      <c r="D94" s="53">
        <f t="shared" si="1"/>
        <v>3.4075000000000002</v>
      </c>
      <c r="E94" s="159">
        <f t="shared" si="19"/>
        <v>0.13275000000000059</v>
      </c>
      <c r="F94" s="65">
        <f t="shared" si="8"/>
        <v>3.4075000000000002</v>
      </c>
      <c r="G94" s="66">
        <f t="shared" si="2"/>
        <v>0.24</v>
      </c>
      <c r="H94" s="66">
        <v>0</v>
      </c>
      <c r="I94" s="66">
        <f t="shared" si="9"/>
        <v>0.24</v>
      </c>
      <c r="J94" s="54"/>
      <c r="K94" s="66">
        <v>0</v>
      </c>
      <c r="L94" s="66" t="e">
        <f>#REF!+K94</f>
        <v>#REF!</v>
      </c>
      <c r="M94" s="55">
        <f t="shared" si="17"/>
        <v>64</v>
      </c>
      <c r="N94" s="67">
        <f t="shared" si="18"/>
        <v>39197</v>
      </c>
      <c r="O94" s="57">
        <f t="shared" si="5"/>
        <v>5.2094491007659699E-2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si="7"/>
        <v>65</v>
      </c>
      <c r="B95" s="64">
        <f t="shared" si="20"/>
        <v>39234</v>
      </c>
      <c r="C95"/>
      <c r="D95" s="53">
        <f t="shared" ref="D95:D150" si="21">VLOOKUP($B95,curvesettle,2,FALSE)</f>
        <v>3.4424999999999999</v>
      </c>
      <c r="E95" s="159">
        <f t="shared" si="19"/>
        <v>0.13275000000000059</v>
      </c>
      <c r="F95" s="65">
        <f t="shared" si="8"/>
        <v>3.4424999999999999</v>
      </c>
      <c r="G95" s="66">
        <f t="shared" ref="G95:G150" si="22">VLOOKUP($B95,curvesettle,3,FALSE)</f>
        <v>0.24</v>
      </c>
      <c r="H95" s="66">
        <v>0</v>
      </c>
      <c r="I95" s="66">
        <f t="shared" si="9"/>
        <v>0.24</v>
      </c>
      <c r="J95" s="54"/>
      <c r="K95" s="66">
        <v>0</v>
      </c>
      <c r="L95" s="66" t="e">
        <f>#REF!+K95</f>
        <v>#REF!</v>
      </c>
      <c r="M95" s="55">
        <f t="shared" ref="M95:M126" si="23">A95</f>
        <v>65</v>
      </c>
      <c r="N95" s="67">
        <f t="shared" ref="N95:N126" si="24">VLOOKUP(B95,expiration,3,FALSE)</f>
        <v>39227</v>
      </c>
      <c r="O95" s="57">
        <f t="shared" ref="O95:O150" si="25">VLOOKUP($B95,curvesettle,4,FALSE)</f>
        <v>5.2276004656028399E-2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si="26">A95+1</f>
        <v>66</v>
      </c>
      <c r="B96" s="64">
        <f t="shared" si="20"/>
        <v>39264</v>
      </c>
      <c r="C96"/>
      <c r="D96" s="53">
        <f t="shared" si="21"/>
        <v>3.4824999999999999</v>
      </c>
      <c r="E96" s="159">
        <f t="shared" si="19"/>
        <v>0.13275000000000059</v>
      </c>
      <c r="F96" s="65">
        <f t="shared" ref="F96:F150" si="27">IF(C$1="settle",D96,IF(C$1="EOL",D96+E96,IF(ISNUMBER(C96),C96,D96)))</f>
        <v>3.4824999999999999</v>
      </c>
      <c r="G96" s="66">
        <f t="shared" si="22"/>
        <v>0.24</v>
      </c>
      <c r="H96" s="66">
        <v>0</v>
      </c>
      <c r="I96" s="66">
        <f t="shared" ref="I96:I150" si="28">G96+H96</f>
        <v>0.24</v>
      </c>
      <c r="J96" s="54"/>
      <c r="K96" s="66">
        <v>0</v>
      </c>
      <c r="L96" s="66" t="e">
        <f>#REF!+K96</f>
        <v>#REF!</v>
      </c>
      <c r="M96" s="55">
        <f t="shared" si="23"/>
        <v>66</v>
      </c>
      <c r="N96" s="67">
        <f t="shared" si="24"/>
        <v>39259</v>
      </c>
      <c r="O96" s="57">
        <f t="shared" si="25"/>
        <v>5.2451663035879101E-2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si="26"/>
        <v>67</v>
      </c>
      <c r="B97" s="64">
        <f t="shared" si="20"/>
        <v>39295</v>
      </c>
      <c r="C97"/>
      <c r="D97" s="53">
        <f t="shared" si="21"/>
        <v>3.5225</v>
      </c>
      <c r="E97" s="159">
        <f t="shared" si="19"/>
        <v>0.13275000000000059</v>
      </c>
      <c r="F97" s="65">
        <f t="shared" si="27"/>
        <v>3.5225</v>
      </c>
      <c r="G97" s="66">
        <f t="shared" si="22"/>
        <v>0.24</v>
      </c>
      <c r="H97" s="66">
        <v>0</v>
      </c>
      <c r="I97" s="66">
        <f t="shared" si="28"/>
        <v>0.24</v>
      </c>
      <c r="J97" s="54"/>
      <c r="K97" s="66">
        <v>0</v>
      </c>
      <c r="L97" s="66" t="e">
        <f>#REF!+K97</f>
        <v>#REF!</v>
      </c>
      <c r="M97" s="55">
        <f t="shared" si="23"/>
        <v>67</v>
      </c>
      <c r="N97" s="67">
        <f t="shared" si="24"/>
        <v>39289</v>
      </c>
      <c r="O97" s="57">
        <f t="shared" si="25"/>
        <v>5.2633176705868798E-2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si="26"/>
        <v>68</v>
      </c>
      <c r="B98" s="64">
        <f t="shared" si="20"/>
        <v>39326</v>
      </c>
      <c r="C98"/>
      <c r="D98" s="53">
        <f t="shared" si="21"/>
        <v>3.5175000000000001</v>
      </c>
      <c r="E98" s="159">
        <f t="shared" si="19"/>
        <v>0.13275000000000059</v>
      </c>
      <c r="F98" s="65">
        <f t="shared" si="27"/>
        <v>3.5175000000000001</v>
      </c>
      <c r="G98" s="66">
        <f t="shared" si="22"/>
        <v>0.24</v>
      </c>
      <c r="H98" s="66">
        <v>0</v>
      </c>
      <c r="I98" s="66">
        <f t="shared" si="28"/>
        <v>0.24</v>
      </c>
      <c r="J98" s="54"/>
      <c r="K98" s="66">
        <v>0</v>
      </c>
      <c r="L98" s="66" t="e">
        <f>#REF!+K98</f>
        <v>#REF!</v>
      </c>
      <c r="M98" s="55">
        <f t="shared" si="23"/>
        <v>68</v>
      </c>
      <c r="N98" s="67">
        <f t="shared" si="24"/>
        <v>39322</v>
      </c>
      <c r="O98" s="57">
        <f t="shared" si="25"/>
        <v>5.28146903868447E-2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si="26"/>
        <v>69</v>
      </c>
      <c r="B99" s="64">
        <f t="shared" si="20"/>
        <v>39356</v>
      </c>
      <c r="C99"/>
      <c r="D99" s="53">
        <f t="shared" si="21"/>
        <v>3.5425</v>
      </c>
      <c r="E99" s="159">
        <f t="shared" ref="E99:E130" si="29">N$10</f>
        <v>0.13275000000000059</v>
      </c>
      <c r="F99" s="65">
        <f t="shared" si="27"/>
        <v>3.5425</v>
      </c>
      <c r="G99" s="66">
        <f t="shared" si="22"/>
        <v>0.24</v>
      </c>
      <c r="H99" s="66">
        <v>0</v>
      </c>
      <c r="I99" s="66">
        <f t="shared" si="28"/>
        <v>0.24</v>
      </c>
      <c r="J99" s="54"/>
      <c r="K99" s="66">
        <v>0</v>
      </c>
      <c r="L99" s="66" t="e">
        <f>#REF!+K99</f>
        <v>#REF!</v>
      </c>
      <c r="M99" s="55">
        <f t="shared" si="23"/>
        <v>69</v>
      </c>
      <c r="N99" s="67">
        <f t="shared" si="24"/>
        <v>39350</v>
      </c>
      <c r="O99" s="57">
        <f t="shared" si="25"/>
        <v>5.29903487982488E-2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si="26"/>
        <v>70</v>
      </c>
      <c r="B100" s="64">
        <f t="shared" si="20"/>
        <v>39387</v>
      </c>
      <c r="C100"/>
      <c r="D100" s="53">
        <f t="shared" si="21"/>
        <v>3.6945000000000001</v>
      </c>
      <c r="E100" s="159">
        <f t="shared" si="29"/>
        <v>0.13275000000000059</v>
      </c>
      <c r="F100" s="65">
        <f t="shared" si="27"/>
        <v>3.6945000000000001</v>
      </c>
      <c r="G100" s="66">
        <f t="shared" si="22"/>
        <v>0.24</v>
      </c>
      <c r="H100" s="66">
        <v>0</v>
      </c>
      <c r="I100" s="66">
        <f t="shared" si="28"/>
        <v>0.24</v>
      </c>
      <c r="J100" s="54"/>
      <c r="K100" s="66">
        <v>0</v>
      </c>
      <c r="L100" s="66" t="e">
        <f>#REF!+K100</f>
        <v>#REF!</v>
      </c>
      <c r="M100" s="55">
        <f t="shared" si="23"/>
        <v>70</v>
      </c>
      <c r="N100" s="67">
        <f t="shared" si="24"/>
        <v>39381</v>
      </c>
      <c r="O100" s="57">
        <f t="shared" si="25"/>
        <v>5.31718625008408E-2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si="26"/>
        <v>71</v>
      </c>
      <c r="B101" s="64">
        <f t="shared" si="20"/>
        <v>39417</v>
      </c>
      <c r="C101"/>
      <c r="D101" s="53">
        <f t="shared" si="21"/>
        <v>3.8374999999999999</v>
      </c>
      <c r="E101" s="159">
        <f t="shared" si="29"/>
        <v>0.13275000000000059</v>
      </c>
      <c r="F101" s="65">
        <f t="shared" si="27"/>
        <v>3.8374999999999999</v>
      </c>
      <c r="G101" s="66">
        <f t="shared" si="22"/>
        <v>0.24</v>
      </c>
      <c r="H101" s="66">
        <v>0</v>
      </c>
      <c r="I101" s="66">
        <f t="shared" si="28"/>
        <v>0.24</v>
      </c>
      <c r="J101" s="54"/>
      <c r="K101" s="66">
        <v>0</v>
      </c>
      <c r="L101" s="66" t="e">
        <f>#REF!+K101</f>
        <v>#REF!</v>
      </c>
      <c r="M101" s="55">
        <f t="shared" si="23"/>
        <v>71</v>
      </c>
      <c r="N101" s="67">
        <f t="shared" si="24"/>
        <v>39413</v>
      </c>
      <c r="O101" s="57">
        <f t="shared" si="25"/>
        <v>5.3347520933161099E-2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si="26"/>
        <v>72</v>
      </c>
      <c r="B102" s="64">
        <f t="shared" si="20"/>
        <v>39448</v>
      </c>
      <c r="C102"/>
      <c r="D102" s="53">
        <f t="shared" si="21"/>
        <v>3.8875000000000002</v>
      </c>
      <c r="E102" s="159">
        <f t="shared" si="29"/>
        <v>0.13275000000000059</v>
      </c>
      <c r="F102" s="65">
        <f t="shared" si="27"/>
        <v>3.8875000000000002</v>
      </c>
      <c r="G102" s="66">
        <f t="shared" si="22"/>
        <v>0.24</v>
      </c>
      <c r="H102" s="66">
        <v>0</v>
      </c>
      <c r="I102" s="66">
        <f t="shared" si="28"/>
        <v>0.24</v>
      </c>
      <c r="J102" s="54"/>
      <c r="K102" s="66">
        <v>0</v>
      </c>
      <c r="L102" s="66" t="e">
        <f>#REF!+K102</f>
        <v>#REF!</v>
      </c>
      <c r="M102" s="55">
        <f t="shared" si="23"/>
        <v>72</v>
      </c>
      <c r="N102" s="67">
        <f t="shared" si="24"/>
        <v>39442</v>
      </c>
      <c r="O102" s="57">
        <f t="shared" si="25"/>
        <v>5.3529034657364701E-2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si="26"/>
        <v>73</v>
      </c>
      <c r="B103" s="64">
        <f t="shared" si="20"/>
        <v>39479</v>
      </c>
      <c r="C103"/>
      <c r="D103" s="53">
        <f t="shared" si="21"/>
        <v>3.8025000000000002</v>
      </c>
      <c r="E103" s="159">
        <f t="shared" si="29"/>
        <v>0.13275000000000059</v>
      </c>
      <c r="F103" s="65">
        <f t="shared" si="27"/>
        <v>3.8025000000000002</v>
      </c>
      <c r="G103" s="66">
        <f t="shared" si="22"/>
        <v>0.24</v>
      </c>
      <c r="H103" s="66">
        <v>0</v>
      </c>
      <c r="I103" s="66">
        <f t="shared" si="28"/>
        <v>0.24</v>
      </c>
      <c r="J103" s="54"/>
      <c r="K103" s="66">
        <v>0</v>
      </c>
      <c r="L103" s="66" t="e">
        <f>#REF!+K103</f>
        <v>#REF!</v>
      </c>
      <c r="M103" s="55">
        <f t="shared" si="23"/>
        <v>73</v>
      </c>
      <c r="N103" s="67">
        <f t="shared" si="24"/>
        <v>39475</v>
      </c>
      <c r="O103" s="57">
        <f t="shared" si="25"/>
        <v>5.3710548392549698E-2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si="26"/>
        <v>74</v>
      </c>
      <c r="B104" s="64">
        <f t="shared" si="20"/>
        <v>39508</v>
      </c>
      <c r="C104"/>
      <c r="D104" s="53">
        <f t="shared" si="21"/>
        <v>3.6724999999999999</v>
      </c>
      <c r="E104" s="159">
        <f t="shared" si="29"/>
        <v>0.13275000000000059</v>
      </c>
      <c r="F104" s="65">
        <f t="shared" si="27"/>
        <v>3.6724999999999999</v>
      </c>
      <c r="G104" s="66">
        <f t="shared" si="22"/>
        <v>0.23499999999999999</v>
      </c>
      <c r="H104" s="66">
        <v>0</v>
      </c>
      <c r="I104" s="66">
        <f t="shared" si="28"/>
        <v>0.23499999999999999</v>
      </c>
      <c r="J104" s="54"/>
      <c r="K104" s="66">
        <v>0</v>
      </c>
      <c r="L104" s="66" t="e">
        <f>#REF!+K104</f>
        <v>#REF!</v>
      </c>
      <c r="M104" s="55">
        <f t="shared" si="23"/>
        <v>74</v>
      </c>
      <c r="N104" s="67">
        <f t="shared" si="24"/>
        <v>39504</v>
      </c>
      <c r="O104" s="57">
        <f t="shared" si="25"/>
        <v>5.3880351574115498E-2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si="26"/>
        <v>75</v>
      </c>
      <c r="B105" s="64">
        <f t="shared" si="20"/>
        <v>39539</v>
      </c>
      <c r="C105"/>
      <c r="D105" s="53">
        <f t="shared" si="21"/>
        <v>3.4874999999999998</v>
      </c>
      <c r="E105" s="159">
        <f t="shared" si="29"/>
        <v>0.13275000000000059</v>
      </c>
      <c r="F105" s="65">
        <f t="shared" si="27"/>
        <v>3.4874999999999998</v>
      </c>
      <c r="G105" s="66">
        <f t="shared" si="22"/>
        <v>0.23</v>
      </c>
      <c r="H105" s="66">
        <v>0</v>
      </c>
      <c r="I105" s="66">
        <f t="shared" si="28"/>
        <v>0.23</v>
      </c>
      <c r="J105" s="54"/>
      <c r="K105" s="66">
        <v>0</v>
      </c>
      <c r="L105" s="66" t="e">
        <f>#REF!+K105</f>
        <v>#REF!</v>
      </c>
      <c r="M105" s="55">
        <f t="shared" si="23"/>
        <v>75</v>
      </c>
      <c r="N105" s="67">
        <f t="shared" si="24"/>
        <v>39533</v>
      </c>
      <c r="O105" s="57">
        <f t="shared" si="25"/>
        <v>5.4061865330552898E-2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si="26"/>
        <v>76</v>
      </c>
      <c r="B106" s="64">
        <f t="shared" si="20"/>
        <v>39569</v>
      </c>
      <c r="C106"/>
      <c r="D106" s="53">
        <f t="shared" si="21"/>
        <v>3.4824999999999999</v>
      </c>
      <c r="E106" s="159">
        <f t="shared" si="29"/>
        <v>0.13275000000000059</v>
      </c>
      <c r="F106" s="65">
        <f t="shared" si="27"/>
        <v>3.4824999999999999</v>
      </c>
      <c r="G106" s="66">
        <f t="shared" si="22"/>
        <v>0.23</v>
      </c>
      <c r="H106" s="66">
        <v>0</v>
      </c>
      <c r="I106" s="66">
        <f t="shared" si="28"/>
        <v>0.23</v>
      </c>
      <c r="J106" s="54"/>
      <c r="K106" s="66">
        <v>0</v>
      </c>
      <c r="L106" s="66" t="e">
        <f>#REF!+K106</f>
        <v>#REF!</v>
      </c>
      <c r="M106" s="55">
        <f t="shared" si="23"/>
        <v>76</v>
      </c>
      <c r="N106" s="67">
        <f t="shared" si="24"/>
        <v>39563</v>
      </c>
      <c r="O106" s="57">
        <f t="shared" si="25"/>
        <v>5.4237523814977699E-2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si="26"/>
        <v>77</v>
      </c>
      <c r="B107" s="64">
        <f t="shared" si="20"/>
        <v>39600</v>
      </c>
      <c r="C107"/>
      <c r="D107" s="53">
        <f t="shared" si="21"/>
        <v>3.5175000000000001</v>
      </c>
      <c r="E107" s="159">
        <f t="shared" si="29"/>
        <v>0.13275000000000059</v>
      </c>
      <c r="F107" s="65">
        <f t="shared" si="27"/>
        <v>3.5175000000000001</v>
      </c>
      <c r="G107" s="66">
        <f t="shared" si="22"/>
        <v>0.23</v>
      </c>
      <c r="H107" s="66">
        <v>0</v>
      </c>
      <c r="I107" s="66">
        <f t="shared" si="28"/>
        <v>0.23</v>
      </c>
      <c r="J107" s="54"/>
      <c r="K107" s="66">
        <v>0</v>
      </c>
      <c r="L107" s="66" t="e">
        <f>#REF!+K107</f>
        <v>#REF!</v>
      </c>
      <c r="M107" s="55">
        <f t="shared" si="23"/>
        <v>77</v>
      </c>
      <c r="N107" s="67">
        <f t="shared" si="24"/>
        <v>39595</v>
      </c>
      <c r="O107" s="57">
        <f t="shared" si="25"/>
        <v>5.4419037593017403E-2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si="26"/>
        <v>78</v>
      </c>
      <c r="B108" s="64">
        <f t="shared" si="20"/>
        <v>39630</v>
      </c>
      <c r="C108"/>
      <c r="D108" s="53">
        <f t="shared" si="21"/>
        <v>3.5575000000000001</v>
      </c>
      <c r="E108" s="159">
        <f t="shared" si="29"/>
        <v>0.13275000000000059</v>
      </c>
      <c r="F108" s="65">
        <f t="shared" si="27"/>
        <v>3.5575000000000001</v>
      </c>
      <c r="G108" s="66">
        <f t="shared" si="22"/>
        <v>0.23</v>
      </c>
      <c r="H108" s="66">
        <v>0</v>
      </c>
      <c r="I108" s="66">
        <f t="shared" si="28"/>
        <v>0.23</v>
      </c>
      <c r="J108" s="54"/>
      <c r="K108" s="66">
        <v>0</v>
      </c>
      <c r="L108" s="66" t="e">
        <f>#REF!+K108</f>
        <v>#REF!</v>
      </c>
      <c r="M108" s="55">
        <f t="shared" si="23"/>
        <v>78</v>
      </c>
      <c r="N108" s="67">
        <f t="shared" si="24"/>
        <v>39624</v>
      </c>
      <c r="O108" s="57">
        <f t="shared" si="25"/>
        <v>5.4594696098345899E-2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si="26"/>
        <v>79</v>
      </c>
      <c r="B109" s="64">
        <f t="shared" si="20"/>
        <v>39661</v>
      </c>
      <c r="C109"/>
      <c r="D109" s="53">
        <f t="shared" si="21"/>
        <v>3.5975000000000001</v>
      </c>
      <c r="E109" s="159">
        <f t="shared" si="29"/>
        <v>0.13275000000000059</v>
      </c>
      <c r="F109" s="65">
        <f t="shared" si="27"/>
        <v>3.5975000000000001</v>
      </c>
      <c r="G109" s="66">
        <f t="shared" si="22"/>
        <v>0.23</v>
      </c>
      <c r="H109" s="66">
        <v>0</v>
      </c>
      <c r="I109" s="66">
        <f t="shared" si="28"/>
        <v>0.23</v>
      </c>
      <c r="J109" s="54"/>
      <c r="K109" s="66">
        <v>0</v>
      </c>
      <c r="L109" s="66" t="e">
        <f>#REF!+K109</f>
        <v>#REF!</v>
      </c>
      <c r="M109" s="55">
        <f t="shared" si="23"/>
        <v>79</v>
      </c>
      <c r="N109" s="67">
        <f t="shared" si="24"/>
        <v>39657</v>
      </c>
      <c r="O109" s="57">
        <f t="shared" si="25"/>
        <v>5.47762098979847E-2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si="26"/>
        <v>80</v>
      </c>
      <c r="B110" s="64">
        <f t="shared" si="20"/>
        <v>39692</v>
      </c>
      <c r="C110"/>
      <c r="D110" s="53">
        <f t="shared" si="21"/>
        <v>3.5924999999999998</v>
      </c>
      <c r="E110" s="159">
        <f t="shared" si="29"/>
        <v>0.13275000000000059</v>
      </c>
      <c r="F110" s="65">
        <f t="shared" si="27"/>
        <v>3.5924999999999998</v>
      </c>
      <c r="G110" s="66">
        <f t="shared" si="22"/>
        <v>0.23</v>
      </c>
      <c r="H110" s="66">
        <v>0</v>
      </c>
      <c r="I110" s="66">
        <f t="shared" si="28"/>
        <v>0.23</v>
      </c>
      <c r="J110" s="54"/>
      <c r="K110" s="66">
        <v>0</v>
      </c>
      <c r="L110" s="66" t="e">
        <f>#REF!+K110</f>
        <v>#REF!</v>
      </c>
      <c r="M110" s="55">
        <f t="shared" si="23"/>
        <v>80</v>
      </c>
      <c r="N110" s="67">
        <f t="shared" si="24"/>
        <v>39686</v>
      </c>
      <c r="O110" s="57">
        <f t="shared" si="25"/>
        <v>5.4957723708598298E-2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si="26"/>
        <v>81</v>
      </c>
      <c r="B111" s="64">
        <f t="shared" si="20"/>
        <v>39722</v>
      </c>
      <c r="C111"/>
      <c r="D111" s="53">
        <f t="shared" si="21"/>
        <v>3.6175000000000002</v>
      </c>
      <c r="E111" s="159">
        <f t="shared" si="29"/>
        <v>0.13275000000000059</v>
      </c>
      <c r="F111" s="65">
        <f t="shared" si="27"/>
        <v>3.6175000000000002</v>
      </c>
      <c r="G111" s="66">
        <f t="shared" si="22"/>
        <v>0.23</v>
      </c>
      <c r="H111" s="66">
        <v>0</v>
      </c>
      <c r="I111" s="66">
        <f t="shared" si="28"/>
        <v>0.23</v>
      </c>
      <c r="J111" s="54"/>
      <c r="K111" s="66">
        <v>0</v>
      </c>
      <c r="L111" s="66" t="e">
        <f>#REF!+K111</f>
        <v>#REF!</v>
      </c>
      <c r="M111" s="55">
        <f t="shared" si="23"/>
        <v>81</v>
      </c>
      <c r="N111" s="67">
        <f t="shared" si="24"/>
        <v>39716</v>
      </c>
      <c r="O111" s="57">
        <f t="shared" si="25"/>
        <v>5.51333822454474E-2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si="26"/>
        <v>82</v>
      </c>
      <c r="B112" s="64">
        <f t="shared" si="20"/>
        <v>39753</v>
      </c>
      <c r="C112"/>
      <c r="D112" s="53">
        <f t="shared" si="21"/>
        <v>3.7694999999999999</v>
      </c>
      <c r="E112" s="159">
        <f t="shared" si="29"/>
        <v>0.13275000000000059</v>
      </c>
      <c r="F112" s="65">
        <f t="shared" si="27"/>
        <v>3.7694999999999999</v>
      </c>
      <c r="G112" s="66">
        <f t="shared" si="22"/>
        <v>0.23</v>
      </c>
      <c r="H112" s="66">
        <v>0</v>
      </c>
      <c r="I112" s="66">
        <f t="shared" si="28"/>
        <v>0.23</v>
      </c>
      <c r="J112" s="54"/>
      <c r="K112" s="66">
        <v>0</v>
      </c>
      <c r="L112" s="66" t="e">
        <f>#REF!+K112</f>
        <v>#REF!</v>
      </c>
      <c r="M112" s="55">
        <f t="shared" si="23"/>
        <v>82</v>
      </c>
      <c r="N112" s="67">
        <f t="shared" si="24"/>
        <v>39749</v>
      </c>
      <c r="O112" s="57">
        <f t="shared" si="25"/>
        <v>5.5314896077653899E-2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si="26"/>
        <v>83</v>
      </c>
      <c r="B113" s="64">
        <f t="shared" si="20"/>
        <v>39783</v>
      </c>
      <c r="C113"/>
      <c r="D113" s="53">
        <f t="shared" si="21"/>
        <v>3.9125000000000001</v>
      </c>
      <c r="E113" s="159">
        <f t="shared" si="29"/>
        <v>0.13275000000000059</v>
      </c>
      <c r="F113" s="65">
        <f t="shared" si="27"/>
        <v>3.9125000000000001</v>
      </c>
      <c r="G113" s="66">
        <f t="shared" si="22"/>
        <v>0.23</v>
      </c>
      <c r="H113" s="66">
        <v>0</v>
      </c>
      <c r="I113" s="66">
        <f t="shared" si="28"/>
        <v>0.23</v>
      </c>
      <c r="J113" s="54"/>
      <c r="K113" s="66">
        <v>0</v>
      </c>
      <c r="L113" s="66" t="e">
        <f>#REF!+K113</f>
        <v>#REF!</v>
      </c>
      <c r="M113" s="55">
        <f t="shared" si="23"/>
        <v>83</v>
      </c>
      <c r="N113" s="67">
        <f t="shared" si="24"/>
        <v>39776</v>
      </c>
      <c r="O113" s="57">
        <f t="shared" si="25"/>
        <v>5.5490554635397898E-2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si="26"/>
        <v>84</v>
      </c>
      <c r="B114" s="64">
        <f t="shared" si="20"/>
        <v>39814</v>
      </c>
      <c r="C114"/>
      <c r="D114" s="53">
        <f t="shared" si="21"/>
        <v>3.9649999999999999</v>
      </c>
      <c r="E114" s="159">
        <f t="shared" si="29"/>
        <v>0.13275000000000059</v>
      </c>
      <c r="F114" s="65">
        <f t="shared" si="27"/>
        <v>3.9649999999999999</v>
      </c>
      <c r="G114" s="66">
        <f t="shared" si="22"/>
        <v>0.23</v>
      </c>
      <c r="H114" s="66">
        <v>0</v>
      </c>
      <c r="I114" s="66">
        <f t="shared" si="28"/>
        <v>0.23</v>
      </c>
      <c r="J114" s="54"/>
      <c r="K114" s="66">
        <v>0</v>
      </c>
      <c r="L114" s="66" t="e">
        <f>#REF!+K114</f>
        <v>#REF!</v>
      </c>
      <c r="M114" s="55">
        <f t="shared" si="23"/>
        <v>84</v>
      </c>
      <c r="N114" s="67">
        <f t="shared" si="24"/>
        <v>39808</v>
      </c>
      <c r="O114" s="57">
        <f t="shared" si="25"/>
        <v>5.5629285809112097E-2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si="26"/>
        <v>85</v>
      </c>
      <c r="B115" s="64">
        <f t="shared" si="20"/>
        <v>39845</v>
      </c>
      <c r="C115"/>
      <c r="D115" s="53">
        <f t="shared" si="21"/>
        <v>3.88</v>
      </c>
      <c r="E115" s="159">
        <f t="shared" si="29"/>
        <v>0.13275000000000059</v>
      </c>
      <c r="F115" s="65">
        <f t="shared" si="27"/>
        <v>3.88</v>
      </c>
      <c r="G115" s="66">
        <f t="shared" si="22"/>
        <v>0.22750000000000001</v>
      </c>
      <c r="H115" s="66">
        <v>0</v>
      </c>
      <c r="I115" s="66">
        <f t="shared" si="28"/>
        <v>0.22750000000000001</v>
      </c>
      <c r="J115" s="54"/>
      <c r="K115" s="66">
        <v>0</v>
      </c>
      <c r="L115" s="66" t="e">
        <f>#REF!+K115</f>
        <v>#REF!</v>
      </c>
      <c r="M115" s="55">
        <f t="shared" si="23"/>
        <v>85</v>
      </c>
      <c r="N115" s="67">
        <f t="shared" si="24"/>
        <v>39840</v>
      </c>
      <c r="O115" s="57">
        <f t="shared" si="25"/>
        <v>5.5732784192703999E-2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si="26"/>
        <v>86</v>
      </c>
      <c r="B116" s="64">
        <f t="shared" si="20"/>
        <v>39873</v>
      </c>
      <c r="C116"/>
      <c r="D116" s="53">
        <f t="shared" si="21"/>
        <v>3.75</v>
      </c>
      <c r="E116" s="159">
        <f t="shared" si="29"/>
        <v>0.13275000000000059</v>
      </c>
      <c r="F116" s="65">
        <f t="shared" si="27"/>
        <v>3.75</v>
      </c>
      <c r="G116" s="66">
        <f t="shared" si="22"/>
        <v>0.22</v>
      </c>
      <c r="H116" s="66">
        <v>0</v>
      </c>
      <c r="I116" s="66">
        <f t="shared" si="28"/>
        <v>0.22</v>
      </c>
      <c r="J116" s="54"/>
      <c r="K116" s="66">
        <v>0</v>
      </c>
      <c r="L116" s="66" t="e">
        <f>#REF!+K116</f>
        <v>#REF!</v>
      </c>
      <c r="M116" s="55">
        <f t="shared" si="23"/>
        <v>86</v>
      </c>
      <c r="N116" s="67">
        <f t="shared" si="24"/>
        <v>39868</v>
      </c>
      <c r="O116" s="57">
        <f t="shared" si="25"/>
        <v>5.5826266606755499E-2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si="26"/>
        <v>87</v>
      </c>
      <c r="B117" s="64">
        <f t="shared" si="20"/>
        <v>39904</v>
      </c>
      <c r="C117"/>
      <c r="D117" s="53">
        <f t="shared" si="21"/>
        <v>3.5649999999999999</v>
      </c>
      <c r="E117" s="159">
        <f t="shared" si="29"/>
        <v>0.13275000000000059</v>
      </c>
      <c r="F117" s="65">
        <f t="shared" si="27"/>
        <v>3.5649999999999999</v>
      </c>
      <c r="G117" s="66">
        <f t="shared" si="22"/>
        <v>0.20250000000000001</v>
      </c>
      <c r="H117" s="66">
        <v>0</v>
      </c>
      <c r="I117" s="66">
        <f t="shared" si="28"/>
        <v>0.20250000000000001</v>
      </c>
      <c r="J117" s="54"/>
      <c r="K117" s="66">
        <v>0</v>
      </c>
      <c r="L117" s="66" t="e">
        <f>#REF!+K117</f>
        <v>#REF!</v>
      </c>
      <c r="M117" s="55">
        <f t="shared" si="23"/>
        <v>87</v>
      </c>
      <c r="N117" s="67">
        <f t="shared" si="24"/>
        <v>39898</v>
      </c>
      <c r="O117" s="57">
        <f t="shared" si="25"/>
        <v>5.5929764997134403E-2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si="26"/>
        <v>88</v>
      </c>
      <c r="B118" s="64">
        <f t="shared" si="20"/>
        <v>39934</v>
      </c>
      <c r="C118"/>
      <c r="D118" s="53">
        <f t="shared" si="21"/>
        <v>3.56</v>
      </c>
      <c r="E118" s="159">
        <f t="shared" si="29"/>
        <v>0.13275000000000059</v>
      </c>
      <c r="F118" s="65">
        <f t="shared" si="27"/>
        <v>3.56</v>
      </c>
      <c r="G118" s="66">
        <f t="shared" si="22"/>
        <v>0.20250000000000001</v>
      </c>
      <c r="H118" s="66">
        <v>0</v>
      </c>
      <c r="I118" s="66">
        <f t="shared" si="28"/>
        <v>0.20250000000000001</v>
      </c>
      <c r="J118" s="54"/>
      <c r="K118" s="66">
        <v>0</v>
      </c>
      <c r="L118" s="66" t="e">
        <f>#REF!+K118</f>
        <v>#REF!</v>
      </c>
      <c r="M118" s="55">
        <f t="shared" si="23"/>
        <v>88</v>
      </c>
      <c r="N118" s="67">
        <f t="shared" si="24"/>
        <v>39930</v>
      </c>
      <c r="O118" s="57">
        <f t="shared" si="25"/>
        <v>5.6029924733155503E-2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si="26"/>
        <v>89</v>
      </c>
      <c r="B119" s="64">
        <f t="shared" si="20"/>
        <v>39965</v>
      </c>
      <c r="C119"/>
      <c r="D119" s="53">
        <f t="shared" si="21"/>
        <v>3.5950000000000002</v>
      </c>
      <c r="E119" s="159">
        <f t="shared" si="29"/>
        <v>0.13275000000000059</v>
      </c>
      <c r="F119" s="65">
        <f t="shared" si="27"/>
        <v>3.5950000000000002</v>
      </c>
      <c r="G119" s="66">
        <f t="shared" si="22"/>
        <v>0.20250000000000001</v>
      </c>
      <c r="H119" s="66">
        <v>0</v>
      </c>
      <c r="I119" s="66">
        <f t="shared" si="28"/>
        <v>0.20250000000000001</v>
      </c>
      <c r="J119" s="54"/>
      <c r="K119" s="66">
        <v>0</v>
      </c>
      <c r="L119" s="66" t="e">
        <f>#REF!+K119</f>
        <v>#REF!</v>
      </c>
      <c r="M119" s="55">
        <f t="shared" si="23"/>
        <v>89</v>
      </c>
      <c r="N119" s="67">
        <f t="shared" si="24"/>
        <v>39959</v>
      </c>
      <c r="O119" s="57">
        <f t="shared" si="25"/>
        <v>5.6133423130551502E-2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si="26"/>
        <v>90</v>
      </c>
      <c r="B120" s="64">
        <f t="shared" si="20"/>
        <v>39995</v>
      </c>
      <c r="C120"/>
      <c r="D120" s="53">
        <f t="shared" si="21"/>
        <v>3.6349999999999998</v>
      </c>
      <c r="E120" s="159">
        <f t="shared" si="29"/>
        <v>0.13275000000000059</v>
      </c>
      <c r="F120" s="65">
        <f t="shared" si="27"/>
        <v>3.6349999999999998</v>
      </c>
      <c r="G120" s="66">
        <f t="shared" si="22"/>
        <v>0.20250000000000001</v>
      </c>
      <c r="H120" s="66">
        <v>0</v>
      </c>
      <c r="I120" s="66">
        <f t="shared" si="28"/>
        <v>0.20250000000000001</v>
      </c>
      <c r="J120" s="54"/>
      <c r="K120" s="66">
        <v>0</v>
      </c>
      <c r="L120" s="66" t="e">
        <f>#REF!+K120</f>
        <v>#REF!</v>
      </c>
      <c r="M120" s="55">
        <f t="shared" si="23"/>
        <v>90</v>
      </c>
      <c r="N120" s="67">
        <f t="shared" si="24"/>
        <v>39989</v>
      </c>
      <c r="O120" s="57">
        <f t="shared" si="25"/>
        <v>5.6233582873363101E-2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si="26"/>
        <v>91</v>
      </c>
      <c r="B121" s="64">
        <f t="shared" ref="B121:B150" si="30">DATE(YEAR(B120),MONTH(B120)+1,1)</f>
        <v>40026</v>
      </c>
      <c r="C121"/>
      <c r="D121" s="53">
        <f t="shared" si="21"/>
        <v>3.6749999999999998</v>
      </c>
      <c r="E121" s="159">
        <f t="shared" si="29"/>
        <v>0.13275000000000059</v>
      </c>
      <c r="F121" s="65">
        <f t="shared" si="27"/>
        <v>3.6749999999999998</v>
      </c>
      <c r="G121" s="66">
        <f t="shared" si="22"/>
        <v>0.20250000000000001</v>
      </c>
      <c r="H121" s="66">
        <v>0</v>
      </c>
      <c r="I121" s="66">
        <f t="shared" si="28"/>
        <v>0.20250000000000001</v>
      </c>
      <c r="J121" s="54"/>
      <c r="K121" s="66">
        <v>0</v>
      </c>
      <c r="L121" s="66" t="e">
        <f>#REF!+K121</f>
        <v>#REF!</v>
      </c>
      <c r="M121" s="55">
        <f t="shared" si="23"/>
        <v>91</v>
      </c>
      <c r="N121" s="67">
        <f t="shared" si="24"/>
        <v>40022</v>
      </c>
      <c r="O121" s="57">
        <f t="shared" si="25"/>
        <v>5.6337081277775702E-2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si="26"/>
        <v>92</v>
      </c>
      <c r="B122" s="64">
        <f t="shared" si="30"/>
        <v>40057</v>
      </c>
      <c r="C122"/>
      <c r="D122" s="53">
        <f t="shared" si="21"/>
        <v>3.67</v>
      </c>
      <c r="E122" s="159">
        <f t="shared" si="29"/>
        <v>0.13275000000000059</v>
      </c>
      <c r="F122" s="65">
        <f t="shared" si="27"/>
        <v>3.67</v>
      </c>
      <c r="G122" s="66">
        <f t="shared" si="22"/>
        <v>0.20250000000000001</v>
      </c>
      <c r="H122" s="66">
        <v>0</v>
      </c>
      <c r="I122" s="66">
        <f t="shared" si="28"/>
        <v>0.20250000000000001</v>
      </c>
      <c r="J122" s="54"/>
      <c r="K122" s="66">
        <v>0</v>
      </c>
      <c r="L122" s="66" t="e">
        <f>#REF!+K122</f>
        <v>#REF!</v>
      </c>
      <c r="M122" s="55">
        <f t="shared" si="23"/>
        <v>92</v>
      </c>
      <c r="N122" s="67">
        <f t="shared" si="24"/>
        <v>40051</v>
      </c>
      <c r="O122" s="57">
        <f t="shared" si="25"/>
        <v>5.6440579685754798E-2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si="26"/>
        <v>93</v>
      </c>
      <c r="B123" s="64">
        <f t="shared" si="30"/>
        <v>40087</v>
      </c>
      <c r="C123"/>
      <c r="D123" s="53">
        <f t="shared" si="21"/>
        <v>3.6949999999999998</v>
      </c>
      <c r="E123" s="159">
        <f t="shared" si="29"/>
        <v>0.13275000000000059</v>
      </c>
      <c r="F123" s="65">
        <f t="shared" si="27"/>
        <v>3.6949999999999998</v>
      </c>
      <c r="G123" s="66">
        <f t="shared" si="22"/>
        <v>0.20250000000000001</v>
      </c>
      <c r="H123" s="66">
        <v>0</v>
      </c>
      <c r="I123" s="66">
        <f t="shared" si="28"/>
        <v>0.20250000000000001</v>
      </c>
      <c r="J123" s="54"/>
      <c r="K123" s="66">
        <v>0</v>
      </c>
      <c r="L123" s="66" t="e">
        <f>#REF!+K123</f>
        <v>#REF!</v>
      </c>
      <c r="M123" s="55">
        <f t="shared" si="23"/>
        <v>93</v>
      </c>
      <c r="N123" s="67">
        <f t="shared" si="24"/>
        <v>40081</v>
      </c>
      <c r="O123" s="57">
        <f t="shared" si="25"/>
        <v>5.6540739438806199E-2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si="26"/>
        <v>94</v>
      </c>
      <c r="B124" s="64">
        <f t="shared" si="30"/>
        <v>40118</v>
      </c>
      <c r="C124"/>
      <c r="D124" s="53">
        <f t="shared" si="21"/>
        <v>3.847</v>
      </c>
      <c r="E124" s="159">
        <f t="shared" si="29"/>
        <v>0.13275000000000059</v>
      </c>
      <c r="F124" s="65">
        <f t="shared" si="27"/>
        <v>3.847</v>
      </c>
      <c r="G124" s="66">
        <f t="shared" si="22"/>
        <v>0.20250000000000001</v>
      </c>
      <c r="H124" s="66">
        <v>0</v>
      </c>
      <c r="I124" s="66">
        <f t="shared" si="28"/>
        <v>0.20250000000000001</v>
      </c>
      <c r="J124" s="54"/>
      <c r="K124" s="66">
        <v>0</v>
      </c>
      <c r="L124" s="66" t="e">
        <f>#REF!+K124</f>
        <v>#REF!</v>
      </c>
      <c r="M124" s="55">
        <f t="shared" si="23"/>
        <v>94</v>
      </c>
      <c r="N124" s="67">
        <f t="shared" si="24"/>
        <v>40113</v>
      </c>
      <c r="O124" s="57">
        <f t="shared" si="25"/>
        <v>5.66442378538001E-2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si="26"/>
        <v>95</v>
      </c>
      <c r="B125" s="64">
        <f t="shared" si="30"/>
        <v>40148</v>
      </c>
      <c r="C125"/>
      <c r="D125" s="53">
        <f t="shared" si="21"/>
        <v>3.99</v>
      </c>
      <c r="E125" s="159">
        <f t="shared" si="29"/>
        <v>0.13275000000000059</v>
      </c>
      <c r="F125" s="65">
        <f t="shared" si="27"/>
        <v>3.99</v>
      </c>
      <c r="G125" s="66">
        <f t="shared" si="22"/>
        <v>0.20250000000000001</v>
      </c>
      <c r="H125" s="66">
        <v>0</v>
      </c>
      <c r="I125" s="66">
        <f t="shared" si="28"/>
        <v>0.20250000000000001</v>
      </c>
      <c r="J125" s="54"/>
      <c r="K125" s="66">
        <v>0</v>
      </c>
      <c r="L125" s="66" t="e">
        <f>#REF!+K125</f>
        <v>#REF!</v>
      </c>
      <c r="M125" s="55">
        <f t="shared" si="23"/>
        <v>95</v>
      </c>
      <c r="N125" s="67">
        <f t="shared" si="24"/>
        <v>40141</v>
      </c>
      <c r="O125" s="57">
        <f t="shared" si="25"/>
        <v>5.67443976136408E-2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si="26"/>
        <v>96</v>
      </c>
      <c r="B126" s="64">
        <f t="shared" si="30"/>
        <v>40179</v>
      </c>
      <c r="C126"/>
      <c r="D126" s="53">
        <f t="shared" si="21"/>
        <v>4.0449999999999999</v>
      </c>
      <c r="E126" s="159">
        <f t="shared" si="29"/>
        <v>0.13275000000000059</v>
      </c>
      <c r="F126" s="65">
        <f t="shared" si="27"/>
        <v>4.0449999999999999</v>
      </c>
      <c r="G126" s="66">
        <f t="shared" si="22"/>
        <v>0.20250000000000001</v>
      </c>
      <c r="H126" s="66">
        <v>0</v>
      </c>
      <c r="I126" s="66">
        <f t="shared" si="28"/>
        <v>0.20250000000000001</v>
      </c>
      <c r="J126" s="54"/>
      <c r="K126" s="66">
        <v>0</v>
      </c>
      <c r="L126" s="66" t="e">
        <f>#REF!+K126</f>
        <v>#REF!</v>
      </c>
      <c r="M126" s="55">
        <f t="shared" si="23"/>
        <v>96</v>
      </c>
      <c r="N126" s="67">
        <f t="shared" si="24"/>
        <v>40175</v>
      </c>
      <c r="O126" s="57">
        <f t="shared" si="25"/>
        <v>5.6847896035649603E-2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si="26"/>
        <v>97</v>
      </c>
      <c r="B127" s="64">
        <f t="shared" si="30"/>
        <v>40210</v>
      </c>
      <c r="C127"/>
      <c r="D127" s="53">
        <f t="shared" si="21"/>
        <v>3.96</v>
      </c>
      <c r="E127" s="159">
        <f t="shared" si="29"/>
        <v>0.13275000000000059</v>
      </c>
      <c r="F127" s="65">
        <f t="shared" si="27"/>
        <v>3.96</v>
      </c>
      <c r="G127" s="66">
        <f t="shared" si="22"/>
        <v>0.2</v>
      </c>
      <c r="H127" s="66">
        <v>0</v>
      </c>
      <c r="I127" s="66">
        <f t="shared" si="28"/>
        <v>0.2</v>
      </c>
      <c r="J127" s="54"/>
      <c r="K127" s="66">
        <v>0</v>
      </c>
      <c r="L127" s="66" t="e">
        <f>#REF!+K127</f>
        <v>#REF!</v>
      </c>
      <c r="M127" s="55">
        <f t="shared" ref="M127:M150" si="31">A127</f>
        <v>97</v>
      </c>
      <c r="N127" s="67">
        <f t="shared" ref="N127:N150" si="32">VLOOKUP(B127,expiration,3,FALSE)</f>
        <v>40204</v>
      </c>
      <c r="O127" s="57">
        <f t="shared" si="25"/>
        <v>5.6951394461223E-2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si="26"/>
        <v>98</v>
      </c>
      <c r="B128" s="64">
        <f t="shared" si="30"/>
        <v>40238</v>
      </c>
      <c r="C128"/>
      <c r="D128" s="53">
        <f t="shared" si="21"/>
        <v>3.83</v>
      </c>
      <c r="E128" s="159">
        <f t="shared" si="29"/>
        <v>0.13275000000000059</v>
      </c>
      <c r="F128" s="65">
        <f t="shared" si="27"/>
        <v>3.83</v>
      </c>
      <c r="G128" s="66">
        <f t="shared" si="22"/>
        <v>0.19500000000000001</v>
      </c>
      <c r="H128" s="66">
        <v>0</v>
      </c>
      <c r="I128" s="66">
        <f t="shared" si="28"/>
        <v>0.19500000000000001</v>
      </c>
      <c r="J128" s="54"/>
      <c r="K128" s="66">
        <v>0</v>
      </c>
      <c r="L128" s="66" t="e">
        <f>#REF!+K128</f>
        <v>#REF!</v>
      </c>
      <c r="M128" s="55">
        <f t="shared" si="31"/>
        <v>98</v>
      </c>
      <c r="N128" s="67">
        <f t="shared" si="32"/>
        <v>40232</v>
      </c>
      <c r="O128" s="57">
        <f t="shared" si="25"/>
        <v>5.7044876913192197E-2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si="26"/>
        <v>99</v>
      </c>
      <c r="B129" s="64">
        <f t="shared" si="30"/>
        <v>40269</v>
      </c>
      <c r="C129"/>
      <c r="D129" s="53">
        <f t="shared" si="21"/>
        <v>3.645</v>
      </c>
      <c r="E129" s="159">
        <f t="shared" si="29"/>
        <v>0.13275000000000059</v>
      </c>
      <c r="F129" s="65">
        <f t="shared" si="27"/>
        <v>3.645</v>
      </c>
      <c r="G129" s="66">
        <f t="shared" si="22"/>
        <v>0.19</v>
      </c>
      <c r="H129" s="66">
        <v>0</v>
      </c>
      <c r="I129" s="66">
        <f t="shared" si="28"/>
        <v>0.19</v>
      </c>
      <c r="J129" s="54"/>
      <c r="K129" s="66">
        <v>0</v>
      </c>
      <c r="L129" s="66" t="e">
        <f>#REF!+K129</f>
        <v>#REF!</v>
      </c>
      <c r="M129" s="55">
        <f t="shared" si="31"/>
        <v>99</v>
      </c>
      <c r="N129" s="67">
        <f t="shared" si="32"/>
        <v>40263</v>
      </c>
      <c r="O129" s="57">
        <f t="shared" si="25"/>
        <v>5.7148375345549098E-2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si="26"/>
        <v>100</v>
      </c>
      <c r="B130" s="64">
        <f t="shared" si="30"/>
        <v>40299</v>
      </c>
      <c r="C130"/>
      <c r="D130" s="53">
        <f t="shared" si="21"/>
        <v>3.64</v>
      </c>
      <c r="E130" s="159">
        <f t="shared" si="29"/>
        <v>0.13275000000000059</v>
      </c>
      <c r="F130" s="65">
        <f t="shared" si="27"/>
        <v>3.64</v>
      </c>
      <c r="G130" s="66">
        <f t="shared" si="22"/>
        <v>0.185</v>
      </c>
      <c r="H130" s="66">
        <v>0</v>
      </c>
      <c r="I130" s="66">
        <f t="shared" si="28"/>
        <v>0.185</v>
      </c>
      <c r="J130" s="54"/>
      <c r="K130" s="66">
        <v>0</v>
      </c>
      <c r="L130" s="66" t="e">
        <f>#REF!+K130</f>
        <v>#REF!</v>
      </c>
      <c r="M130" s="55">
        <f t="shared" si="31"/>
        <v>100</v>
      </c>
      <c r="N130" s="67">
        <f t="shared" si="32"/>
        <v>40295</v>
      </c>
      <c r="O130" s="57">
        <f t="shared" si="25"/>
        <v>5.7248535122191899E-2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si="26"/>
        <v>101</v>
      </c>
      <c r="B131" s="64">
        <f t="shared" si="30"/>
        <v>40330</v>
      </c>
      <c r="C131"/>
      <c r="D131" s="53">
        <f t="shared" si="21"/>
        <v>3.6749999999999998</v>
      </c>
      <c r="E131" s="159">
        <f t="shared" ref="E131:E150" si="33">N$10</f>
        <v>0.13275000000000059</v>
      </c>
      <c r="F131" s="65">
        <f t="shared" si="27"/>
        <v>3.6749999999999998</v>
      </c>
      <c r="G131" s="66">
        <f t="shared" si="22"/>
        <v>0.185</v>
      </c>
      <c r="H131" s="66">
        <v>0</v>
      </c>
      <c r="I131" s="66">
        <f t="shared" si="28"/>
        <v>0.185</v>
      </c>
      <c r="J131" s="54"/>
      <c r="K131" s="66">
        <v>0</v>
      </c>
      <c r="L131" s="66" t="e">
        <f>#REF!+K131</f>
        <v>#REF!</v>
      </c>
      <c r="M131" s="55">
        <f t="shared" si="31"/>
        <v>101</v>
      </c>
      <c r="N131" s="67">
        <f t="shared" si="32"/>
        <v>40323</v>
      </c>
      <c r="O131" s="57">
        <f t="shared" si="25"/>
        <v>5.7352033561562703E-2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si="26"/>
        <v>102</v>
      </c>
      <c r="B132" s="64">
        <f t="shared" si="30"/>
        <v>40360</v>
      </c>
      <c r="C132"/>
      <c r="D132" s="53">
        <f t="shared" si="21"/>
        <v>3.7149999999999999</v>
      </c>
      <c r="E132" s="159">
        <f t="shared" si="33"/>
        <v>0.13275000000000059</v>
      </c>
      <c r="F132" s="65">
        <f t="shared" si="27"/>
        <v>3.7149999999999999</v>
      </c>
      <c r="G132" s="66">
        <f t="shared" si="22"/>
        <v>0.185</v>
      </c>
      <c r="H132" s="66">
        <v>0</v>
      </c>
      <c r="I132" s="66">
        <f t="shared" si="28"/>
        <v>0.185</v>
      </c>
      <c r="J132" s="54"/>
      <c r="K132" s="66">
        <v>0</v>
      </c>
      <c r="L132" s="66" t="e">
        <f>#REF!+K132</f>
        <v>#REF!</v>
      </c>
      <c r="M132" s="55">
        <f t="shared" si="31"/>
        <v>102</v>
      </c>
      <c r="N132" s="67">
        <f t="shared" si="32"/>
        <v>40354</v>
      </c>
      <c r="O132" s="57">
        <f t="shared" si="25"/>
        <v>5.7452193344991603E-2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si="26"/>
        <v>103</v>
      </c>
      <c r="B133" s="64">
        <f t="shared" si="30"/>
        <v>40391</v>
      </c>
      <c r="C133"/>
      <c r="D133" s="53">
        <f t="shared" si="21"/>
        <v>3.7549999999999999</v>
      </c>
      <c r="E133" s="159">
        <f t="shared" si="33"/>
        <v>0.13275000000000059</v>
      </c>
      <c r="F133" s="65">
        <f t="shared" si="27"/>
        <v>3.7549999999999999</v>
      </c>
      <c r="G133" s="66">
        <f t="shared" si="22"/>
        <v>0.185</v>
      </c>
      <c r="H133" s="66">
        <v>0</v>
      </c>
      <c r="I133" s="66">
        <f t="shared" si="28"/>
        <v>0.185</v>
      </c>
      <c r="J133" s="54"/>
      <c r="K133" s="66">
        <v>0</v>
      </c>
      <c r="L133" s="66" t="e">
        <f>#REF!+K133</f>
        <v>#REF!</v>
      </c>
      <c r="M133" s="55">
        <f t="shared" si="31"/>
        <v>103</v>
      </c>
      <c r="N133" s="67">
        <f t="shared" si="32"/>
        <v>40386</v>
      </c>
      <c r="O133" s="57">
        <f t="shared" si="25"/>
        <v>5.7555691791374597E-2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si="26"/>
        <v>104</v>
      </c>
      <c r="B134" s="64">
        <f t="shared" si="30"/>
        <v>40422</v>
      </c>
      <c r="C134"/>
      <c r="D134" s="53">
        <f t="shared" si="21"/>
        <v>3.75</v>
      </c>
      <c r="E134" s="159">
        <f t="shared" si="33"/>
        <v>0.13275000000000059</v>
      </c>
      <c r="F134" s="65">
        <f t="shared" si="27"/>
        <v>3.75</v>
      </c>
      <c r="G134" s="66">
        <f t="shared" si="22"/>
        <v>0.185</v>
      </c>
      <c r="H134" s="66">
        <v>0</v>
      </c>
      <c r="I134" s="66">
        <f t="shared" si="28"/>
        <v>0.185</v>
      </c>
      <c r="J134" s="54"/>
      <c r="K134" s="66">
        <v>0</v>
      </c>
      <c r="L134" s="66" t="e">
        <f>#REF!+K134</f>
        <v>#REF!</v>
      </c>
      <c r="M134" s="55">
        <f t="shared" si="31"/>
        <v>104</v>
      </c>
      <c r="N134" s="67">
        <f t="shared" si="32"/>
        <v>40416</v>
      </c>
      <c r="O134" s="57">
        <f t="shared" si="25"/>
        <v>5.7659190241320601E-2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si="26"/>
        <v>105</v>
      </c>
      <c r="B135" s="64">
        <f t="shared" si="30"/>
        <v>40452</v>
      </c>
      <c r="C135"/>
      <c r="D135" s="53">
        <f t="shared" si="21"/>
        <v>3.7749999999999999</v>
      </c>
      <c r="E135" s="159">
        <f t="shared" si="33"/>
        <v>0.13275000000000059</v>
      </c>
      <c r="F135" s="65">
        <f t="shared" si="27"/>
        <v>3.7749999999999999</v>
      </c>
      <c r="G135" s="66">
        <f t="shared" si="22"/>
        <v>0.185</v>
      </c>
      <c r="H135" s="66">
        <v>0</v>
      </c>
      <c r="I135" s="66">
        <f t="shared" si="28"/>
        <v>0.185</v>
      </c>
      <c r="J135" s="54"/>
      <c r="K135" s="66">
        <v>0</v>
      </c>
      <c r="L135" s="66" t="e">
        <f>#REF!+K135</f>
        <v>#REF!</v>
      </c>
      <c r="M135" s="55">
        <f t="shared" si="31"/>
        <v>105</v>
      </c>
      <c r="N135" s="67">
        <f t="shared" si="32"/>
        <v>40448</v>
      </c>
      <c r="O135" s="57">
        <f t="shared" si="25"/>
        <v>5.7759350034984003E-2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si="26"/>
        <v>106</v>
      </c>
      <c r="B136" s="64">
        <f t="shared" si="30"/>
        <v>40483</v>
      </c>
      <c r="C136"/>
      <c r="D136" s="53">
        <f t="shared" si="21"/>
        <v>3.927</v>
      </c>
      <c r="E136" s="159">
        <f t="shared" si="33"/>
        <v>0.13275000000000059</v>
      </c>
      <c r="F136" s="65">
        <f t="shared" si="27"/>
        <v>3.927</v>
      </c>
      <c r="G136" s="66">
        <f t="shared" si="22"/>
        <v>0.185</v>
      </c>
      <c r="H136" s="66">
        <v>0</v>
      </c>
      <c r="I136" s="66">
        <f t="shared" si="28"/>
        <v>0.185</v>
      </c>
      <c r="J136" s="54"/>
      <c r="K136" s="66">
        <v>0</v>
      </c>
      <c r="L136" s="66" t="e">
        <f>#REF!+K136</f>
        <v>#REF!</v>
      </c>
      <c r="M136" s="55">
        <f t="shared" si="31"/>
        <v>106</v>
      </c>
      <c r="N136" s="67">
        <f t="shared" si="32"/>
        <v>40477</v>
      </c>
      <c r="O136" s="57">
        <f t="shared" si="25"/>
        <v>5.7862848491941697E-2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si="26"/>
        <v>107</v>
      </c>
      <c r="B137" s="64">
        <f t="shared" si="30"/>
        <v>40513</v>
      </c>
      <c r="C137"/>
      <c r="D137" s="53">
        <f t="shared" si="21"/>
        <v>4.07</v>
      </c>
      <c r="E137" s="159">
        <f t="shared" si="33"/>
        <v>0.13275000000000059</v>
      </c>
      <c r="F137" s="65">
        <f t="shared" si="27"/>
        <v>4.07</v>
      </c>
      <c r="G137" s="66">
        <f t="shared" si="22"/>
        <v>0.185</v>
      </c>
      <c r="H137" s="66">
        <v>0</v>
      </c>
      <c r="I137" s="66">
        <f t="shared" si="28"/>
        <v>0.185</v>
      </c>
      <c r="J137" s="54"/>
      <c r="K137" s="66">
        <v>0</v>
      </c>
      <c r="L137" s="66" t="e">
        <f>#REF!+K137</f>
        <v>#REF!</v>
      </c>
      <c r="M137" s="55">
        <f t="shared" si="31"/>
        <v>107</v>
      </c>
      <c r="N137" s="67">
        <f t="shared" si="32"/>
        <v>40506</v>
      </c>
      <c r="O137" s="57">
        <f t="shared" si="25"/>
        <v>5.79630082923899E-2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si="26"/>
        <v>108</v>
      </c>
      <c r="B138" s="64">
        <f t="shared" si="30"/>
        <v>40544</v>
      </c>
      <c r="C138"/>
      <c r="D138" s="53">
        <f t="shared" si="21"/>
        <v>4.1275000000000004</v>
      </c>
      <c r="E138" s="159">
        <f t="shared" si="33"/>
        <v>0.13275000000000059</v>
      </c>
      <c r="F138" s="65">
        <f t="shared" si="27"/>
        <v>4.1275000000000004</v>
      </c>
      <c r="G138" s="66">
        <f t="shared" si="22"/>
        <v>0.185</v>
      </c>
      <c r="H138" s="66">
        <v>0</v>
      </c>
      <c r="I138" s="66">
        <f t="shared" si="28"/>
        <v>0.185</v>
      </c>
      <c r="J138" s="54"/>
      <c r="K138" s="66">
        <v>0</v>
      </c>
      <c r="L138" s="66" t="e">
        <f>#REF!+K138</f>
        <v>#REF!</v>
      </c>
      <c r="M138" s="55">
        <f t="shared" si="31"/>
        <v>108</v>
      </c>
      <c r="N138" s="67">
        <f t="shared" si="32"/>
        <v>40539</v>
      </c>
      <c r="O138" s="57">
        <f t="shared" si="25"/>
        <v>5.8066506756358403E-2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si="26"/>
        <v>109</v>
      </c>
      <c r="B139" s="64">
        <f t="shared" si="30"/>
        <v>40575</v>
      </c>
      <c r="C139"/>
      <c r="D139" s="53">
        <f t="shared" si="21"/>
        <v>4.0425000000000004</v>
      </c>
      <c r="E139" s="159">
        <f t="shared" si="33"/>
        <v>0.13275000000000059</v>
      </c>
      <c r="F139" s="65">
        <f t="shared" si="27"/>
        <v>4.0425000000000004</v>
      </c>
      <c r="G139" s="66">
        <f t="shared" si="22"/>
        <v>0.185</v>
      </c>
      <c r="H139" s="66">
        <v>0</v>
      </c>
      <c r="I139" s="66">
        <f t="shared" si="28"/>
        <v>0.185</v>
      </c>
      <c r="J139" s="54"/>
      <c r="K139" s="66">
        <v>0</v>
      </c>
      <c r="L139" s="66" t="e">
        <f>#REF!+K139</f>
        <v>#REF!</v>
      </c>
      <c r="M139" s="55">
        <f t="shared" si="31"/>
        <v>109</v>
      </c>
      <c r="N139" s="67">
        <f t="shared" si="32"/>
        <v>40569</v>
      </c>
      <c r="O139" s="57">
        <f t="shared" si="25"/>
        <v>5.8170005223888897E-2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si="26"/>
        <v>110</v>
      </c>
      <c r="B140" s="64">
        <f t="shared" si="30"/>
        <v>40603</v>
      </c>
      <c r="C140"/>
      <c r="D140" s="53">
        <f t="shared" si="21"/>
        <v>3.9125000000000001</v>
      </c>
      <c r="E140" s="159">
        <f t="shared" si="33"/>
        <v>0.13275000000000059</v>
      </c>
      <c r="F140" s="65">
        <f t="shared" si="27"/>
        <v>3.9125000000000001</v>
      </c>
      <c r="G140" s="66">
        <f t="shared" si="22"/>
        <v>0.18</v>
      </c>
      <c r="H140" s="66">
        <v>0</v>
      </c>
      <c r="I140" s="66">
        <f t="shared" si="28"/>
        <v>0.18</v>
      </c>
      <c r="J140" s="54"/>
      <c r="K140" s="66">
        <v>0</v>
      </c>
      <c r="L140" s="66" t="e">
        <f>#REF!+K140</f>
        <v>#REF!</v>
      </c>
      <c r="M140" s="55">
        <f t="shared" si="31"/>
        <v>110</v>
      </c>
      <c r="N140" s="67">
        <f t="shared" si="32"/>
        <v>40597</v>
      </c>
      <c r="O140" s="57">
        <f t="shared" si="25"/>
        <v>5.8263487713752699E-2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si="26"/>
        <v>111</v>
      </c>
      <c r="B141" s="64">
        <f t="shared" si="30"/>
        <v>40634</v>
      </c>
      <c r="C141"/>
      <c r="D141" s="53">
        <f t="shared" si="21"/>
        <v>3.7275</v>
      </c>
      <c r="E141" s="159">
        <f t="shared" si="33"/>
        <v>0.13275000000000059</v>
      </c>
      <c r="F141" s="65">
        <f t="shared" si="27"/>
        <v>3.7275</v>
      </c>
      <c r="G141" s="66">
        <f t="shared" si="22"/>
        <v>0.18</v>
      </c>
      <c r="H141" s="66">
        <v>0</v>
      </c>
      <c r="I141" s="66">
        <f t="shared" si="28"/>
        <v>0.18</v>
      </c>
      <c r="J141" s="54"/>
      <c r="K141" s="66">
        <v>0</v>
      </c>
      <c r="L141" s="66" t="e">
        <f>#REF!+K141</f>
        <v>#REF!</v>
      </c>
      <c r="M141" s="55">
        <f t="shared" si="31"/>
        <v>111</v>
      </c>
      <c r="N141" s="67">
        <f t="shared" si="32"/>
        <v>40630</v>
      </c>
      <c r="O141" s="57">
        <f t="shared" si="25"/>
        <v>5.8366986188063602E-2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si="26"/>
        <v>112</v>
      </c>
      <c r="B142" s="64">
        <f t="shared" si="30"/>
        <v>40664</v>
      </c>
      <c r="C142"/>
      <c r="D142" s="53">
        <f t="shared" si="21"/>
        <v>3.7225000000000001</v>
      </c>
      <c r="E142" s="159">
        <f t="shared" si="33"/>
        <v>0.13275000000000059</v>
      </c>
      <c r="F142" s="65">
        <f t="shared" si="27"/>
        <v>3.7225000000000001</v>
      </c>
      <c r="G142" s="66">
        <f t="shared" si="22"/>
        <v>0.18</v>
      </c>
      <c r="H142" s="66">
        <v>0</v>
      </c>
      <c r="I142" s="66">
        <f t="shared" si="28"/>
        <v>0.18</v>
      </c>
      <c r="J142" s="54"/>
      <c r="K142" s="66">
        <v>0</v>
      </c>
      <c r="L142" s="66" t="e">
        <f>#REF!+K142</f>
        <v>#REF!</v>
      </c>
      <c r="M142" s="55">
        <f t="shared" si="31"/>
        <v>112</v>
      </c>
      <c r="N142" s="67">
        <f t="shared" si="32"/>
        <v>40659</v>
      </c>
      <c r="O142" s="57">
        <f t="shared" si="25"/>
        <v>5.84671460053037E-2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si="26"/>
        <v>113</v>
      </c>
      <c r="B143" s="64">
        <f t="shared" si="30"/>
        <v>40695</v>
      </c>
      <c r="C143"/>
      <c r="D143" s="53">
        <f t="shared" si="21"/>
        <v>3.7574999999999998</v>
      </c>
      <c r="E143" s="159">
        <f t="shared" si="33"/>
        <v>0.13275000000000059</v>
      </c>
      <c r="F143" s="65">
        <f t="shared" si="27"/>
        <v>3.7574999999999998</v>
      </c>
      <c r="G143" s="66">
        <f t="shared" si="22"/>
        <v>0.18</v>
      </c>
      <c r="H143" s="66">
        <v>0</v>
      </c>
      <c r="I143" s="66">
        <f t="shared" si="28"/>
        <v>0.18</v>
      </c>
      <c r="J143" s="54"/>
      <c r="K143" s="66">
        <v>0</v>
      </c>
      <c r="L143" s="66" t="e">
        <f>#REF!+K143</f>
        <v>#REF!</v>
      </c>
      <c r="M143" s="55">
        <f t="shared" si="31"/>
        <v>113</v>
      </c>
      <c r="N143" s="67">
        <f t="shared" si="32"/>
        <v>40688</v>
      </c>
      <c r="O143" s="57">
        <f t="shared" si="25"/>
        <v>5.8570644486623601E-2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si="26"/>
        <v>114</v>
      </c>
      <c r="B144" s="64">
        <f t="shared" si="30"/>
        <v>40725</v>
      </c>
      <c r="C144"/>
      <c r="D144" s="53">
        <f t="shared" si="21"/>
        <v>3.7974999999999999</v>
      </c>
      <c r="E144" s="159">
        <f t="shared" si="33"/>
        <v>0.13275000000000059</v>
      </c>
      <c r="F144" s="65">
        <f t="shared" si="27"/>
        <v>3.7974999999999999</v>
      </c>
      <c r="G144" s="66">
        <f t="shared" si="22"/>
        <v>0.18</v>
      </c>
      <c r="H144" s="66">
        <v>0</v>
      </c>
      <c r="I144" s="66">
        <f t="shared" si="28"/>
        <v>0.18</v>
      </c>
      <c r="J144" s="54"/>
      <c r="K144" s="66">
        <v>0</v>
      </c>
      <c r="L144" s="66" t="e">
        <f>#REF!+K144</f>
        <v>#REF!</v>
      </c>
      <c r="M144" s="55">
        <f t="shared" si="31"/>
        <v>114</v>
      </c>
      <c r="N144" s="67">
        <f t="shared" si="32"/>
        <v>40721</v>
      </c>
      <c r="O144" s="57">
        <f t="shared" si="25"/>
        <v>5.86708043106468E-2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si="26"/>
        <v>115</v>
      </c>
      <c r="B145" s="64">
        <f t="shared" si="30"/>
        <v>40756</v>
      </c>
      <c r="C145"/>
      <c r="D145" s="53">
        <f t="shared" si="21"/>
        <v>3.8374999999999999</v>
      </c>
      <c r="E145" s="159">
        <f t="shared" si="33"/>
        <v>0.13275000000000059</v>
      </c>
      <c r="F145" s="65">
        <f t="shared" si="27"/>
        <v>3.8374999999999999</v>
      </c>
      <c r="G145" s="66">
        <f t="shared" si="22"/>
        <v>0.18</v>
      </c>
      <c r="H145" s="66">
        <v>0</v>
      </c>
      <c r="I145" s="66">
        <f t="shared" si="28"/>
        <v>0.18</v>
      </c>
      <c r="J145" s="54"/>
      <c r="K145" s="66">
        <v>0</v>
      </c>
      <c r="L145" s="66" t="e">
        <f>#REF!+K145</f>
        <v>#REF!</v>
      </c>
      <c r="M145" s="55">
        <f t="shared" si="31"/>
        <v>115</v>
      </c>
      <c r="N145" s="67">
        <f t="shared" si="32"/>
        <v>40750</v>
      </c>
      <c r="O145" s="57">
        <f t="shared" si="25"/>
        <v>5.8774302798974401E-2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si="26"/>
        <v>116</v>
      </c>
      <c r="B146" s="64">
        <f t="shared" si="30"/>
        <v>40787</v>
      </c>
      <c r="C146"/>
      <c r="D146" s="53">
        <f t="shared" si="21"/>
        <v>3.8325</v>
      </c>
      <c r="E146" s="159">
        <f t="shared" si="33"/>
        <v>0.13275000000000059</v>
      </c>
      <c r="F146" s="65">
        <f t="shared" si="27"/>
        <v>3.8325</v>
      </c>
      <c r="G146" s="66">
        <f t="shared" si="22"/>
        <v>0.18</v>
      </c>
      <c r="H146" s="66">
        <v>0</v>
      </c>
      <c r="I146" s="66">
        <f t="shared" si="28"/>
        <v>0.18</v>
      </c>
      <c r="J146" s="54"/>
      <c r="K146" s="66">
        <v>0</v>
      </c>
      <c r="L146" s="66" t="e">
        <f>#REF!+K146</f>
        <v>#REF!</v>
      </c>
      <c r="M146" s="55">
        <f t="shared" si="31"/>
        <v>116</v>
      </c>
      <c r="N146" s="67">
        <f t="shared" si="32"/>
        <v>40781</v>
      </c>
      <c r="O146" s="57">
        <f t="shared" si="25"/>
        <v>5.8877801290863702E-2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si="26"/>
        <v>117</v>
      </c>
      <c r="B147" s="64">
        <f t="shared" si="30"/>
        <v>40817</v>
      </c>
      <c r="C147"/>
      <c r="D147" s="53">
        <f t="shared" si="21"/>
        <v>3.8574999999999999</v>
      </c>
      <c r="E147" s="159">
        <f t="shared" si="33"/>
        <v>0.13275000000000059</v>
      </c>
      <c r="F147" s="65">
        <f t="shared" si="27"/>
        <v>3.8574999999999999</v>
      </c>
      <c r="G147" s="66">
        <f t="shared" si="22"/>
        <v>0.18</v>
      </c>
      <c r="H147" s="66">
        <v>0</v>
      </c>
      <c r="I147" s="66">
        <f t="shared" si="28"/>
        <v>0.18</v>
      </c>
      <c r="J147" s="54"/>
      <c r="K147" s="66">
        <v>0</v>
      </c>
      <c r="L147" s="66" t="e">
        <f>#REF!+K147</f>
        <v>#REF!</v>
      </c>
      <c r="M147" s="55">
        <f t="shared" si="31"/>
        <v>117</v>
      </c>
      <c r="N147" s="67">
        <f t="shared" si="32"/>
        <v>40813</v>
      </c>
      <c r="O147" s="57">
        <f t="shared" si="25"/>
        <v>5.8977961125114199E-2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si="26"/>
        <v>118</v>
      </c>
      <c r="B148" s="64">
        <f t="shared" si="30"/>
        <v>40848</v>
      </c>
      <c r="C148"/>
      <c r="D148" s="53">
        <f t="shared" si="21"/>
        <v>4.0095000000000001</v>
      </c>
      <c r="E148" s="159">
        <f t="shared" si="33"/>
        <v>0.13275000000000059</v>
      </c>
      <c r="F148" s="65">
        <f t="shared" si="27"/>
        <v>4.0095000000000001</v>
      </c>
      <c r="G148" s="66">
        <f t="shared" si="22"/>
        <v>0.18</v>
      </c>
      <c r="H148" s="66">
        <v>0</v>
      </c>
      <c r="I148" s="66">
        <f t="shared" si="28"/>
        <v>0.18</v>
      </c>
      <c r="J148" s="54"/>
      <c r="K148" s="66">
        <v>0</v>
      </c>
      <c r="L148" s="66" t="e">
        <f>#REF!+K148</f>
        <v>#REF!</v>
      </c>
      <c r="M148" s="55">
        <f t="shared" si="31"/>
        <v>118</v>
      </c>
      <c r="N148" s="67">
        <f t="shared" si="32"/>
        <v>40842</v>
      </c>
      <c r="O148" s="57">
        <f t="shared" si="25"/>
        <v>5.9081459624010797E-2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si="26"/>
        <v>119</v>
      </c>
      <c r="B149" s="64">
        <f t="shared" si="30"/>
        <v>40878</v>
      </c>
      <c r="C149"/>
      <c r="D149" s="53">
        <f t="shared" si="21"/>
        <v>4.1524999999999999</v>
      </c>
      <c r="E149" s="159">
        <f t="shared" si="33"/>
        <v>0.13275000000000059</v>
      </c>
      <c r="F149" s="65">
        <f t="shared" si="27"/>
        <v>4.1524999999999999</v>
      </c>
      <c r="G149" s="66">
        <f t="shared" si="22"/>
        <v>0.18</v>
      </c>
      <c r="H149" s="66">
        <v>0</v>
      </c>
      <c r="I149" s="66">
        <f t="shared" si="28"/>
        <v>0.18</v>
      </c>
      <c r="J149" s="54"/>
      <c r="K149" s="66">
        <v>0</v>
      </c>
      <c r="L149" s="66" t="e">
        <f>#REF!+K149</f>
        <v>#REF!</v>
      </c>
      <c r="M149" s="55">
        <f t="shared" si="31"/>
        <v>119</v>
      </c>
      <c r="N149" s="67">
        <f t="shared" si="32"/>
        <v>40872</v>
      </c>
      <c r="O149" s="57">
        <f t="shared" si="25"/>
        <v>5.9181619465042502E-2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si="26"/>
        <v>120</v>
      </c>
      <c r="B150" s="64">
        <f t="shared" si="30"/>
        <v>40909</v>
      </c>
      <c r="C150"/>
      <c r="D150" s="53">
        <f t="shared" si="21"/>
        <v>4.2125000000000004</v>
      </c>
      <c r="E150" s="159">
        <f t="shared" si="33"/>
        <v>0.13275000000000059</v>
      </c>
      <c r="F150" s="65">
        <f t="shared" si="27"/>
        <v>4.2125000000000004</v>
      </c>
      <c r="G150" s="66">
        <f t="shared" si="22"/>
        <v>0.18</v>
      </c>
      <c r="H150" s="66">
        <v>0</v>
      </c>
      <c r="I150" s="66">
        <f t="shared" si="28"/>
        <v>0.18</v>
      </c>
      <c r="J150" s="54"/>
      <c r="K150" s="66">
        <v>0</v>
      </c>
      <c r="L150" s="66" t="e">
        <f>#REF!+K150</f>
        <v>#REF!</v>
      </c>
      <c r="M150" s="55">
        <f t="shared" si="31"/>
        <v>120</v>
      </c>
      <c r="N150" s="67">
        <f t="shared" si="32"/>
        <v>40904</v>
      </c>
      <c r="O150" s="57">
        <f t="shared" si="25"/>
        <v>5.9250470698565497E-2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8:12" customFormat="1" x14ac:dyDescent="0.2">
      <c r="H161" s="66">
        <v>0</v>
      </c>
      <c r="K161" s="66">
        <v>0</v>
      </c>
      <c r="L161" s="55"/>
    </row>
    <row r="162" spans="8:12" customFormat="1" x14ac:dyDescent="0.2">
      <c r="H162" s="66">
        <v>0</v>
      </c>
      <c r="K162" s="66">
        <v>0</v>
      </c>
    </row>
    <row r="163" spans="8:12" customFormat="1" x14ac:dyDescent="0.2">
      <c r="H163" s="66">
        <v>0</v>
      </c>
      <c r="K163" s="66">
        <v>0</v>
      </c>
    </row>
    <row r="164" spans="8:12" customFormat="1" x14ac:dyDescent="0.2">
      <c r="H164" s="66">
        <v>0</v>
      </c>
      <c r="K164" s="66">
        <v>0</v>
      </c>
    </row>
    <row r="165" spans="8:12" customFormat="1" x14ac:dyDescent="0.2">
      <c r="H165" s="66">
        <v>0</v>
      </c>
      <c r="K165" s="66">
        <v>0</v>
      </c>
    </row>
    <row r="166" spans="8:12" customFormat="1" x14ac:dyDescent="0.2">
      <c r="H166" s="66">
        <v>0</v>
      </c>
      <c r="K166" s="66">
        <v>0</v>
      </c>
    </row>
    <row r="167" spans="8:12" customFormat="1" x14ac:dyDescent="0.2">
      <c r="H167" s="66">
        <v>0</v>
      </c>
      <c r="K167" s="66">
        <v>0</v>
      </c>
    </row>
    <row r="168" spans="8:12" customFormat="1" x14ac:dyDescent="0.2">
      <c r="H168" s="66">
        <v>0</v>
      </c>
      <c r="K168" s="66">
        <v>0</v>
      </c>
    </row>
    <row r="169" spans="8:12" customFormat="1" x14ac:dyDescent="0.2">
      <c r="H169" s="66">
        <v>0</v>
      </c>
      <c r="K169" s="66">
        <v>0</v>
      </c>
    </row>
    <row r="170" spans="8:12" customFormat="1" x14ac:dyDescent="0.2">
      <c r="H170" s="66">
        <v>0</v>
      </c>
      <c r="K170" s="66">
        <v>0</v>
      </c>
    </row>
    <row r="171" spans="8:12" customFormat="1" x14ac:dyDescent="0.2">
      <c r="H171" s="66">
        <v>0</v>
      </c>
      <c r="K171" s="66">
        <v>0</v>
      </c>
    </row>
    <row r="172" spans="8:12" customFormat="1" x14ac:dyDescent="0.2">
      <c r="H172" s="66">
        <v>0</v>
      </c>
      <c r="K172" s="66">
        <v>0</v>
      </c>
    </row>
    <row r="173" spans="8:12" customFormat="1" x14ac:dyDescent="0.2">
      <c r="H173" s="66">
        <v>0</v>
      </c>
      <c r="K173" s="66">
        <v>0</v>
      </c>
    </row>
    <row r="174" spans="8:12" customFormat="1" x14ac:dyDescent="0.2">
      <c r="H174" s="66">
        <v>0</v>
      </c>
      <c r="K174" s="66">
        <v>0</v>
      </c>
    </row>
    <row r="175" spans="8:12" customFormat="1" x14ac:dyDescent="0.2">
      <c r="H175" s="66">
        <v>0</v>
      </c>
      <c r="K175" s="66">
        <v>0</v>
      </c>
    </row>
    <row r="176" spans="8:12" customFormat="1" x14ac:dyDescent="0.2">
      <c r="H176" s="66">
        <v>0</v>
      </c>
      <c r="K176" s="66">
        <v>0</v>
      </c>
    </row>
    <row r="177" spans="8:11" customFormat="1" x14ac:dyDescent="0.2">
      <c r="H177" s="66">
        <v>0</v>
      </c>
      <c r="K177" s="66">
        <v>0</v>
      </c>
    </row>
    <row r="178" spans="8:11" customFormat="1" x14ac:dyDescent="0.2">
      <c r="H178" s="66">
        <v>0</v>
      </c>
      <c r="K178" s="66">
        <v>0</v>
      </c>
    </row>
    <row r="179" spans="8:11" customFormat="1" x14ac:dyDescent="0.2">
      <c r="H179" s="66">
        <v>0</v>
      </c>
      <c r="K179" s="66">
        <v>0</v>
      </c>
    </row>
    <row r="180" spans="8:11" customFormat="1" x14ac:dyDescent="0.2">
      <c r="H180" s="66">
        <v>0</v>
      </c>
      <c r="K180" s="66">
        <v>0</v>
      </c>
    </row>
    <row r="181" spans="8:11" customFormat="1" x14ac:dyDescent="0.2">
      <c r="H181" s="66">
        <v>0</v>
      </c>
      <c r="K181" s="66">
        <v>0</v>
      </c>
    </row>
    <row r="182" spans="8:11" customFormat="1" x14ac:dyDescent="0.2">
      <c r="H182" s="66">
        <v>0</v>
      </c>
      <c r="K182" s="66">
        <v>0</v>
      </c>
    </row>
    <row r="183" spans="8:11" customFormat="1" x14ac:dyDescent="0.2">
      <c r="H183" s="66">
        <v>0</v>
      </c>
      <c r="K183" s="66">
        <v>0</v>
      </c>
    </row>
    <row r="184" spans="8:11" customFormat="1" x14ac:dyDescent="0.2">
      <c r="H184" s="66">
        <v>0</v>
      </c>
      <c r="K184" s="66">
        <v>0</v>
      </c>
    </row>
    <row r="185" spans="8:11" customFormat="1" x14ac:dyDescent="0.2">
      <c r="H185" s="66">
        <v>0</v>
      </c>
      <c r="K185" s="66">
        <v>0</v>
      </c>
    </row>
    <row r="186" spans="8:11" customFormat="1" x14ac:dyDescent="0.2">
      <c r="H186" s="66">
        <v>0</v>
      </c>
      <c r="K186" s="66">
        <v>0</v>
      </c>
    </row>
    <row r="187" spans="8:11" customFormat="1" x14ac:dyDescent="0.2">
      <c r="H187" s="66">
        <v>0</v>
      </c>
      <c r="K187" s="66">
        <v>0</v>
      </c>
    </row>
    <row r="188" spans="8:11" customFormat="1" x14ac:dyDescent="0.2">
      <c r="H188" s="66">
        <v>0</v>
      </c>
      <c r="K188" s="66">
        <v>0</v>
      </c>
    </row>
    <row r="189" spans="8:11" customFormat="1" x14ac:dyDescent="0.2">
      <c r="H189" s="66">
        <v>0</v>
      </c>
      <c r="K189" s="66">
        <v>0</v>
      </c>
    </row>
    <row r="190" spans="8:11" customFormat="1" x14ac:dyDescent="0.2">
      <c r="H190" s="66">
        <v>0</v>
      </c>
      <c r="K190" s="66">
        <v>0</v>
      </c>
    </row>
    <row r="191" spans="8:11" customFormat="1" x14ac:dyDescent="0.2">
      <c r="H191" s="66">
        <v>0</v>
      </c>
      <c r="K191" s="66">
        <v>0</v>
      </c>
    </row>
    <row r="192" spans="8:11" customFormat="1" x14ac:dyDescent="0.2">
      <c r="H192" s="66">
        <v>0</v>
      </c>
      <c r="K192" s="66">
        <v>0</v>
      </c>
    </row>
    <row r="193" spans="8:11" customFormat="1" x14ac:dyDescent="0.2">
      <c r="H193" s="66">
        <v>0</v>
      </c>
      <c r="K193" s="66">
        <v>0</v>
      </c>
    </row>
    <row r="194" spans="8:11" customFormat="1" x14ac:dyDescent="0.2">
      <c r="H194" s="66">
        <v>0</v>
      </c>
      <c r="K194" s="66">
        <v>0</v>
      </c>
    </row>
    <row r="195" spans="8:11" customFormat="1" x14ac:dyDescent="0.2">
      <c r="H195" s="66">
        <v>0</v>
      </c>
      <c r="K195" s="66">
        <v>0</v>
      </c>
    </row>
    <row r="196" spans="8:11" customFormat="1" x14ac:dyDescent="0.2">
      <c r="H196" s="66">
        <v>0</v>
      </c>
      <c r="K196" s="66">
        <v>0</v>
      </c>
    </row>
    <row r="197" spans="8:11" customFormat="1" x14ac:dyDescent="0.2">
      <c r="H197" s="66">
        <v>0</v>
      </c>
      <c r="K197" s="66">
        <v>0</v>
      </c>
    </row>
    <row r="198" spans="8:11" customFormat="1" x14ac:dyDescent="0.2">
      <c r="H198" s="66">
        <v>0</v>
      </c>
      <c r="K198" s="66">
        <v>0</v>
      </c>
    </row>
    <row r="199" spans="8:11" customFormat="1" x14ac:dyDescent="0.2">
      <c r="H199" s="66">
        <v>0</v>
      </c>
      <c r="K199" s="66">
        <v>0</v>
      </c>
    </row>
    <row r="200" spans="8:11" customFormat="1" x14ac:dyDescent="0.2">
      <c r="H200" s="66">
        <v>0</v>
      </c>
      <c r="K200" s="66">
        <v>0</v>
      </c>
    </row>
    <row r="201" spans="8:11" customFormat="1" x14ac:dyDescent="0.2">
      <c r="H201" s="66">
        <v>0</v>
      </c>
      <c r="K201" s="66">
        <v>0</v>
      </c>
    </row>
    <row r="202" spans="8:11" customFormat="1" x14ac:dyDescent="0.2">
      <c r="H202" s="66">
        <v>0</v>
      </c>
      <c r="K202" s="66">
        <v>0</v>
      </c>
    </row>
    <row r="203" spans="8:11" customFormat="1" x14ac:dyDescent="0.2">
      <c r="H203" s="66">
        <v>0</v>
      </c>
      <c r="K203" s="66">
        <v>0</v>
      </c>
    </row>
    <row r="204" spans="8:11" customFormat="1" x14ac:dyDescent="0.2">
      <c r="H204" s="66">
        <v>0</v>
      </c>
      <c r="K204" s="66">
        <v>0</v>
      </c>
    </row>
    <row r="205" spans="8:11" customFormat="1" x14ac:dyDescent="0.2">
      <c r="H205" s="66">
        <v>0</v>
      </c>
      <c r="K205" s="66">
        <v>0</v>
      </c>
    </row>
    <row r="206" spans="8:11" customFormat="1" x14ac:dyDescent="0.2">
      <c r="H206" s="66">
        <v>0</v>
      </c>
      <c r="K206" s="66">
        <v>0</v>
      </c>
    </row>
    <row r="207" spans="8:11" customFormat="1" x14ac:dyDescent="0.2">
      <c r="H207" s="66">
        <v>0</v>
      </c>
      <c r="K207" s="66">
        <v>0</v>
      </c>
    </row>
    <row r="208" spans="8:11" customFormat="1" x14ac:dyDescent="0.2">
      <c r="H208" s="66">
        <v>0</v>
      </c>
      <c r="K208" s="66">
        <v>0</v>
      </c>
    </row>
    <row r="209" spans="8:11" customFormat="1" x14ac:dyDescent="0.2">
      <c r="H209" s="66">
        <v>0</v>
      </c>
      <c r="K209" s="66">
        <v>0</v>
      </c>
    </row>
    <row r="210" spans="8:11" customFormat="1" x14ac:dyDescent="0.2">
      <c r="H210" s="66">
        <v>0</v>
      </c>
      <c r="K210" s="66">
        <v>0</v>
      </c>
    </row>
    <row r="211" spans="8:11" customFormat="1" x14ac:dyDescent="0.2">
      <c r="H211" s="66">
        <v>0</v>
      </c>
      <c r="K211" s="66">
        <v>0</v>
      </c>
    </row>
    <row r="212" spans="8:11" customFormat="1" x14ac:dyDescent="0.2">
      <c r="H212" s="66">
        <v>0</v>
      </c>
      <c r="K212" s="66">
        <v>0</v>
      </c>
    </row>
    <row r="213" spans="8:11" customFormat="1" x14ac:dyDescent="0.2">
      <c r="H213" s="66">
        <v>0</v>
      </c>
      <c r="K213" s="66">
        <v>0</v>
      </c>
    </row>
    <row r="214" spans="8:11" customFormat="1" x14ac:dyDescent="0.2">
      <c r="H214" s="66">
        <v>0</v>
      </c>
      <c r="K214" s="66">
        <v>0</v>
      </c>
    </row>
    <row r="215" spans="8:11" customFormat="1" x14ac:dyDescent="0.2">
      <c r="H215" s="66">
        <v>0</v>
      </c>
      <c r="K215" s="66">
        <v>0</v>
      </c>
    </row>
    <row r="216" spans="8:11" customFormat="1" x14ac:dyDescent="0.2">
      <c r="H216" s="66">
        <v>0</v>
      </c>
      <c r="K216" s="66">
        <v>0</v>
      </c>
    </row>
    <row r="217" spans="8:11" customFormat="1" x14ac:dyDescent="0.2">
      <c r="H217" s="66">
        <v>0</v>
      </c>
      <c r="K217" s="66">
        <v>0</v>
      </c>
    </row>
    <row r="218" spans="8:11" customFormat="1" x14ac:dyDescent="0.2">
      <c r="H218" s="66">
        <v>0</v>
      </c>
      <c r="K218" s="66">
        <v>0</v>
      </c>
    </row>
    <row r="219" spans="8:11" customFormat="1" x14ac:dyDescent="0.2">
      <c r="H219" s="66">
        <v>0</v>
      </c>
      <c r="K219" s="66">
        <v>0</v>
      </c>
    </row>
    <row r="220" spans="8:11" customFormat="1" x14ac:dyDescent="0.2">
      <c r="H220" s="66">
        <v>0</v>
      </c>
      <c r="K220" s="66">
        <v>0</v>
      </c>
    </row>
    <row r="221" spans="8:11" customFormat="1" x14ac:dyDescent="0.2">
      <c r="H221" s="66">
        <v>0</v>
      </c>
      <c r="K221" s="66">
        <v>0</v>
      </c>
    </row>
    <row r="222" spans="8:11" customFormat="1" x14ac:dyDescent="0.2">
      <c r="H222" s="66">
        <v>0</v>
      </c>
      <c r="K222" s="66">
        <v>0</v>
      </c>
    </row>
    <row r="223" spans="8:11" customFormat="1" x14ac:dyDescent="0.2">
      <c r="H223" s="66">
        <v>0</v>
      </c>
      <c r="K223" s="66">
        <v>0</v>
      </c>
    </row>
    <row r="224" spans="8:11" customFormat="1" x14ac:dyDescent="0.2">
      <c r="H224" s="66">
        <v>0</v>
      </c>
      <c r="K224" s="66">
        <v>0</v>
      </c>
    </row>
    <row r="225" spans="8:11" customFormat="1" x14ac:dyDescent="0.2">
      <c r="H225" s="66">
        <v>0</v>
      </c>
      <c r="K225" s="66">
        <v>0</v>
      </c>
    </row>
    <row r="226" spans="8:11" customFormat="1" x14ac:dyDescent="0.2">
      <c r="H226" s="66">
        <v>0</v>
      </c>
      <c r="K226" s="66">
        <v>0</v>
      </c>
    </row>
    <row r="227" spans="8:11" customFormat="1" x14ac:dyDescent="0.2">
      <c r="H227" s="66">
        <v>0</v>
      </c>
      <c r="K227" s="66">
        <v>0</v>
      </c>
    </row>
    <row r="228" spans="8:11" customFormat="1" x14ac:dyDescent="0.2">
      <c r="H228" s="66">
        <v>0</v>
      </c>
      <c r="K228" s="66">
        <v>0</v>
      </c>
    </row>
    <row r="229" spans="8:11" customFormat="1" x14ac:dyDescent="0.2">
      <c r="H229" s="66">
        <v>0</v>
      </c>
      <c r="K229" s="66">
        <v>0</v>
      </c>
    </row>
    <row r="230" spans="8:11" customFormat="1" x14ac:dyDescent="0.2">
      <c r="H230" s="66">
        <v>0</v>
      </c>
      <c r="K230" s="66">
        <v>0</v>
      </c>
    </row>
    <row r="231" spans="8:11" customFormat="1" x14ac:dyDescent="0.2">
      <c r="H231" s="66">
        <v>0</v>
      </c>
      <c r="K231" s="66">
        <v>0</v>
      </c>
    </row>
    <row r="232" spans="8:11" customFormat="1" x14ac:dyDescent="0.2">
      <c r="H232" s="66">
        <v>0</v>
      </c>
      <c r="K232" s="66">
        <v>0</v>
      </c>
    </row>
    <row r="233" spans="8:11" customFormat="1" x14ac:dyDescent="0.2">
      <c r="H233" s="66">
        <v>0</v>
      </c>
      <c r="K233" s="66">
        <v>0</v>
      </c>
    </row>
    <row r="234" spans="8:11" customFormat="1" x14ac:dyDescent="0.2">
      <c r="H234" s="66">
        <v>0</v>
      </c>
      <c r="K234" s="66">
        <v>0</v>
      </c>
    </row>
    <row r="235" spans="8:11" customFormat="1" x14ac:dyDescent="0.2">
      <c r="H235" s="66">
        <v>0</v>
      </c>
      <c r="K235" s="66">
        <v>0</v>
      </c>
    </row>
    <row r="236" spans="8:11" customFormat="1" x14ac:dyDescent="0.2">
      <c r="H236" s="66">
        <v>0</v>
      </c>
      <c r="K236" s="66">
        <v>0</v>
      </c>
    </row>
    <row r="237" spans="8:11" customFormat="1" x14ac:dyDescent="0.2">
      <c r="H237" s="66">
        <v>0</v>
      </c>
      <c r="K237" s="66">
        <v>0</v>
      </c>
    </row>
    <row r="238" spans="8:11" customFormat="1" x14ac:dyDescent="0.2">
      <c r="H238" s="66">
        <v>0</v>
      </c>
      <c r="K238" s="66">
        <v>0</v>
      </c>
    </row>
    <row r="239" spans="8:11" customFormat="1" x14ac:dyDescent="0.2">
      <c r="H239" s="66">
        <v>0</v>
      </c>
      <c r="K239" s="66">
        <v>0</v>
      </c>
    </row>
    <row r="240" spans="8:11" customFormat="1" x14ac:dyDescent="0.2">
      <c r="H240" s="66">
        <v>0</v>
      </c>
      <c r="K240" s="66">
        <v>0</v>
      </c>
    </row>
    <row r="241" spans="8:11" customFormat="1" x14ac:dyDescent="0.2">
      <c r="H241" s="66">
        <v>0</v>
      </c>
      <c r="K241" s="66">
        <v>0</v>
      </c>
    </row>
    <row r="242" spans="8:11" customFormat="1" x14ac:dyDescent="0.2">
      <c r="H242" s="66">
        <v>0</v>
      </c>
      <c r="K242" s="66">
        <v>0</v>
      </c>
    </row>
    <row r="243" spans="8:11" customFormat="1" x14ac:dyDescent="0.2">
      <c r="H243" s="66">
        <v>0</v>
      </c>
      <c r="K243" s="66">
        <v>0</v>
      </c>
    </row>
    <row r="244" spans="8:11" customFormat="1" x14ac:dyDescent="0.2">
      <c r="H244" s="66">
        <v>0</v>
      </c>
      <c r="K244" s="66">
        <v>0</v>
      </c>
    </row>
    <row r="245" spans="8:11" customFormat="1" x14ac:dyDescent="0.2">
      <c r="H245" s="66">
        <v>0</v>
      </c>
      <c r="K245" s="66">
        <v>0</v>
      </c>
    </row>
    <row r="246" spans="8:11" customFormat="1" x14ac:dyDescent="0.2">
      <c r="H246" s="66">
        <v>0</v>
      </c>
      <c r="K246" s="66">
        <v>0</v>
      </c>
    </row>
    <row r="247" spans="8:11" customFormat="1" x14ac:dyDescent="0.2">
      <c r="H247" s="66">
        <v>0</v>
      </c>
      <c r="K247" s="66">
        <v>0</v>
      </c>
    </row>
    <row r="248" spans="8:11" customFormat="1" x14ac:dyDescent="0.2">
      <c r="H248" s="66">
        <v>0</v>
      </c>
      <c r="K248" s="66">
        <v>0</v>
      </c>
    </row>
    <row r="249" spans="8:11" customFormat="1" x14ac:dyDescent="0.2">
      <c r="H249" s="66">
        <v>0</v>
      </c>
      <c r="K249" s="66">
        <v>0</v>
      </c>
    </row>
    <row r="250" spans="8:11" customFormat="1" x14ac:dyDescent="0.2">
      <c r="H250" s="66">
        <v>0</v>
      </c>
      <c r="K250" s="66">
        <v>0</v>
      </c>
    </row>
    <row r="251" spans="8:11" customFormat="1" x14ac:dyDescent="0.2">
      <c r="H251" s="66">
        <v>0</v>
      </c>
      <c r="K251" s="66">
        <v>0</v>
      </c>
    </row>
    <row r="252" spans="8:11" customFormat="1" x14ac:dyDescent="0.2">
      <c r="H252" s="66">
        <v>0</v>
      </c>
      <c r="K252" s="66">
        <v>0</v>
      </c>
    </row>
    <row r="253" spans="8:11" customFormat="1" x14ac:dyDescent="0.2">
      <c r="H253" s="66">
        <v>0</v>
      </c>
      <c r="K253" s="66">
        <v>0</v>
      </c>
    </row>
    <row r="254" spans="8:11" customFormat="1" x14ac:dyDescent="0.2">
      <c r="H254" s="66">
        <v>0</v>
      </c>
      <c r="K254" s="66">
        <v>0</v>
      </c>
    </row>
    <row r="255" spans="8:11" customFormat="1" x14ac:dyDescent="0.2">
      <c r="H255" s="66">
        <v>0</v>
      </c>
      <c r="K255" s="66">
        <v>0</v>
      </c>
    </row>
    <row r="256" spans="8:11" customFormat="1" x14ac:dyDescent="0.2">
      <c r="H256" s="66">
        <v>0</v>
      </c>
      <c r="K256" s="66">
        <v>0</v>
      </c>
    </row>
    <row r="257" spans="8:11" customFormat="1" x14ac:dyDescent="0.2">
      <c r="H257" s="66">
        <v>0</v>
      </c>
      <c r="K257" s="66">
        <v>0</v>
      </c>
    </row>
    <row r="258" spans="8:11" customFormat="1" x14ac:dyDescent="0.2">
      <c r="H258" s="66">
        <v>0</v>
      </c>
      <c r="K258" s="66">
        <v>0</v>
      </c>
    </row>
    <row r="259" spans="8:11" customFormat="1" x14ac:dyDescent="0.2">
      <c r="H259" s="66">
        <v>0</v>
      </c>
      <c r="K259" s="66">
        <v>0</v>
      </c>
    </row>
    <row r="260" spans="8:11" customFormat="1" x14ac:dyDescent="0.2">
      <c r="H260" s="66">
        <v>0</v>
      </c>
      <c r="K260" s="66">
        <v>0</v>
      </c>
    </row>
    <row r="261" spans="8:11" customFormat="1" x14ac:dyDescent="0.2">
      <c r="H261" s="66">
        <v>0</v>
      </c>
      <c r="K261" s="66">
        <v>0</v>
      </c>
    </row>
    <row r="262" spans="8:11" customFormat="1" x14ac:dyDescent="0.2">
      <c r="H262" s="66">
        <v>0</v>
      </c>
      <c r="K262" s="66">
        <v>0</v>
      </c>
    </row>
    <row r="263" spans="8:11" customFormat="1" x14ac:dyDescent="0.2">
      <c r="H263" s="66">
        <v>0</v>
      </c>
      <c r="K263" s="66">
        <v>0</v>
      </c>
    </row>
    <row r="264" spans="8:11" customFormat="1" x14ac:dyDescent="0.2">
      <c r="H264" s="66">
        <v>0</v>
      </c>
      <c r="K264" s="66">
        <v>0</v>
      </c>
    </row>
    <row r="265" spans="8:11" customFormat="1" x14ac:dyDescent="0.2">
      <c r="H265" s="66">
        <v>0</v>
      </c>
      <c r="K265" s="66">
        <v>0</v>
      </c>
    </row>
    <row r="266" spans="8:11" customFormat="1" x14ac:dyDescent="0.2">
      <c r="H266" s="66">
        <v>0</v>
      </c>
      <c r="K266" s="66">
        <v>0</v>
      </c>
    </row>
    <row r="267" spans="8:11" customFormat="1" x14ac:dyDescent="0.2">
      <c r="H267" s="66">
        <v>0</v>
      </c>
      <c r="K267" s="66">
        <v>0</v>
      </c>
    </row>
    <row r="268" spans="8:11" customFormat="1" x14ac:dyDescent="0.2">
      <c r="H268" s="66">
        <v>0</v>
      </c>
      <c r="K268" s="66">
        <v>0</v>
      </c>
    </row>
    <row r="269" spans="8:11" customFormat="1" x14ac:dyDescent="0.2">
      <c r="H269" s="66">
        <v>0</v>
      </c>
      <c r="K269" s="66">
        <v>0</v>
      </c>
    </row>
    <row r="270" spans="8:11" customFormat="1" x14ac:dyDescent="0.2">
      <c r="H270" s="66">
        <v>0</v>
      </c>
      <c r="K270" s="66">
        <v>0</v>
      </c>
    </row>
    <row r="271" spans="8:11" customFormat="1" x14ac:dyDescent="0.2">
      <c r="H271" s="66">
        <v>0</v>
      </c>
      <c r="K271" s="66">
        <v>0</v>
      </c>
    </row>
    <row r="272" spans="8:11" customFormat="1" x14ac:dyDescent="0.2">
      <c r="H272" s="66">
        <v>0</v>
      </c>
      <c r="K272" s="66">
        <v>0</v>
      </c>
    </row>
    <row r="273" spans="8:11" customFormat="1" x14ac:dyDescent="0.2">
      <c r="H273" s="66">
        <v>0</v>
      </c>
      <c r="K273" s="66">
        <v>0</v>
      </c>
    </row>
    <row r="274" spans="8:11" customFormat="1" x14ac:dyDescent="0.2">
      <c r="H274" s="66">
        <v>0</v>
      </c>
      <c r="K274" s="66">
        <v>0</v>
      </c>
    </row>
    <row r="275" spans="8:11" customFormat="1" x14ac:dyDescent="0.2">
      <c r="H275" s="66">
        <v>0</v>
      </c>
      <c r="K275" s="66">
        <v>0</v>
      </c>
    </row>
    <row r="276" spans="8:11" customFormat="1" x14ac:dyDescent="0.2">
      <c r="H276" s="66">
        <v>0</v>
      </c>
      <c r="K276" s="66">
        <v>0</v>
      </c>
    </row>
    <row r="277" spans="8:11" customFormat="1" x14ac:dyDescent="0.2">
      <c r="H277" s="66">
        <v>0</v>
      </c>
      <c r="K277" s="66">
        <v>0</v>
      </c>
    </row>
    <row r="278" spans="8:11" customFormat="1" x14ac:dyDescent="0.2">
      <c r="H278" s="66">
        <v>0</v>
      </c>
      <c r="K278" s="66">
        <v>0</v>
      </c>
    </row>
    <row r="279" spans="8:11" customFormat="1" x14ac:dyDescent="0.2">
      <c r="H279" s="66">
        <v>0</v>
      </c>
      <c r="K279" s="66">
        <v>0</v>
      </c>
    </row>
    <row r="280" spans="8:11" customFormat="1" x14ac:dyDescent="0.2">
      <c r="H280" s="66">
        <v>0</v>
      </c>
      <c r="K280" s="66">
        <v>0</v>
      </c>
    </row>
    <row r="281" spans="8:11" customFormat="1" x14ac:dyDescent="0.2">
      <c r="H281" s="66">
        <v>0</v>
      </c>
      <c r="K281" s="66">
        <v>0</v>
      </c>
    </row>
    <row r="282" spans="8:11" customFormat="1" x14ac:dyDescent="0.2">
      <c r="H282" s="66">
        <v>0</v>
      </c>
      <c r="K282" s="66">
        <v>0</v>
      </c>
    </row>
    <row r="283" spans="8:11" customFormat="1" x14ac:dyDescent="0.2">
      <c r="H283" s="66">
        <v>0</v>
      </c>
      <c r="K283" s="66">
        <v>0</v>
      </c>
    </row>
    <row r="284" spans="8:11" customFormat="1" x14ac:dyDescent="0.2">
      <c r="H284" s="66">
        <v>0</v>
      </c>
      <c r="K284" s="66">
        <v>0</v>
      </c>
    </row>
    <row r="285" spans="8:11" customFormat="1" x14ac:dyDescent="0.2">
      <c r="H285" s="66">
        <v>0</v>
      </c>
      <c r="K285" s="66">
        <v>0</v>
      </c>
    </row>
    <row r="286" spans="8:11" customFormat="1" x14ac:dyDescent="0.2">
      <c r="H286" s="66">
        <v>0</v>
      </c>
      <c r="K286" s="66">
        <v>0</v>
      </c>
    </row>
    <row r="287" spans="8:11" customFormat="1" x14ac:dyDescent="0.2">
      <c r="H287" s="66">
        <v>0</v>
      </c>
      <c r="K287" s="66">
        <v>0</v>
      </c>
    </row>
    <row r="288" spans="8:11" customFormat="1" x14ac:dyDescent="0.2">
      <c r="H288" s="66">
        <v>0</v>
      </c>
      <c r="K288" s="66">
        <v>0</v>
      </c>
    </row>
    <row r="289" spans="8:11" customFormat="1" x14ac:dyDescent="0.2">
      <c r="H289" s="66">
        <v>0</v>
      </c>
      <c r="K289" s="66">
        <v>0</v>
      </c>
    </row>
    <row r="290" spans="8:11" customFormat="1" x14ac:dyDescent="0.2">
      <c r="H290" s="66">
        <v>0</v>
      </c>
      <c r="K290" s="66">
        <v>0</v>
      </c>
    </row>
    <row r="291" spans="8:11" customFormat="1" x14ac:dyDescent="0.2">
      <c r="H291" s="66">
        <v>0</v>
      </c>
      <c r="K291" s="66">
        <v>0</v>
      </c>
    </row>
    <row r="292" spans="8:11" customFormat="1" x14ac:dyDescent="0.2">
      <c r="H292" s="66">
        <v>0</v>
      </c>
      <c r="K292" s="66">
        <v>0</v>
      </c>
    </row>
    <row r="293" spans="8:11" customFormat="1" x14ac:dyDescent="0.2">
      <c r="H293" s="66">
        <v>0</v>
      </c>
      <c r="K293" s="66">
        <v>0</v>
      </c>
    </row>
    <row r="294" spans="8:11" customFormat="1" x14ac:dyDescent="0.2">
      <c r="H294" s="66">
        <v>0</v>
      </c>
      <c r="K294" s="66">
        <v>0</v>
      </c>
    </row>
    <row r="295" spans="8:11" customFormat="1" x14ac:dyDescent="0.2">
      <c r="H295" s="66">
        <v>0</v>
      </c>
      <c r="K295" s="66">
        <v>0</v>
      </c>
    </row>
    <row r="296" spans="8:11" customFormat="1" x14ac:dyDescent="0.2">
      <c r="H296" s="66">
        <v>0</v>
      </c>
      <c r="K296" s="66">
        <v>0</v>
      </c>
    </row>
    <row r="297" spans="8:11" customFormat="1" x14ac:dyDescent="0.2">
      <c r="H297" s="66">
        <v>0</v>
      </c>
      <c r="K297" s="66">
        <v>0</v>
      </c>
    </row>
    <row r="298" spans="8:11" customFormat="1" x14ac:dyDescent="0.2">
      <c r="H298" s="66">
        <v>0</v>
      </c>
      <c r="K298" s="66">
        <v>0</v>
      </c>
    </row>
    <row r="299" spans="8:11" customFormat="1" x14ac:dyDescent="0.2">
      <c r="H299" s="66">
        <v>0</v>
      </c>
      <c r="K299" s="66">
        <v>0</v>
      </c>
    </row>
    <row r="300" spans="8:11" customFormat="1" x14ac:dyDescent="0.2">
      <c r="H300" s="66">
        <v>0</v>
      </c>
      <c r="K300" s="66">
        <v>0</v>
      </c>
    </row>
    <row r="301" spans="8:11" customFormat="1" x14ac:dyDescent="0.2">
      <c r="H301" s="66">
        <v>0</v>
      </c>
      <c r="K301" s="66">
        <v>0</v>
      </c>
    </row>
    <row r="302" spans="8:11" customFormat="1" x14ac:dyDescent="0.2">
      <c r="H302" s="66">
        <v>0</v>
      </c>
      <c r="K302" s="66">
        <v>0</v>
      </c>
    </row>
    <row r="303" spans="8:11" customFormat="1" x14ac:dyDescent="0.2">
      <c r="H303" s="66">
        <v>0</v>
      </c>
      <c r="K303" s="66">
        <v>0</v>
      </c>
    </row>
    <row r="304" spans="8:11" customFormat="1" x14ac:dyDescent="0.2">
      <c r="H304" s="66">
        <v>0</v>
      </c>
      <c r="K304" s="66">
        <v>0</v>
      </c>
    </row>
    <row r="305" spans="8:11" customFormat="1" x14ac:dyDescent="0.2">
      <c r="H305" s="66">
        <v>0</v>
      </c>
      <c r="K305" s="66">
        <v>0</v>
      </c>
    </row>
    <row r="306" spans="8:11" customFormat="1" x14ac:dyDescent="0.2">
      <c r="H306" s="66">
        <v>0</v>
      </c>
      <c r="K306" s="66">
        <v>0</v>
      </c>
    </row>
    <row r="307" spans="8:11" customFormat="1" x14ac:dyDescent="0.2">
      <c r="H307" s="66">
        <v>0</v>
      </c>
      <c r="K307" s="66">
        <v>0</v>
      </c>
    </row>
    <row r="308" spans="8:11" customFormat="1" x14ac:dyDescent="0.2">
      <c r="H308" s="66">
        <v>0</v>
      </c>
      <c r="K308" s="66">
        <v>0</v>
      </c>
    </row>
    <row r="309" spans="8:11" customFormat="1" x14ac:dyDescent="0.2">
      <c r="H309" s="66">
        <v>0</v>
      </c>
      <c r="K309" s="66">
        <v>0</v>
      </c>
    </row>
    <row r="310" spans="8:11" customFormat="1" x14ac:dyDescent="0.2">
      <c r="H310" s="66">
        <v>0</v>
      </c>
      <c r="K310" s="66">
        <v>0</v>
      </c>
    </row>
    <row r="311" spans="8:11" customFormat="1" x14ac:dyDescent="0.2">
      <c r="H311" s="66">
        <v>0</v>
      </c>
      <c r="K311" s="66">
        <v>0</v>
      </c>
    </row>
    <row r="312" spans="8:11" customFormat="1" x14ac:dyDescent="0.2">
      <c r="H312" s="66">
        <v>0</v>
      </c>
      <c r="K312" s="66">
        <v>0</v>
      </c>
    </row>
    <row r="313" spans="8:11" customFormat="1" x14ac:dyDescent="0.2">
      <c r="H313" s="66">
        <v>0</v>
      </c>
      <c r="K313" s="66">
        <v>0</v>
      </c>
    </row>
    <row r="314" spans="8:11" customFormat="1" x14ac:dyDescent="0.2">
      <c r="H314" s="66">
        <v>0</v>
      </c>
      <c r="K314" s="66">
        <v>0</v>
      </c>
    </row>
    <row r="315" spans="8:11" customFormat="1" x14ac:dyDescent="0.2">
      <c r="H315" s="66">
        <v>0</v>
      </c>
      <c r="K315" s="66">
        <v>0</v>
      </c>
    </row>
    <row r="316" spans="8:11" customFormat="1" x14ac:dyDescent="0.2">
      <c r="H316" s="66"/>
    </row>
    <row r="317" spans="8:11" customFormat="1" x14ac:dyDescent="0.2">
      <c r="H317" s="66">
        <v>0</v>
      </c>
    </row>
    <row r="318" spans="8:11" customFormat="1" x14ac:dyDescent="0.2">
      <c r="H318" s="66">
        <v>0</v>
      </c>
    </row>
    <row r="319" spans="8:11" customFormat="1" x14ac:dyDescent="0.2">
      <c r="H319" s="66">
        <v>0</v>
      </c>
    </row>
    <row r="320" spans="8:11" customFormat="1" x14ac:dyDescent="0.2">
      <c r="H320" s="66">
        <v>0</v>
      </c>
    </row>
    <row r="321" spans="8:8" customFormat="1" x14ac:dyDescent="0.2">
      <c r="H321" s="66">
        <v>0</v>
      </c>
    </row>
    <row r="322" spans="8:8" customFormat="1" x14ac:dyDescent="0.2">
      <c r="H322" s="66">
        <v>0</v>
      </c>
    </row>
    <row r="323" spans="8:8" customFormat="1" x14ac:dyDescent="0.2">
      <c r="H323" s="66">
        <v>0</v>
      </c>
    </row>
    <row r="324" spans="8:8" customFormat="1" x14ac:dyDescent="0.2">
      <c r="H324" s="66">
        <v>0</v>
      </c>
    </row>
    <row r="325" spans="8:8" customFormat="1" x14ac:dyDescent="0.2">
      <c r="H325" s="66">
        <v>0</v>
      </c>
    </row>
    <row r="326" spans="8:8" customFormat="1" x14ac:dyDescent="0.2">
      <c r="H326" s="66">
        <v>0</v>
      </c>
    </row>
    <row r="327" spans="8:8" customFormat="1" x14ac:dyDescent="0.2">
      <c r="H327" s="66">
        <v>0</v>
      </c>
    </row>
    <row r="328" spans="8:8" customFormat="1" x14ac:dyDescent="0.2">
      <c r="H328" s="66">
        <v>0</v>
      </c>
    </row>
    <row r="329" spans="8:8" customFormat="1" x14ac:dyDescent="0.2">
      <c r="H329" s="66">
        <v>0</v>
      </c>
    </row>
    <row r="330" spans="8:8" customFormat="1" x14ac:dyDescent="0.2">
      <c r="H330" s="66">
        <v>0</v>
      </c>
    </row>
    <row r="331" spans="8:8" customFormat="1" x14ac:dyDescent="0.2">
      <c r="H331" s="66">
        <v>0</v>
      </c>
    </row>
    <row r="332" spans="8:8" customFormat="1" x14ac:dyDescent="0.2">
      <c r="H332" s="66">
        <v>0</v>
      </c>
    </row>
    <row r="333" spans="8:8" customFormat="1" x14ac:dyDescent="0.2">
      <c r="H333" s="66">
        <v>0</v>
      </c>
    </row>
    <row r="334" spans="8:8" customFormat="1" x14ac:dyDescent="0.2">
      <c r="H334" s="66">
        <v>0</v>
      </c>
    </row>
    <row r="335" spans="8:8" customFormat="1" x14ac:dyDescent="0.2">
      <c r="H335" s="66">
        <v>0</v>
      </c>
    </row>
    <row r="336" spans="8:8" customFormat="1" x14ac:dyDescent="0.2">
      <c r="H336" s="66">
        <v>0</v>
      </c>
    </row>
    <row r="337" spans="8:8" customFormat="1" x14ac:dyDescent="0.2">
      <c r="H337" s="66">
        <v>0</v>
      </c>
    </row>
    <row r="338" spans="8:8" customFormat="1" x14ac:dyDescent="0.2">
      <c r="H338" s="66">
        <v>0</v>
      </c>
    </row>
    <row r="339" spans="8:8" customFormat="1" x14ac:dyDescent="0.2">
      <c r="H339" s="66">
        <v>0</v>
      </c>
    </row>
    <row r="340" spans="8:8" customFormat="1" x14ac:dyDescent="0.2">
      <c r="H340" s="66">
        <v>0</v>
      </c>
    </row>
    <row r="341" spans="8:8" customFormat="1" x14ac:dyDescent="0.2">
      <c r="H341" s="66">
        <v>0</v>
      </c>
    </row>
    <row r="342" spans="8:8" customFormat="1" x14ac:dyDescent="0.2">
      <c r="H342" s="66">
        <v>0</v>
      </c>
    </row>
    <row r="343" spans="8:8" customFormat="1" x14ac:dyDescent="0.2">
      <c r="H343" s="66">
        <v>0</v>
      </c>
    </row>
    <row r="344" spans="8:8" customFormat="1" x14ac:dyDescent="0.2">
      <c r="H344" s="66">
        <v>0</v>
      </c>
    </row>
    <row r="345" spans="8:8" customFormat="1" x14ac:dyDescent="0.2">
      <c r="H345" s="66">
        <v>0</v>
      </c>
    </row>
    <row r="346" spans="8:8" customFormat="1" x14ac:dyDescent="0.2">
      <c r="H346" s="66">
        <v>0</v>
      </c>
    </row>
    <row r="347" spans="8:8" customFormat="1" x14ac:dyDescent="0.2">
      <c r="H347" s="66">
        <v>0</v>
      </c>
    </row>
    <row r="348" spans="8:8" customFormat="1" x14ac:dyDescent="0.2">
      <c r="H348" s="66">
        <v>0</v>
      </c>
    </row>
    <row r="349" spans="8:8" customFormat="1" x14ac:dyDescent="0.2">
      <c r="H349" s="66">
        <v>0</v>
      </c>
    </row>
    <row r="350" spans="8:8" customFormat="1" x14ac:dyDescent="0.2">
      <c r="H350" s="66">
        <v>0</v>
      </c>
    </row>
    <row r="351" spans="8:8" customFormat="1" x14ac:dyDescent="0.2">
      <c r="H351" s="66">
        <v>0</v>
      </c>
    </row>
    <row r="352" spans="8:8" customFormat="1" x14ac:dyDescent="0.2">
      <c r="H352" s="66">
        <v>0</v>
      </c>
    </row>
    <row r="353" spans="8:8" customFormat="1" x14ac:dyDescent="0.2">
      <c r="H353" s="66">
        <v>0</v>
      </c>
    </row>
    <row r="354" spans="8:8" customFormat="1" x14ac:dyDescent="0.2">
      <c r="H354" s="66">
        <v>0</v>
      </c>
    </row>
    <row r="355" spans="8:8" customFormat="1" x14ac:dyDescent="0.2">
      <c r="H355" s="66">
        <v>0</v>
      </c>
    </row>
    <row r="356" spans="8:8" customFormat="1" x14ac:dyDescent="0.2">
      <c r="H356" s="66">
        <v>0</v>
      </c>
    </row>
    <row r="357" spans="8:8" customFormat="1" x14ac:dyDescent="0.2">
      <c r="H357" s="66">
        <v>0</v>
      </c>
    </row>
    <row r="358" spans="8:8" customFormat="1" x14ac:dyDescent="0.2">
      <c r="H358" s="66">
        <v>0</v>
      </c>
    </row>
    <row r="359" spans="8:8" customFormat="1" x14ac:dyDescent="0.2"/>
    <row r="360" spans="8:8" customFormat="1" x14ac:dyDescent="0.2"/>
    <row r="361" spans="8:8" customFormat="1" x14ac:dyDescent="0.2"/>
    <row r="362" spans="8:8" customFormat="1" x14ac:dyDescent="0.2"/>
    <row r="363" spans="8:8" customFormat="1" x14ac:dyDescent="0.2"/>
    <row r="364" spans="8:8" customFormat="1" x14ac:dyDescent="0.2"/>
    <row r="365" spans="8:8" customFormat="1" x14ac:dyDescent="0.2"/>
    <row r="366" spans="8:8" customFormat="1" x14ac:dyDescent="0.2"/>
    <row r="367" spans="8:8" customFormat="1" x14ac:dyDescent="0.2"/>
    <row r="368" spans="8: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202" bestFit="1" customWidth="1"/>
    <col min="2" max="9" width="9.140625" style="202"/>
    <col min="10" max="10" width="9.28515625" style="202" bestFit="1" customWidth="1"/>
    <col min="11" max="11" width="9.85546875" style="202" bestFit="1" customWidth="1"/>
    <col min="12" max="12" width="9.140625" style="202"/>
    <col min="13" max="13" width="12" style="202" bestFit="1" customWidth="1"/>
    <col min="14" max="14" width="9.28515625" style="202" bestFit="1" customWidth="1"/>
    <col min="15" max="32" width="9.140625" style="202"/>
  </cols>
  <sheetData>
    <row r="3" spans="1:20" x14ac:dyDescent="0.2">
      <c r="Q3" s="202" t="s">
        <v>208</v>
      </c>
      <c r="S3" s="202" t="s">
        <v>33</v>
      </c>
    </row>
    <row r="5" spans="1:20" x14ac:dyDescent="0.2">
      <c r="A5" s="202" t="s">
        <v>209</v>
      </c>
      <c r="B5" s="202" t="s">
        <v>175</v>
      </c>
      <c r="C5" s="202" t="s">
        <v>107</v>
      </c>
      <c r="D5" s="202" t="s">
        <v>21</v>
      </c>
      <c r="E5" s="202" t="s">
        <v>210</v>
      </c>
      <c r="F5" s="202" t="s">
        <v>22</v>
      </c>
      <c r="G5" s="202" t="s">
        <v>166</v>
      </c>
      <c r="H5" s="202" t="s">
        <v>163</v>
      </c>
      <c r="I5" s="202" t="s">
        <v>211</v>
      </c>
      <c r="J5" s="202" t="s">
        <v>37</v>
      </c>
      <c r="K5" s="202" t="s">
        <v>28</v>
      </c>
      <c r="M5" s="202" t="s">
        <v>37</v>
      </c>
    </row>
    <row r="6" spans="1:20" x14ac:dyDescent="0.2">
      <c r="A6" s="289">
        <v>1.07</v>
      </c>
      <c r="B6" s="289">
        <v>3.68</v>
      </c>
      <c r="C6" s="202">
        <v>4.75</v>
      </c>
      <c r="D6" s="202">
        <v>3.6999999999999998E-2</v>
      </c>
      <c r="E6" s="202">
        <v>3.6999999999999998E-2</v>
      </c>
      <c r="F6" s="202">
        <v>0.8</v>
      </c>
      <c r="G6" s="266">
        <f ca="1">H6-TODAY()</f>
        <v>84</v>
      </c>
      <c r="H6" s="287">
        <v>37343</v>
      </c>
      <c r="I6" s="202">
        <v>1</v>
      </c>
      <c r="J6" s="286">
        <f ca="1">_xll.DIGITAL($A6,$B6,$C6,$D6,$E6,$F6,$G6,$I6,0)</f>
        <v>0.20761963503440414</v>
      </c>
      <c r="K6" s="286">
        <f ca="1">_xll.DIGITAL($A6,$B6,$C6,$D6,$E6,$F6,$G6,$I6,1)</f>
        <v>0.20764527689211351</v>
      </c>
      <c r="M6" s="288">
        <f ca="1">J6*-1</f>
        <v>-0.20761963503440414</v>
      </c>
      <c r="N6" s="289">
        <f ca="1">_xll.DIGITAL($A6,$B6+0.01,$C6,$D6,$E6,$F6,$G6,$I6,0)</f>
        <v>0.20969942454142862</v>
      </c>
      <c r="O6" s="286">
        <f ca="1">N6-J6</f>
        <v>2.0797895070244765E-3</v>
      </c>
      <c r="Q6" s="289">
        <f ca="1">O6/100</f>
        <v>2.0797895070244767E-5</v>
      </c>
      <c r="S6" s="286">
        <f ca="1">T6-J6</f>
        <v>1.7089961360262917E-3</v>
      </c>
      <c r="T6" s="286">
        <f ca="1">_xll.DIGITAL($A6,$B6,$C6,$D6,$E6,$F6+0.01,$G6,$I6,0)</f>
        <v>0.20932863117043043</v>
      </c>
    </row>
    <row r="7" spans="1:20" x14ac:dyDescent="0.2">
      <c r="A7" s="286"/>
      <c r="G7" s="266"/>
      <c r="H7" s="287"/>
      <c r="J7" s="286"/>
      <c r="K7" s="286"/>
      <c r="M7" s="286"/>
      <c r="N7" s="286"/>
      <c r="O7" s="286"/>
      <c r="Q7" s="289"/>
      <c r="S7" s="286"/>
      <c r="T7" s="286"/>
    </row>
    <row r="8" spans="1:20" x14ac:dyDescent="0.2">
      <c r="A8" s="286"/>
      <c r="G8" s="266"/>
      <c r="H8" s="287"/>
      <c r="J8" s="286"/>
      <c r="K8" s="286"/>
      <c r="M8" s="286"/>
      <c r="N8" s="286"/>
      <c r="O8" s="286"/>
      <c r="Q8" s="289"/>
      <c r="S8" s="286"/>
      <c r="T8" s="286"/>
    </row>
    <row r="9" spans="1:20" x14ac:dyDescent="0.2">
      <c r="A9" s="286"/>
      <c r="G9" s="266"/>
      <c r="H9" s="287"/>
      <c r="J9" s="286"/>
      <c r="K9" s="286"/>
      <c r="M9" s="286"/>
      <c r="N9" s="286"/>
      <c r="O9" s="286"/>
      <c r="Q9" s="289"/>
      <c r="S9" s="286"/>
      <c r="T9" s="286"/>
    </row>
    <row r="10" spans="1:20" x14ac:dyDescent="0.2">
      <c r="A10" s="286"/>
      <c r="G10" s="266"/>
      <c r="H10" s="287"/>
      <c r="J10" s="286"/>
      <c r="K10" s="286"/>
      <c r="M10" s="286"/>
      <c r="N10" s="286"/>
      <c r="O10" s="286"/>
      <c r="Q10" s="289"/>
      <c r="S10" s="286"/>
      <c r="T10" s="286"/>
    </row>
    <row r="11" spans="1:20" x14ac:dyDescent="0.2">
      <c r="A11" s="286"/>
      <c r="G11" s="266"/>
      <c r="H11" s="287"/>
      <c r="J11" s="286"/>
      <c r="K11" s="286"/>
      <c r="M11" s="286"/>
      <c r="N11" s="286"/>
      <c r="O11" s="286"/>
      <c r="Q11" s="289"/>
      <c r="S11" s="286"/>
      <c r="T11" s="286"/>
    </row>
    <row r="12" spans="1:20" x14ac:dyDescent="0.2">
      <c r="A12" s="286"/>
      <c r="G12" s="266"/>
      <c r="H12" s="287"/>
      <c r="J12" s="286"/>
      <c r="K12" s="286"/>
      <c r="M12" s="286"/>
      <c r="N12" s="286"/>
      <c r="O12" s="286"/>
      <c r="Q12" s="289"/>
      <c r="S12" s="286"/>
      <c r="T12" s="286"/>
    </row>
    <row r="13" spans="1:20" x14ac:dyDescent="0.2">
      <c r="A13" s="286"/>
      <c r="E13" s="202">
        <v>0</v>
      </c>
    </row>
    <row r="14" spans="1:20" x14ac:dyDescent="0.2">
      <c r="A14" s="286"/>
    </row>
    <row r="15" spans="1:20" x14ac:dyDescent="0.2">
      <c r="A15" s="286"/>
      <c r="K15" s="286"/>
      <c r="M15" s="286"/>
      <c r="O15" s="286"/>
      <c r="Q15" s="289"/>
      <c r="S15" s="286"/>
    </row>
    <row r="16" spans="1:20" x14ac:dyDescent="0.2">
      <c r="A16" s="286"/>
    </row>
    <row r="17" spans="1:19" x14ac:dyDescent="0.2">
      <c r="A17" s="286"/>
      <c r="K17" s="286"/>
      <c r="M17" s="286"/>
      <c r="O17" s="286"/>
      <c r="Q17" s="289"/>
      <c r="S17" s="286"/>
    </row>
    <row r="18" spans="1:19" x14ac:dyDescent="0.2">
      <c r="A18" s="286"/>
    </row>
    <row r="19" spans="1:19" x14ac:dyDescent="0.2">
      <c r="A19" s="286"/>
    </row>
    <row r="20" spans="1:19" x14ac:dyDescent="0.2">
      <c r="A20" s="286"/>
    </row>
    <row r="21" spans="1:19" x14ac:dyDescent="0.2">
      <c r="A21" s="286"/>
    </row>
    <row r="22" spans="1:19" x14ac:dyDescent="0.2">
      <c r="A22" s="286">
        <v>1.07</v>
      </c>
    </row>
    <row r="23" spans="1:19" x14ac:dyDescent="0.2">
      <c r="A23" s="286"/>
    </row>
    <row r="24" spans="1:19" x14ac:dyDescent="0.2">
      <c r="A24" s="286"/>
    </row>
    <row r="25" spans="1:19" x14ac:dyDescent="0.2">
      <c r="A25" s="286"/>
    </row>
    <row r="26" spans="1:19" x14ac:dyDescent="0.2">
      <c r="A26" s="286"/>
    </row>
    <row r="27" spans="1:19" x14ac:dyDescent="0.2">
      <c r="A27" s="286"/>
    </row>
    <row r="28" spans="1:19" x14ac:dyDescent="0.2">
      <c r="A28" s="286"/>
    </row>
    <row r="29" spans="1:19" x14ac:dyDescent="0.2">
      <c r="A29" s="286"/>
    </row>
    <row r="30" spans="1:19" x14ac:dyDescent="0.2">
      <c r="A30" s="286"/>
    </row>
    <row r="31" spans="1:19" x14ac:dyDescent="0.2">
      <c r="A31" s="286"/>
    </row>
    <row r="32" spans="1:19" x14ac:dyDescent="0.2">
      <c r="A32" s="286"/>
    </row>
    <row r="33" spans="1:1" x14ac:dyDescent="0.2">
      <c r="A33" s="286"/>
    </row>
    <row r="34" spans="1:1" x14ac:dyDescent="0.2">
      <c r="A34" s="286"/>
    </row>
    <row r="35" spans="1:1" x14ac:dyDescent="0.2">
      <c r="A35" s="286"/>
    </row>
    <row r="36" spans="1:1" x14ac:dyDescent="0.2">
      <c r="A36" s="286"/>
    </row>
    <row r="37" spans="1:1" x14ac:dyDescent="0.2">
      <c r="A37" s="286"/>
    </row>
    <row r="38" spans="1:1" x14ac:dyDescent="0.2">
      <c r="A38" s="286"/>
    </row>
    <row r="39" spans="1:1" x14ac:dyDescent="0.2">
      <c r="A39" s="286"/>
    </row>
    <row r="40" spans="1:1" x14ac:dyDescent="0.2">
      <c r="A40" s="286"/>
    </row>
    <row r="41" spans="1:1" x14ac:dyDescent="0.2">
      <c r="A41" s="286"/>
    </row>
    <row r="42" spans="1:1" x14ac:dyDescent="0.2">
      <c r="A42" s="286"/>
    </row>
    <row r="43" spans="1:1" x14ac:dyDescent="0.2">
      <c r="A43" s="286"/>
    </row>
    <row r="44" spans="1:1" x14ac:dyDescent="0.2">
      <c r="A44" s="286"/>
    </row>
    <row r="45" spans="1:1" x14ac:dyDescent="0.2">
      <c r="A45" s="286"/>
    </row>
    <row r="46" spans="1:1" x14ac:dyDescent="0.2">
      <c r="A46" s="286"/>
    </row>
    <row r="47" spans="1:1" x14ac:dyDescent="0.2">
      <c r="A47" s="286"/>
    </row>
    <row r="48" spans="1:1" x14ac:dyDescent="0.2">
      <c r="A48" s="286"/>
    </row>
    <row r="49" spans="1:1" x14ac:dyDescent="0.2">
      <c r="A49" s="286"/>
    </row>
    <row r="50" spans="1:1" x14ac:dyDescent="0.2">
      <c r="A50" s="286"/>
    </row>
    <row r="51" spans="1:1" x14ac:dyDescent="0.2">
      <c r="A51" s="286"/>
    </row>
    <row r="52" spans="1:1" x14ac:dyDescent="0.2">
      <c r="A52" s="286"/>
    </row>
    <row r="53" spans="1:1" x14ac:dyDescent="0.2">
      <c r="A53" s="286"/>
    </row>
    <row r="54" spans="1:1" x14ac:dyDescent="0.2">
      <c r="A54" s="286"/>
    </row>
    <row r="55" spans="1:1" x14ac:dyDescent="0.2">
      <c r="A55" s="286"/>
    </row>
    <row r="56" spans="1:1" x14ac:dyDescent="0.2">
      <c r="A56" s="286"/>
    </row>
    <row r="57" spans="1:1" x14ac:dyDescent="0.2">
      <c r="A57" s="286"/>
    </row>
    <row r="58" spans="1:1" x14ac:dyDescent="0.2">
      <c r="A58" s="286"/>
    </row>
    <row r="59" spans="1:1" x14ac:dyDescent="0.2">
      <c r="A59" s="286"/>
    </row>
    <row r="60" spans="1:1" x14ac:dyDescent="0.2">
      <c r="A60" s="286"/>
    </row>
    <row r="61" spans="1:1" x14ac:dyDescent="0.2">
      <c r="A61" s="286"/>
    </row>
    <row r="62" spans="1:1" x14ac:dyDescent="0.2">
      <c r="A62" s="286"/>
    </row>
    <row r="63" spans="1:1" x14ac:dyDescent="0.2">
      <c r="A63" s="286"/>
    </row>
    <row r="64" spans="1:1" x14ac:dyDescent="0.2">
      <c r="A64" s="286"/>
    </row>
    <row r="65" spans="1:1" x14ac:dyDescent="0.2">
      <c r="A65" s="286"/>
    </row>
    <row r="66" spans="1:1" x14ac:dyDescent="0.2">
      <c r="A66" s="286"/>
    </row>
    <row r="67" spans="1:1" x14ac:dyDescent="0.2">
      <c r="A67" s="286"/>
    </row>
    <row r="68" spans="1:1" x14ac:dyDescent="0.2">
      <c r="A68" s="286"/>
    </row>
    <row r="69" spans="1:1" x14ac:dyDescent="0.2">
      <c r="A69" s="286"/>
    </row>
    <row r="70" spans="1:1" x14ac:dyDescent="0.2">
      <c r="A70" s="286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6"/>
      <c r="B1" s="146"/>
      <c r="C1" s="146"/>
      <c r="D1" s="146"/>
    </row>
    <row r="2" spans="1:16" ht="15" x14ac:dyDescent="0.2">
      <c r="A2" s="265"/>
      <c r="B2" s="265"/>
      <c r="C2" s="265"/>
      <c r="D2" s="265"/>
    </row>
    <row r="3" spans="1:16" ht="15.75" thickBot="1" x14ac:dyDescent="0.25">
      <c r="A3" s="265"/>
      <c r="B3" s="265"/>
      <c r="C3" s="265"/>
      <c r="D3" s="265"/>
      <c r="G3" t="e">
        <f>STRADDLES!AC31</f>
        <v>#REF!</v>
      </c>
      <c r="I3" t="s">
        <v>200</v>
      </c>
      <c r="K3" t="s">
        <v>194</v>
      </c>
      <c r="L3" t="s">
        <v>196</v>
      </c>
      <c r="M3" t="s">
        <v>198</v>
      </c>
      <c r="N3" s="101"/>
      <c r="O3" s="101"/>
      <c r="P3" s="101"/>
    </row>
    <row r="4" spans="1:16" ht="13.5" thickTop="1" x14ac:dyDescent="0.2">
      <c r="A4" s="191"/>
      <c r="B4" s="191"/>
      <c r="C4" s="191"/>
      <c r="D4" s="191"/>
      <c r="H4" t="s">
        <v>193</v>
      </c>
      <c r="I4" t="s">
        <v>201</v>
      </c>
      <c r="K4" t="s">
        <v>195</v>
      </c>
      <c r="L4" t="s">
        <v>197</v>
      </c>
      <c r="M4" t="s">
        <v>199</v>
      </c>
      <c r="N4" s="101"/>
      <c r="O4" s="101"/>
      <c r="P4" s="101"/>
    </row>
    <row r="5" spans="1:16" x14ac:dyDescent="0.2">
      <c r="A5" s="188"/>
      <c r="B5" s="188"/>
      <c r="C5" s="188"/>
      <c r="D5" s="188"/>
      <c r="E5" s="271"/>
      <c r="F5" t="s">
        <v>191</v>
      </c>
      <c r="G5">
        <v>-0.84</v>
      </c>
      <c r="H5" s="279" t="e">
        <f>G5+G$3</f>
        <v>#REF!</v>
      </c>
      <c r="I5">
        <f>((K5*(1-M5))+(L5*M5))</f>
        <v>2.266</v>
      </c>
      <c r="J5" s="279" t="e">
        <f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">
      <c r="A6" s="188"/>
      <c r="B6" s="188"/>
      <c r="C6" s="188"/>
      <c r="D6" s="188"/>
      <c r="E6" s="271"/>
      <c r="F6" t="s">
        <v>192</v>
      </c>
      <c r="G6">
        <v>-0.65500000000000003</v>
      </c>
      <c r="H6" s="279" t="e">
        <f>G6+G$3</f>
        <v>#REF!</v>
      </c>
      <c r="I6">
        <f>((K6*(1-M6))+(L6*M6))</f>
        <v>2.419</v>
      </c>
      <c r="J6" s="279" t="e">
        <f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">
      <c r="A7" s="123"/>
      <c r="B7" s="123"/>
      <c r="C7" s="123"/>
      <c r="D7" s="123"/>
      <c r="E7" s="189"/>
      <c r="F7" t="s">
        <v>169</v>
      </c>
      <c r="G7">
        <v>0.55000000000000004</v>
      </c>
      <c r="H7" s="279" t="e">
        <f>G7+G$3</f>
        <v>#REF!</v>
      </c>
      <c r="I7">
        <f>((K7*(1-M7))+(L7*M7))</f>
        <v>3.7</v>
      </c>
      <c r="J7" s="279" t="e">
        <f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">
      <c r="A8" s="123"/>
      <c r="B8" s="123"/>
      <c r="C8" s="123"/>
      <c r="D8" s="123"/>
      <c r="E8" s="272"/>
      <c r="F8" t="s">
        <v>202</v>
      </c>
      <c r="G8">
        <v>-0.03</v>
      </c>
      <c r="H8" s="279" t="e">
        <f>G8+G$3</f>
        <v>#REF!</v>
      </c>
      <c r="I8">
        <f>((K8*(1-M8))+(L8*M8))</f>
        <v>3.097</v>
      </c>
      <c r="J8" s="279" t="e">
        <f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">
      <c r="A9" s="123"/>
      <c r="B9" s="123"/>
      <c r="C9" s="123"/>
      <c r="D9" s="123"/>
      <c r="E9" s="272"/>
      <c r="N9" s="101"/>
      <c r="O9" s="101"/>
      <c r="P9" s="101"/>
    </row>
    <row r="10" spans="1:16" x14ac:dyDescent="0.2">
      <c r="A10" s="55"/>
      <c r="B10" s="55"/>
      <c r="C10" s="55"/>
      <c r="D10" s="55"/>
      <c r="E10" s="272"/>
      <c r="N10" s="101"/>
      <c r="O10" s="101"/>
      <c r="P10" s="101"/>
    </row>
    <row r="11" spans="1:16" x14ac:dyDescent="0.2">
      <c r="A11" s="55"/>
      <c r="B11" s="55"/>
      <c r="C11" s="55"/>
      <c r="D11" s="55"/>
      <c r="E11" s="272"/>
      <c r="N11" s="101"/>
      <c r="O11" s="101"/>
      <c r="P11" s="101"/>
    </row>
    <row r="12" spans="1:16" ht="13.5" thickBot="1" x14ac:dyDescent="0.25">
      <c r="A12" s="55"/>
      <c r="B12" s="55"/>
      <c r="C12" s="55"/>
      <c r="D12" s="55"/>
      <c r="E12" s="272"/>
      <c r="N12" s="101"/>
      <c r="O12" s="101"/>
      <c r="P12" s="101"/>
    </row>
    <row r="13" spans="1:16" ht="13.5" thickTop="1" x14ac:dyDescent="0.2">
      <c r="A13" s="191"/>
      <c r="B13" s="200"/>
      <c r="C13" s="200"/>
      <c r="D13" s="207"/>
      <c r="E13" s="272"/>
      <c r="N13" s="101"/>
      <c r="O13" s="101"/>
      <c r="P13" s="101"/>
    </row>
    <row r="14" spans="1:16" x14ac:dyDescent="0.2">
      <c r="A14" s="189"/>
      <c r="B14" s="189"/>
      <c r="C14" s="189"/>
      <c r="D14" s="189"/>
      <c r="E14" s="272"/>
      <c r="N14" s="101"/>
      <c r="O14" s="101"/>
      <c r="P14" s="101"/>
    </row>
    <row r="15" spans="1:16" x14ac:dyDescent="0.2">
      <c r="A15" s="142"/>
      <c r="B15" s="142"/>
      <c r="C15" s="142"/>
      <c r="D15" s="142"/>
      <c r="E15" s="272"/>
    </row>
    <row r="16" spans="1:16" x14ac:dyDescent="0.2">
      <c r="A16" s="142"/>
      <c r="B16" s="142"/>
      <c r="C16" s="142"/>
      <c r="D16" s="142"/>
    </row>
    <row r="20" spans="8:8" x14ac:dyDescent="0.2">
      <c r="H20" s="270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abSelected="1" workbookViewId="0">
      <selection activeCell="B15" sqref="B15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10" width="9.140625" style="75"/>
    <col min="11" max="11" width="10.42578125" style="75" customWidth="1"/>
    <col min="12" max="13" width="9.140625" style="75"/>
    <col min="14" max="14" width="10.140625" style="75" customWidth="1"/>
    <col min="15" max="30" width="10" style="75" customWidth="1"/>
    <col min="31" max="40" width="9.140625" style="75"/>
    <col min="41" max="41" width="9.140625" style="300"/>
    <col min="42" max="49" width="9.140625" style="75"/>
    <col min="51" max="51" width="9.140625" style="75"/>
    <col min="52" max="52" width="9.140625" style="300"/>
    <col min="53" max="60" width="9.140625" style="75"/>
    <col min="62" max="62" width="9.140625" style="75"/>
    <col min="63" max="63" width="9.140625" style="300"/>
    <col min="64" max="71" width="9.140625" style="75"/>
    <col min="73" max="73" width="9.140625" style="75"/>
    <col min="74" max="74" width="9.140625" style="300"/>
    <col min="75" max="82" width="9.140625" style="75"/>
  </cols>
  <sheetData>
    <row r="1" spans="1:74" x14ac:dyDescent="0.2">
      <c r="A1" s="74"/>
      <c r="B1" s="144"/>
      <c r="C1" s="77"/>
      <c r="D1" s="55" t="s">
        <v>120</v>
      </c>
      <c r="E1" s="55">
        <f>summerstrip</f>
        <v>0</v>
      </c>
      <c r="F1" s="55"/>
      <c r="G1" s="158" t="s">
        <v>33</v>
      </c>
      <c r="I1"/>
      <c r="J1"/>
      <c r="K1" t="s">
        <v>151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4" t="s">
        <v>17</v>
      </c>
      <c r="B2" s="145">
        <f ca="1">TODAY()</f>
        <v>37259</v>
      </c>
      <c r="C2" s="77"/>
      <c r="D2" s="55" t="s">
        <v>121</v>
      </c>
      <c r="E2" s="55">
        <f>winterstrip</f>
        <v>0</v>
      </c>
      <c r="F2" s="55"/>
      <c r="G2" s="55"/>
      <c r="I2"/>
      <c r="J2"/>
      <c r="L2" t="s">
        <v>147</v>
      </c>
      <c r="M2" t="s">
        <v>148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01"/>
      <c r="AY2" s="79"/>
      <c r="AZ2" s="301"/>
      <c r="BJ2" s="79"/>
      <c r="BK2" s="301"/>
      <c r="BU2" s="79"/>
      <c r="BV2" s="301"/>
    </row>
    <row r="3" spans="1:74" x14ac:dyDescent="0.2">
      <c r="A3" s="74"/>
      <c r="B3" s="144"/>
      <c r="D3" s="55"/>
      <c r="E3" s="55"/>
      <c r="F3" s="146" t="s">
        <v>87</v>
      </c>
      <c r="G3" s="55"/>
      <c r="I3"/>
      <c r="J3"/>
      <c r="K3" s="75">
        <v>1</v>
      </c>
      <c r="L3" s="186">
        <f ca="1">B21</f>
        <v>1.1898563529585233</v>
      </c>
      <c r="M3" s="186">
        <f ca="1">B22</f>
        <v>-0.61587286560421717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01"/>
      <c r="AY3" s="79"/>
      <c r="AZ3" s="301"/>
      <c r="BJ3" s="79"/>
      <c r="BK3" s="301"/>
      <c r="BU3" s="79"/>
      <c r="BV3" s="301"/>
    </row>
    <row r="4" spans="1:74" x14ac:dyDescent="0.2">
      <c r="A4" s="55" t="s">
        <v>106</v>
      </c>
      <c r="B4" s="146" t="str">
        <f>STRADDLES!$B3</f>
        <v>nymex</v>
      </c>
      <c r="C4" s="125"/>
      <c r="D4" s="146" t="str">
        <f>STRADDLES!$C3</f>
        <v>IF-HPL/SHPCHAN</v>
      </c>
      <c r="E4" s="55"/>
      <c r="F4" s="146" t="str">
        <f>STRADDLES!$D3</f>
        <v>IF-HPL/SHPCHAN</v>
      </c>
      <c r="G4" s="125"/>
      <c r="H4" s="146" t="str">
        <f>STRADDLES!$E3</f>
        <v>IF-HPL/SHPCHAN</v>
      </c>
      <c r="I4" s="131"/>
      <c r="J4" s="134"/>
      <c r="K4" s="75">
        <v>-1</v>
      </c>
      <c r="L4" s="186">
        <f ca="1">D21</f>
        <v>0.24634509271668414</v>
      </c>
      <c r="M4" s="186">
        <f ca="1">D22</f>
        <v>-0.2389869565123395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01"/>
      <c r="AY4" s="79"/>
      <c r="AZ4" s="301"/>
      <c r="BJ4" s="79"/>
      <c r="BK4" s="301"/>
      <c r="BU4" s="79"/>
      <c r="BV4" s="301"/>
    </row>
    <row r="5" spans="1:74" x14ac:dyDescent="0.2">
      <c r="A5" s="55"/>
      <c r="B5" s="55" t="s">
        <v>47</v>
      </c>
      <c r="D5" s="55" t="s">
        <v>48</v>
      </c>
      <c r="F5" s="55" t="s">
        <v>123</v>
      </c>
      <c r="H5" s="55" t="s">
        <v>122</v>
      </c>
      <c r="L5" s="186">
        <f ca="1">F21</f>
        <v>0.24634509271668414</v>
      </c>
      <c r="M5" s="186">
        <f ca="1">F22</f>
        <v>-0.2389869565123395</v>
      </c>
      <c r="AK5" s="79"/>
      <c r="AL5" s="79"/>
      <c r="AM5" s="80"/>
      <c r="AN5" s="79"/>
      <c r="AO5" s="301"/>
      <c r="AY5" s="79"/>
      <c r="AZ5" s="301"/>
      <c r="BJ5" s="79"/>
      <c r="BK5" s="301"/>
      <c r="BU5" s="79"/>
      <c r="BV5" s="301"/>
    </row>
    <row r="6" spans="1:74" x14ac:dyDescent="0.2">
      <c r="A6" s="55" t="s">
        <v>34</v>
      </c>
      <c r="B6" s="184">
        <f>STRADDLES!$B4</f>
        <v>37257</v>
      </c>
      <c r="C6" s="185"/>
      <c r="D6" s="184">
        <f>STRADDLES!$C4</f>
        <v>37257</v>
      </c>
      <c r="E6" s="185"/>
      <c r="F6" s="184">
        <f>STRADDLES!$D4</f>
        <v>37257</v>
      </c>
      <c r="G6" s="185"/>
      <c r="H6" s="184">
        <f>STRADDLES!$E4</f>
        <v>37257</v>
      </c>
      <c r="L6" s="186">
        <f ca="1">H21</f>
        <v>0.2423777604356856</v>
      </c>
      <c r="M6" s="186">
        <f ca="1">H22</f>
        <v>-0.23609888758021999</v>
      </c>
      <c r="AK6" s="79"/>
      <c r="AL6" s="79"/>
      <c r="AM6" s="80"/>
      <c r="AN6" s="79"/>
      <c r="AO6" s="301"/>
      <c r="AY6" s="79"/>
      <c r="AZ6" s="301"/>
      <c r="BJ6" s="79"/>
      <c r="BK6" s="301"/>
      <c r="BU6" s="79"/>
      <c r="BV6" s="301"/>
    </row>
    <row r="7" spans="1:74" x14ac:dyDescent="0.2">
      <c r="A7" s="74" t="s">
        <v>49</v>
      </c>
      <c r="B7" s="184">
        <f>STRADDLES!$B5</f>
        <v>37956</v>
      </c>
      <c r="C7" s="185"/>
      <c r="D7" s="184">
        <f>STRADDLES!$C5</f>
        <v>37956</v>
      </c>
      <c r="E7" s="185"/>
      <c r="F7" s="184">
        <f>STRADDLES!$D5</f>
        <v>37956</v>
      </c>
      <c r="G7" s="185"/>
      <c r="H7" s="184">
        <f>STRADDLES!$E5</f>
        <v>37956</v>
      </c>
      <c r="J7" s="153"/>
      <c r="L7" s="155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F7" s="146" t="s">
        <v>87</v>
      </c>
      <c r="AG7" s="146"/>
      <c r="AK7" s="79"/>
      <c r="AL7" s="79"/>
      <c r="AM7" s="80"/>
      <c r="AN7" s="79"/>
      <c r="AO7" s="301"/>
      <c r="AY7" s="79"/>
      <c r="AZ7" s="301"/>
      <c r="BJ7" s="79"/>
      <c r="BK7" s="301"/>
      <c r="BU7" s="79"/>
      <c r="BV7" s="301"/>
    </row>
    <row r="8" spans="1:74" x14ac:dyDescent="0.2">
      <c r="I8" s="166"/>
      <c r="K8" s="146"/>
      <c r="L8" s="75">
        <f ca="1">(L3*$K3)+(L4*$K4)+(L5*$K5)+(L6*$K6)</f>
        <v>0.94351126024183918</v>
      </c>
      <c r="M8" s="75">
        <f ca="1">(M3*$K3)+(M4*$K4)+(M5*$K5)+(M6*$K6)</f>
        <v>-0.37688590909187769</v>
      </c>
      <c r="AF8" s="146"/>
      <c r="AG8" s="146"/>
      <c r="AK8" s="79"/>
      <c r="AL8" s="79"/>
      <c r="AM8" s="80"/>
      <c r="AN8" s="79"/>
      <c r="AO8" s="301"/>
      <c r="AY8" s="79"/>
      <c r="AZ8" s="301"/>
      <c r="BJ8" s="79"/>
      <c r="BK8" s="301"/>
      <c r="BU8" s="79"/>
      <c r="BV8" s="301"/>
    </row>
    <row r="9" spans="1:74" x14ac:dyDescent="0.2">
      <c r="A9" s="73" t="s">
        <v>109</v>
      </c>
      <c r="B9" s="165">
        <f>AP24</f>
        <v>3.1077525035765383</v>
      </c>
      <c r="C9" s="166"/>
      <c r="D9" s="165">
        <f>BA24</f>
        <v>3.1077525035765383</v>
      </c>
      <c r="E9" s="166"/>
      <c r="F9" s="165">
        <f>BL24</f>
        <v>3.1077525035765383</v>
      </c>
      <c r="G9" s="166"/>
      <c r="H9" s="165">
        <f>BW24</f>
        <v>3.1077525035765383</v>
      </c>
      <c r="I9" s="166"/>
      <c r="AF9" s="146" t="s">
        <v>70</v>
      </c>
      <c r="AG9" s="146"/>
      <c r="AK9" s="79"/>
      <c r="AL9" s="79"/>
      <c r="AM9" s="80"/>
      <c r="AN9" s="79"/>
      <c r="AO9" s="301"/>
      <c r="AY9" s="79"/>
      <c r="AZ9" s="301"/>
      <c r="BJ9" s="79"/>
      <c r="BK9" s="301"/>
      <c r="BU9" s="79"/>
      <c r="BV9" s="301"/>
    </row>
    <row r="10" spans="1:74" x14ac:dyDescent="0.2">
      <c r="A10" s="73" t="s">
        <v>39</v>
      </c>
      <c r="B10" s="165">
        <f>AQ24</f>
        <v>3.1077525035765383</v>
      </c>
      <c r="C10" s="166"/>
      <c r="D10" s="165">
        <f>BB24</f>
        <v>3.1140329041487829</v>
      </c>
      <c r="E10" s="166"/>
      <c r="F10" s="165">
        <f>BM24</f>
        <v>3.1140329041487829</v>
      </c>
      <c r="G10" s="166"/>
      <c r="H10" s="165">
        <f>BX24</f>
        <v>3.1140329041487829</v>
      </c>
      <c r="I10" s="166"/>
      <c r="K10" s="146"/>
      <c r="M10" s="146"/>
      <c r="N10" s="173"/>
      <c r="O10" s="146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G10" s="146"/>
      <c r="AK10" s="79"/>
      <c r="AL10" s="79"/>
      <c r="AM10" s="80"/>
      <c r="AN10" s="79"/>
      <c r="AO10" s="301"/>
      <c r="AY10" s="79"/>
      <c r="AZ10" s="301"/>
      <c r="BJ10" s="79"/>
      <c r="BK10" s="301"/>
      <c r="BU10" s="79"/>
      <c r="BV10" s="301"/>
    </row>
    <row r="11" spans="1:74" x14ac:dyDescent="0.2">
      <c r="A11" s="73" t="s">
        <v>35</v>
      </c>
      <c r="B11" s="165">
        <f>B10-B9</f>
        <v>0</v>
      </c>
      <c r="C11" s="165"/>
      <c r="D11" s="165">
        <f>D10-D9</f>
        <v>6.2804005722445488E-3</v>
      </c>
      <c r="E11" s="165"/>
      <c r="F11" s="165">
        <f>F10-F9</f>
        <v>6.2804005722445488E-3</v>
      </c>
      <c r="G11" s="165"/>
      <c r="H11" s="165">
        <f>H10-H9</f>
        <v>6.2804005722445488E-3</v>
      </c>
      <c r="I11" s="166"/>
      <c r="AF11" s="146"/>
      <c r="AG11" s="146"/>
      <c r="AK11" s="79"/>
      <c r="AL11" s="79"/>
      <c r="AM11" s="80"/>
      <c r="AN11" s="79"/>
      <c r="AO11" s="301"/>
      <c r="AY11" s="79"/>
      <c r="AZ11" s="301"/>
      <c r="BJ11" s="79"/>
      <c r="BK11" s="301"/>
      <c r="BU11" s="79"/>
      <c r="BV11" s="301"/>
    </row>
    <row r="12" spans="1:74" x14ac:dyDescent="0.2">
      <c r="A12" s="73"/>
      <c r="B12" s="165"/>
      <c r="C12" s="166"/>
      <c r="D12" s="165"/>
      <c r="E12" s="166"/>
      <c r="F12" s="165"/>
      <c r="G12" s="166"/>
      <c r="H12" s="165"/>
      <c r="I12" s="166"/>
      <c r="K12" s="146"/>
      <c r="L12" s="146" t="s">
        <v>87</v>
      </c>
      <c r="M12" s="146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F12" s="146"/>
      <c r="AG12" s="146"/>
      <c r="AK12" s="79"/>
      <c r="AL12" s="79"/>
      <c r="AM12" s="80"/>
      <c r="AN12" s="79"/>
      <c r="AO12" s="301"/>
      <c r="AY12" s="79"/>
      <c r="AZ12" s="301"/>
      <c r="BJ12" s="79"/>
      <c r="BK12" s="301"/>
      <c r="BU12" s="79"/>
      <c r="BV12" s="301"/>
    </row>
    <row r="13" spans="1:74" x14ac:dyDescent="0.2">
      <c r="A13" s="73" t="s">
        <v>134</v>
      </c>
      <c r="B13" s="176">
        <f>STRADDLES!$B8</f>
        <v>0</v>
      </c>
      <c r="C13" s="177"/>
      <c r="D13" s="176">
        <f>STRADDLES!$C8</f>
        <v>0</v>
      </c>
      <c r="E13" s="177"/>
      <c r="F13" s="176">
        <f>STRADDLES!$D8</f>
        <v>0</v>
      </c>
      <c r="G13" s="177"/>
      <c r="H13" s="176">
        <f>STRADDLES!$E8</f>
        <v>0</v>
      </c>
      <c r="I13" s="166"/>
      <c r="K13" s="146"/>
      <c r="L13" s="146" t="s">
        <v>74</v>
      </c>
      <c r="M13" s="146"/>
      <c r="N13" s="173"/>
      <c r="O13" s="146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G13" s="146"/>
      <c r="AK13" s="79"/>
      <c r="AL13" s="79"/>
      <c r="AM13" s="80"/>
      <c r="AN13" s="79"/>
      <c r="AO13" s="301"/>
      <c r="AY13" s="79"/>
      <c r="AZ13" s="301"/>
      <c r="BJ13" s="79"/>
      <c r="BK13" s="301"/>
      <c r="BU13" s="79"/>
      <c r="BV13" s="301"/>
    </row>
    <row r="14" spans="1:74" x14ac:dyDescent="0.2">
      <c r="A14" s="73" t="s">
        <v>108</v>
      </c>
      <c r="B14" s="176">
        <v>0</v>
      </c>
      <c r="C14" s="177"/>
      <c r="D14" s="176">
        <v>0</v>
      </c>
      <c r="E14" s="177"/>
      <c r="F14" s="176">
        <v>0</v>
      </c>
      <c r="G14" s="177"/>
      <c r="H14" s="176">
        <v>0</v>
      </c>
      <c r="I14" s="167"/>
      <c r="J14" s="79"/>
      <c r="K14" s="146"/>
      <c r="L14" s="146" t="s">
        <v>87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01"/>
      <c r="AY14" s="79"/>
      <c r="AZ14" s="301"/>
      <c r="BJ14" s="79"/>
      <c r="BK14" s="301"/>
      <c r="BU14" s="79"/>
      <c r="BV14" s="301"/>
    </row>
    <row r="15" spans="1:74" x14ac:dyDescent="0.2">
      <c r="A15" s="60" t="s">
        <v>52</v>
      </c>
      <c r="B15" s="178">
        <f>STRADDLES!$B9</f>
        <v>0</v>
      </c>
      <c r="C15" s="178"/>
      <c r="D15" s="178">
        <f>STRADDLES!$C9</f>
        <v>0</v>
      </c>
      <c r="E15" s="178"/>
      <c r="F15" s="178">
        <f>STRADDLES!$D9</f>
        <v>0</v>
      </c>
      <c r="G15" s="178"/>
      <c r="H15" s="178">
        <f>STRADDLES!$E9</f>
        <v>0</v>
      </c>
      <c r="I15" s="168"/>
      <c r="J15" s="79"/>
      <c r="K15" s="79"/>
      <c r="L15" s="146" t="s">
        <v>70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01"/>
      <c r="AY15" s="79"/>
      <c r="AZ15" s="301"/>
      <c r="BJ15" s="79"/>
      <c r="BK15" s="301"/>
      <c r="BU15" s="79"/>
      <c r="BV15" s="301"/>
    </row>
    <row r="16" spans="1:74" x14ac:dyDescent="0.2">
      <c r="A16" s="54" t="s">
        <v>125</v>
      </c>
      <c r="B16" s="179">
        <f>STRADDLES!$B10</f>
        <v>1</v>
      </c>
      <c r="C16" s="180"/>
      <c r="D16" s="179">
        <f>STRADDLES!$C10</f>
        <v>1</v>
      </c>
      <c r="E16" s="181"/>
      <c r="F16" s="179">
        <f>STRADDLES!$D10</f>
        <v>1</v>
      </c>
      <c r="G16" s="181"/>
      <c r="H16" s="179">
        <f>STRADDLES!$E10</f>
        <v>1</v>
      </c>
      <c r="I16" s="166"/>
      <c r="L16" s="146" t="s">
        <v>90</v>
      </c>
      <c r="AF16" s="146"/>
      <c r="AG16" s="146"/>
      <c r="AK16" s="79"/>
      <c r="AL16" s="79"/>
      <c r="AM16" s="80"/>
      <c r="AN16" s="79"/>
      <c r="AO16" s="301"/>
      <c r="AY16" s="79"/>
      <c r="AZ16" s="301"/>
      <c r="BJ16" s="79"/>
      <c r="BK16" s="301"/>
      <c r="BU16" s="79"/>
      <c r="BV16" s="301"/>
    </row>
    <row r="17" spans="1:82" x14ac:dyDescent="0.2">
      <c r="A17" s="73"/>
      <c r="B17" s="176"/>
      <c r="C17" s="177"/>
      <c r="D17" s="176"/>
      <c r="E17" s="177"/>
      <c r="F17" s="176"/>
      <c r="G17" s="177"/>
      <c r="H17" s="176"/>
      <c r="I17" s="167"/>
      <c r="L17" s="146" t="s">
        <v>62</v>
      </c>
      <c r="M17" s="146"/>
      <c r="N17" s="173"/>
      <c r="O17" s="146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G17" s="146"/>
      <c r="AK17" s="79"/>
      <c r="AL17" s="79"/>
      <c r="AM17" s="80"/>
      <c r="AN17" s="79"/>
      <c r="AO17" s="301"/>
      <c r="AY17" s="79"/>
      <c r="AZ17" s="301"/>
      <c r="BJ17" s="79"/>
      <c r="BK17" s="301"/>
      <c r="BU17" s="79"/>
      <c r="BV17" s="301"/>
    </row>
    <row r="18" spans="1:82" x14ac:dyDescent="0.2">
      <c r="A18" s="60" t="s">
        <v>107</v>
      </c>
      <c r="B18" s="182">
        <f>STRADDLES!$B12</f>
        <v>4</v>
      </c>
      <c r="C18" s="181"/>
      <c r="D18" s="182">
        <f>STRADDLES!$C12</f>
        <v>2.5</v>
      </c>
      <c r="E18" s="181"/>
      <c r="F18" s="182">
        <f>STRADDLES!$D12</f>
        <v>2.5</v>
      </c>
      <c r="G18" s="181"/>
      <c r="H18" s="182">
        <f>STRADDLES!$E12</f>
        <v>2.4900000000000002</v>
      </c>
      <c r="I18" s="167"/>
      <c r="J18" s="79"/>
      <c r="K18" s="146"/>
      <c r="L18" s="146" t="s">
        <v>92</v>
      </c>
      <c r="M18" s="146"/>
      <c r="N18" s="79"/>
      <c r="O18" s="146"/>
      <c r="AG18" s="146"/>
      <c r="AK18" s="79"/>
      <c r="AL18" s="79"/>
      <c r="AM18" s="80"/>
      <c r="AN18" s="79"/>
      <c r="AO18" s="301"/>
      <c r="AY18" s="79"/>
      <c r="AZ18" s="301"/>
      <c r="BJ18" s="79"/>
      <c r="BK18" s="301"/>
      <c r="BU18" s="79"/>
      <c r="BV18" s="301"/>
    </row>
    <row r="19" spans="1:82" x14ac:dyDescent="0.2">
      <c r="A19" s="60" t="s">
        <v>112</v>
      </c>
      <c r="B19" s="183">
        <f>STRADDLES!$B11</f>
        <v>2</v>
      </c>
      <c r="C19" s="181"/>
      <c r="D19" s="183">
        <f>STRADDLES!$C11</f>
        <v>2</v>
      </c>
      <c r="E19" s="181"/>
      <c r="F19" s="183">
        <f>STRADDLES!$D11</f>
        <v>2</v>
      </c>
      <c r="G19" s="181"/>
      <c r="H19" s="183">
        <f>STRADDLES!$E11</f>
        <v>2</v>
      </c>
      <c r="L19" s="146" t="s">
        <v>68</v>
      </c>
    </row>
    <row r="20" spans="1:82" x14ac:dyDescent="0.2">
      <c r="A20" s="125" t="s">
        <v>153</v>
      </c>
      <c r="L20" s="146" t="s">
        <v>94</v>
      </c>
      <c r="AF20" s="75">
        <f>500000/(300*10000)</f>
        <v>0.16666666666666666</v>
      </c>
    </row>
    <row r="21" spans="1:82" x14ac:dyDescent="0.2">
      <c r="A21" s="60" t="s">
        <v>37</v>
      </c>
      <c r="B21" s="164">
        <f ca="1">AU24</f>
        <v>1.1898563529585233</v>
      </c>
      <c r="C21" s="167"/>
      <c r="D21" s="164">
        <f ca="1">BF24</f>
        <v>0.24634509271668414</v>
      </c>
      <c r="E21" s="167"/>
      <c r="F21" s="164">
        <f ca="1">BQ24</f>
        <v>0.24634509271668414</v>
      </c>
      <c r="G21" s="167"/>
      <c r="H21" s="164">
        <f ca="1">CB24</f>
        <v>0.2423777604356856</v>
      </c>
      <c r="L21" s="146" t="s">
        <v>66</v>
      </c>
      <c r="AI21" s="75">
        <f>500000/181</f>
        <v>2762.4309392265195</v>
      </c>
    </row>
    <row r="22" spans="1:82" x14ac:dyDescent="0.2">
      <c r="A22" s="60" t="s">
        <v>28</v>
      </c>
      <c r="B22" s="164">
        <f ca="1">AV24</f>
        <v>-0.61587286560421717</v>
      </c>
      <c r="C22" s="167"/>
      <c r="D22" s="164">
        <f ca="1">BG24</f>
        <v>-0.2389869565123395</v>
      </c>
      <c r="E22" s="167"/>
      <c r="F22" s="164">
        <f ca="1">BR24</f>
        <v>-0.2389869565123395</v>
      </c>
      <c r="G22" s="167"/>
      <c r="H22" s="164">
        <f ca="1">CC24</f>
        <v>-0.23609888758021999</v>
      </c>
      <c r="L22" s="146" t="s">
        <v>86</v>
      </c>
    </row>
    <row r="23" spans="1:82" x14ac:dyDescent="0.2">
      <c r="A23" s="60" t="str">
        <f>G1</f>
        <v>VEGA</v>
      </c>
      <c r="B23" s="164">
        <f ca="1">AW24</f>
        <v>1.087095674779083E-2</v>
      </c>
      <c r="C23" s="167"/>
      <c r="D23" s="164">
        <f ca="1">BH24</f>
        <v>8.7903055059085806E-3</v>
      </c>
      <c r="E23" s="167"/>
      <c r="F23" s="164">
        <f ca="1">BS24</f>
        <v>8.7903055059085806E-3</v>
      </c>
      <c r="G23" s="167"/>
      <c r="H23" s="164">
        <f ca="1">CD24</f>
        <v>8.7363448210908551E-3</v>
      </c>
      <c r="L23" s="146" t="s">
        <v>60</v>
      </c>
      <c r="AH23" s="77" t="e">
        <f>VLOOKUP($A23,STRADDLE,14,FALSE)</f>
        <v>#N/A</v>
      </c>
    </row>
    <row r="24" spans="1:82" x14ac:dyDescent="0.2">
      <c r="A24" s="79"/>
      <c r="B24" s="169"/>
      <c r="C24" s="79"/>
      <c r="D24" s="169"/>
      <c r="E24" s="79"/>
      <c r="F24" s="169"/>
      <c r="G24" s="79"/>
      <c r="H24" s="79"/>
      <c r="I24" s="79"/>
      <c r="J24" s="79"/>
      <c r="K24" s="146"/>
      <c r="L24" s="146" t="s">
        <v>81</v>
      </c>
      <c r="M24" s="79"/>
      <c r="N24" s="79"/>
      <c r="O24" s="146"/>
      <c r="AG24" s="146"/>
      <c r="AK24" s="79"/>
      <c r="AL24" s="79"/>
      <c r="AM24" s="80"/>
      <c r="AN24" s="79"/>
      <c r="AP24" s="75">
        <f>AP26/AN28</f>
        <v>3.1077525035765383</v>
      </c>
      <c r="AQ24" s="75">
        <f>AQ26/AN28</f>
        <v>3.1077525035765383</v>
      </c>
      <c r="AU24" s="126">
        <f ca="1">AU26/AN28</f>
        <v>1.1898563529585233</v>
      </c>
      <c r="AV24" s="126">
        <f ca="1">AV26/AN28</f>
        <v>-0.61587286560421717</v>
      </c>
      <c r="AW24" s="126">
        <f ca="1">AW26/AN28</f>
        <v>1.087095674779083E-2</v>
      </c>
      <c r="AY24" s="79"/>
      <c r="BA24" s="75">
        <f>BA26/AY28</f>
        <v>3.1077525035765383</v>
      </c>
      <c r="BB24" s="75">
        <f>BB26/AY28</f>
        <v>3.1140329041487829</v>
      </c>
      <c r="BF24" s="126">
        <f ca="1">BF26/AY28</f>
        <v>0.24634509271668414</v>
      </c>
      <c r="BG24" s="126">
        <f ca="1">BG26/AY28</f>
        <v>-0.2389869565123395</v>
      </c>
      <c r="BH24" s="126">
        <f ca="1">BH26/AY28</f>
        <v>8.7903055059085806E-3</v>
      </c>
      <c r="BJ24" s="79"/>
      <c r="BL24" s="75">
        <f>BL26/BJ28</f>
        <v>3.1077525035765383</v>
      </c>
      <c r="BM24" s="75">
        <f>BM26/BJ28</f>
        <v>3.1140329041487829</v>
      </c>
      <c r="BQ24" s="126">
        <f ca="1">BQ26/BJ28</f>
        <v>0.24634509271668414</v>
      </c>
      <c r="BR24" s="126">
        <f ca="1">BR26/BJ28</f>
        <v>-0.2389869565123395</v>
      </c>
      <c r="BS24" s="126">
        <f ca="1">BS26/BJ28</f>
        <v>8.7903055059085806E-3</v>
      </c>
      <c r="BU24" s="79"/>
      <c r="BW24" s="75">
        <f>BW26/BU28</f>
        <v>3.1077525035765383</v>
      </c>
      <c r="BX24" s="75">
        <f>BX26/BU28</f>
        <v>3.1140329041487829</v>
      </c>
      <c r="CB24" s="126">
        <f ca="1">CB26/BU28</f>
        <v>0.2423777604356856</v>
      </c>
      <c r="CC24" s="126">
        <f ca="1">CC26/BU28</f>
        <v>-0.23609888758021999</v>
      </c>
      <c r="CD24" s="126">
        <f ca="1">CD26/BU28</f>
        <v>8.7363448210908551E-3</v>
      </c>
    </row>
    <row r="25" spans="1:82" x14ac:dyDescent="0.2">
      <c r="A25" s="79"/>
      <c r="B25" s="169">
        <f ca="1">B21-D21</f>
        <v>0.94351126024183918</v>
      </c>
      <c r="C25" s="79"/>
      <c r="D25" s="79"/>
      <c r="E25" s="79"/>
      <c r="F25" s="169">
        <f ca="1">F21-H21</f>
        <v>3.9673322809985478E-3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02">
        <f>B6</f>
        <v>37257</v>
      </c>
      <c r="AW25"/>
      <c r="AY25" s="79"/>
      <c r="AZ25" s="302">
        <f>D6</f>
        <v>37257</v>
      </c>
      <c r="BH25"/>
      <c r="BJ25" s="79"/>
      <c r="BK25" s="302">
        <f>F6</f>
        <v>37257</v>
      </c>
      <c r="BS25"/>
      <c r="BU25" s="79"/>
      <c r="BV25" s="302">
        <f>H6</f>
        <v>37257</v>
      </c>
      <c r="CD25"/>
    </row>
    <row r="26" spans="1:82" x14ac:dyDescent="0.2">
      <c r="A26" s="79"/>
      <c r="B26" s="174"/>
      <c r="C26" s="79"/>
      <c r="D26" s="174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124</v>
      </c>
      <c r="AO26" s="302">
        <f>B7</f>
        <v>37956</v>
      </c>
      <c r="AP26" s="102">
        <f>SUM(AP31:AP149)</f>
        <v>2172.3190000000004</v>
      </c>
      <c r="AQ26" s="102">
        <f>SUM(AQ31:AQ149)</f>
        <v>2172.3190000000004</v>
      </c>
      <c r="AR26" s="102"/>
      <c r="AS26" s="102"/>
      <c r="AT26" s="102"/>
      <c r="AU26" s="102">
        <f ca="1">SUM(AU31:AU149)</f>
        <v>831.7095907180078</v>
      </c>
      <c r="AV26" s="102">
        <f ca="1">SUM(AV31:AV149)</f>
        <v>-430.4951330573478</v>
      </c>
      <c r="AW26" s="102">
        <f ca="1">SUM(AW31:AW149)</f>
        <v>7.5987987667057908</v>
      </c>
      <c r="AY26" s="79" t="s">
        <v>137</v>
      </c>
      <c r="AZ26" s="302">
        <f>D7</f>
        <v>37956</v>
      </c>
      <c r="BA26" s="102">
        <f>SUM(BA31:BA149)</f>
        <v>2172.3190000000004</v>
      </c>
      <c r="BB26" s="102">
        <f>SUM(BB31:BB149)</f>
        <v>2176.7089999999994</v>
      </c>
      <c r="BC26" s="102"/>
      <c r="BD26" s="102"/>
      <c r="BE26" s="102"/>
      <c r="BF26" s="102">
        <f ca="1">SUM(BF31:BF149)</f>
        <v>172.19521980896221</v>
      </c>
      <c r="BG26" s="102">
        <f ca="1">SUM(BG31:BG149)</f>
        <v>-167.05188260212532</v>
      </c>
      <c r="BH26" s="102">
        <f ca="1">SUM(BH31:BH149)</f>
        <v>6.1444235486300975</v>
      </c>
      <c r="BJ26" s="79" t="s">
        <v>138</v>
      </c>
      <c r="BK26" s="302">
        <f>F7</f>
        <v>37956</v>
      </c>
      <c r="BL26" s="102">
        <f>SUM(BL31:BL149)</f>
        <v>2172.3190000000004</v>
      </c>
      <c r="BM26" s="102">
        <f>SUM(BM31:BM149)</f>
        <v>2176.7089999999994</v>
      </c>
      <c r="BN26" s="102"/>
      <c r="BO26" s="102"/>
      <c r="BP26" s="102"/>
      <c r="BQ26" s="102">
        <f ca="1">SUM(BQ31:BQ149)</f>
        <v>172.19521980896221</v>
      </c>
      <c r="BR26" s="102">
        <f ca="1">SUM(BR31:BR149)</f>
        <v>-167.05188260212532</v>
      </c>
      <c r="BS26" s="102">
        <f ca="1">SUM(BS31:BS149)</f>
        <v>6.1444235486300975</v>
      </c>
      <c r="BU26" s="79" t="s">
        <v>139</v>
      </c>
      <c r="BV26" s="302">
        <f>H7</f>
        <v>37956</v>
      </c>
      <c r="BW26" s="102">
        <f>SUM(BW31:BW149)</f>
        <v>2172.3190000000004</v>
      </c>
      <c r="BX26" s="102">
        <f>SUM(BX31:BX149)</f>
        <v>2176.7089999999994</v>
      </c>
      <c r="BY26" s="102"/>
      <c r="BZ26" s="102"/>
      <c r="CA26" s="102"/>
      <c r="CB26" s="102">
        <f ca="1">SUM(CB31:CB149)</f>
        <v>169.42205454454424</v>
      </c>
      <c r="CC26" s="102">
        <f ca="1">SUM(CC31:CC149)</f>
        <v>-165.03312241857378</v>
      </c>
      <c r="CD26" s="102">
        <f ca="1">SUM(CD31:CD149)</f>
        <v>6.1067050299425079</v>
      </c>
    </row>
    <row r="27" spans="1:82" x14ac:dyDescent="0.2">
      <c r="A27" s="79"/>
      <c r="B27" s="173"/>
      <c r="C27" s="79"/>
      <c r="D27" s="55" t="s">
        <v>47</v>
      </c>
      <c r="E27" s="79"/>
      <c r="F27" s="173"/>
      <c r="G27" s="79"/>
      <c r="H27" s="173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>VLOOKUP($A27,STRADDLE,14,FALSE)</f>
        <v>#N/A</v>
      </c>
      <c r="AK27" s="79"/>
      <c r="AL27" s="79"/>
      <c r="AM27" s="80"/>
      <c r="AN27" s="79"/>
      <c r="AR27" s="75" t="s">
        <v>112</v>
      </c>
      <c r="AS27" s="75">
        <f>IF(B19=4,3,B19)</f>
        <v>2</v>
      </c>
      <c r="AW27"/>
      <c r="AY27" s="79"/>
      <c r="BC27" s="75" t="s">
        <v>112</v>
      </c>
      <c r="BD27" s="75">
        <f>IF(D19=4,3,D19)</f>
        <v>2</v>
      </c>
      <c r="BH27"/>
      <c r="BJ27" s="79"/>
      <c r="BN27" s="75" t="s">
        <v>112</v>
      </c>
      <c r="BO27" s="75">
        <f>IF(F19=4,3,F19)</f>
        <v>2</v>
      </c>
      <c r="BS27"/>
      <c r="BU27" s="79"/>
      <c r="BY27" s="75" t="s">
        <v>112</v>
      </c>
      <c r="BZ27" s="75">
        <f>IF(H19=4,3,H19)</f>
        <v>2</v>
      </c>
      <c r="CD27"/>
    </row>
    <row r="28" spans="1:82" x14ac:dyDescent="0.2">
      <c r="A28" s="79"/>
      <c r="B28" s="133"/>
      <c r="C28" s="133"/>
      <c r="D28" s="146" t="str">
        <f>B4</f>
        <v>nymex</v>
      </c>
      <c r="E28" s="75" t="s">
        <v>53</v>
      </c>
      <c r="K28" s="146" t="str">
        <f>D4</f>
        <v>IF-HPL/SHPCHAN</v>
      </c>
      <c r="Q28" s="89"/>
      <c r="R28" s="146" t="str">
        <f>F4</f>
        <v>IF-HPL/SHPCHAN</v>
      </c>
      <c r="Y28" s="146" t="str">
        <f>H4</f>
        <v>IF-HPL/SHPCHAN</v>
      </c>
      <c r="AF28" s="290">
        <v>37173</v>
      </c>
      <c r="AG28" s="127"/>
      <c r="AH28" s="77" t="e">
        <f>VLOOKUP($A28,STRADDLE,14,FALSE)</f>
        <v>#N/A</v>
      </c>
      <c r="AM28" s="80"/>
      <c r="AN28" s="130">
        <f>SUM(AN31:AN149)</f>
        <v>699</v>
      </c>
      <c r="AR28" s="75" t="s">
        <v>130</v>
      </c>
      <c r="AS28" s="75">
        <f>IF($G$1="GAMMA",3,IF($G$1="THETA",4,5))</f>
        <v>5</v>
      </c>
      <c r="AW28"/>
      <c r="AY28" s="130">
        <f>SUM(AY31:AY149)</f>
        <v>699</v>
      </c>
      <c r="BC28" s="75" t="s">
        <v>130</v>
      </c>
      <c r="BD28" s="75">
        <f>IF($G$1="GAMMA",3,IF($G$1="THETA",4,5))</f>
        <v>5</v>
      </c>
      <c r="BH28"/>
      <c r="BJ28" s="130">
        <f>SUM(BJ31:BJ149)</f>
        <v>699</v>
      </c>
      <c r="BN28" s="75" t="s">
        <v>130</v>
      </c>
      <c r="BO28" s="75">
        <f>IF($G$1="GAMMA",3,IF($G$1="THETA",4,5))</f>
        <v>5</v>
      </c>
      <c r="BS28"/>
      <c r="BU28" s="130">
        <f>SUM(BU31:BU149)</f>
        <v>699</v>
      </c>
      <c r="BY28" s="75" t="s">
        <v>130</v>
      </c>
      <c r="BZ28" s="75">
        <f>IF($G$1="GAMMA",3,IF($G$1="THETA",4,5))</f>
        <v>5</v>
      </c>
      <c r="CD28"/>
    </row>
    <row r="29" spans="1:82" ht="13.5" thickBot="1" x14ac:dyDescent="0.25">
      <c r="B29" s="157"/>
      <c r="C29" s="157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4" t="e">
        <f t="shared" ref="AI29:AI94" si="0">A30-A29</f>
        <v>#VALUE!</v>
      </c>
      <c r="AJ29" s="79"/>
      <c r="AL29" s="79"/>
      <c r="AO29" s="300" t="s">
        <v>40</v>
      </c>
      <c r="AP29" s="91" t="s">
        <v>36</v>
      </c>
      <c r="AQ29" s="91" t="s">
        <v>131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00" t="s">
        <v>40</v>
      </c>
      <c r="BA29" s="91" t="s">
        <v>36</v>
      </c>
      <c r="BB29" s="91" t="s">
        <v>131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00" t="s">
        <v>40</v>
      </c>
      <c r="BL29" s="91" t="s">
        <v>36</v>
      </c>
      <c r="BM29" s="91" t="s">
        <v>131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00" t="s">
        <v>40</v>
      </c>
      <c r="BW29" s="91" t="s">
        <v>36</v>
      </c>
      <c r="BX29" s="91" t="s">
        <v>131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5" t="s">
        <v>24</v>
      </c>
      <c r="B30" s="95" t="s">
        <v>53</v>
      </c>
      <c r="C30" s="95" t="s">
        <v>27</v>
      </c>
      <c r="D30" s="95" t="s">
        <v>35</v>
      </c>
      <c r="E30" s="95" t="s">
        <v>52</v>
      </c>
      <c r="F30" s="95" t="s">
        <v>25</v>
      </c>
      <c r="G30" s="95" t="s">
        <v>50</v>
      </c>
      <c r="H30" s="95" t="s">
        <v>110</v>
      </c>
      <c r="I30" s="95" t="s">
        <v>45</v>
      </c>
      <c r="K30" s="95" t="s">
        <v>35</v>
      </c>
      <c r="L30" s="95" t="s">
        <v>52</v>
      </c>
      <c r="M30" s="95" t="s">
        <v>25</v>
      </c>
      <c r="N30" s="95" t="s">
        <v>51</v>
      </c>
      <c r="O30" s="95" t="s">
        <v>111</v>
      </c>
      <c r="P30" s="95" t="s">
        <v>46</v>
      </c>
      <c r="R30" s="95" t="s">
        <v>35</v>
      </c>
      <c r="S30" s="95" t="s">
        <v>52</v>
      </c>
      <c r="T30" s="95" t="s">
        <v>25</v>
      </c>
      <c r="U30" s="95" t="s">
        <v>128</v>
      </c>
      <c r="V30" s="95" t="s">
        <v>132</v>
      </c>
      <c r="W30" s="95" t="s">
        <v>126</v>
      </c>
      <c r="X30" s="163"/>
      <c r="Y30" s="95" t="s">
        <v>35</v>
      </c>
      <c r="Z30" s="95" t="s">
        <v>52</v>
      </c>
      <c r="AA30" s="95" t="s">
        <v>25</v>
      </c>
      <c r="AB30" s="95" t="s">
        <v>129</v>
      </c>
      <c r="AC30" s="95" t="s">
        <v>133</v>
      </c>
      <c r="AD30" s="95" t="s">
        <v>127</v>
      </c>
      <c r="AF30" s="75" t="s">
        <v>149</v>
      </c>
      <c r="AG30" s="95" t="s">
        <v>150</v>
      </c>
      <c r="AH30" s="95" t="s">
        <v>26</v>
      </c>
      <c r="AI30" s="79"/>
      <c r="AL30" s="163"/>
      <c r="AN30" s="75" t="s">
        <v>44</v>
      </c>
      <c r="AQ30" s="80"/>
      <c r="AR30" s="79"/>
      <c r="AS30" s="79"/>
      <c r="AT30" s="79"/>
      <c r="AW30" t="s">
        <v>136</v>
      </c>
      <c r="AY30" s="75" t="s">
        <v>44</v>
      </c>
      <c r="BB30" s="80"/>
      <c r="BC30" s="79"/>
      <c r="BD30" s="79"/>
      <c r="BE30" s="79"/>
      <c r="BH30" t="s">
        <v>136</v>
      </c>
      <c r="BJ30" s="75" t="s">
        <v>44</v>
      </c>
      <c r="BM30" s="80"/>
      <c r="BN30" s="79"/>
      <c r="BO30" s="79"/>
      <c r="BP30" s="79"/>
      <c r="BS30" t="s">
        <v>136</v>
      </c>
      <c r="BU30" s="75" t="s">
        <v>44</v>
      </c>
      <c r="BX30" s="80"/>
      <c r="BY30" s="79"/>
      <c r="BZ30" s="79"/>
      <c r="CA30" s="79"/>
      <c r="CD30" t="s">
        <v>136</v>
      </c>
    </row>
    <row r="31" spans="1:82" ht="13.5" thickTop="1" x14ac:dyDescent="0.2">
      <c r="A31" s="96">
        <v>37288</v>
      </c>
      <c r="B31" s="97">
        <f>VLOOKUP(A31,STRADDLE,5,FALSE)</f>
        <v>2.786</v>
      </c>
      <c r="C31" s="77">
        <f>VLOOKUP(A31,STRADDLE,8,FALSE)</f>
        <v>0.92</v>
      </c>
      <c r="D31" s="97">
        <f t="shared" ref="D31:D94" si="1">IF(D$28="nymex",0,VLOOKUP($A31,curvesettle,HLOOKUP(D$28,curvesettle,2,FALSE)))</f>
        <v>0</v>
      </c>
      <c r="E31" s="100">
        <f t="shared" ref="E31:E94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25</v>
      </c>
      <c r="G31" s="77">
        <f t="shared" ref="G31:G94" si="4">(($C31+H31)*$E31)+B$15</f>
        <v>0.97463</v>
      </c>
      <c r="H31" s="77">
        <f>IF(B$16=1,_xll.xCalcSkew(A31,I31-AO31,b)/100,0)</f>
        <v>5.4629999999999998E-2</v>
      </c>
      <c r="I31" s="98">
        <f t="shared" ref="I31:I62" si="5">IF($B$19=4,$AO31,$B$18)</f>
        <v>4</v>
      </c>
      <c r="K31" s="97">
        <f t="shared" ref="K31:K94" si="6">IF(K$28="nymex",0,VLOOKUP($A31,curvesettle,HLOOKUP(K$28,curvesettle,2,FALSE)))</f>
        <v>-2.75E-2</v>
      </c>
      <c r="L31" s="100">
        <f t="shared" ref="L31:L94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26</v>
      </c>
      <c r="N31" s="175">
        <f t="shared" ref="N31:N94" si="9">(($C31+O31)*$L31)+D$15</f>
        <v>0.91612250000000006</v>
      </c>
      <c r="O31" s="77">
        <f>IF(D$16=1,_xll.xCalcSkew($A31,P31-AZ31,b)/100,0)</f>
        <v>-3.8775000000000025E-3</v>
      </c>
      <c r="P31" s="98">
        <f t="shared" ref="P31:P62" si="10">IF($D$19=4,$AZ31,$D$18)</f>
        <v>2.5</v>
      </c>
      <c r="R31" s="97">
        <f t="shared" ref="R31:R94" si="11">IF(R$28="nymex",0,VLOOKUP($A31,curvesettle,HLOOKUP(R$28,curvesettle,2,FALSE)))</f>
        <v>-2.75E-2</v>
      </c>
      <c r="S31" s="100">
        <f t="shared" ref="S31:S94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26</v>
      </c>
      <c r="U31" s="175">
        <f t="shared" ref="U31:U94" si="14">(($C31+V31)*$S31)+F$15</f>
        <v>0.91612250000000006</v>
      </c>
      <c r="V31" s="77">
        <f>IF(F$16=1,_xll.xCalcSkew($A31,W31-BK31,b)/100,0)</f>
        <v>-3.8775000000000025E-3</v>
      </c>
      <c r="W31" s="98">
        <f t="shared" ref="W31:W62" si="15">IF($F$19=4,$BK31,$F$18)</f>
        <v>2.5</v>
      </c>
      <c r="X31" s="99"/>
      <c r="Y31" s="97">
        <f t="shared" ref="Y31:Y94" si="16">IF(Y$28="nymex",0,VLOOKUP($A31,curvesettle,HLOOKUP(Y$28,curvesettle,2,FALSE)))</f>
        <v>-2.75E-2</v>
      </c>
      <c r="Z31" s="100">
        <f t="shared" ref="Z31:Z94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26</v>
      </c>
      <c r="AB31" s="77">
        <f t="shared" ref="AB31:AB94" si="19">(($C31+AC31)*$Z31)+H$15</f>
        <v>0.91597250000000008</v>
      </c>
      <c r="AC31" s="77">
        <f>IF(H$16=1,_xll.xCalcSkew($A31,AD31-BV31,b)/100,0)</f>
        <v>-4.0274999999999998E-3</v>
      </c>
      <c r="AD31" s="98">
        <f t="shared" ref="AD31:AD62" si="20">IF($H$19=4,$BV31,$H$18)</f>
        <v>2.4900000000000002</v>
      </c>
      <c r="AF31" s="99">
        <f t="shared" ref="AF31:AF95" ca="1" si="21">VLOOKUP($A31,expiration,2,FALSE)-$B$2</f>
        <v>26</v>
      </c>
      <c r="AG31" s="99">
        <f t="shared" ref="AG31:AG95" ca="1" si="22">VLOOKUP($A31,expiration,3,FALSE)-$B$2</f>
        <v>25</v>
      </c>
      <c r="AH31" s="77">
        <f t="shared" ref="AH31:AH39" si="23">VLOOKUP($A31,STRADDLE,14,FALSE)</f>
        <v>2.1145658071011701E-2</v>
      </c>
      <c r="AI31" s="154">
        <f t="shared" si="0"/>
        <v>28</v>
      </c>
      <c r="AJ31" s="101"/>
      <c r="AK31" s="101"/>
      <c r="AL31" s="101"/>
      <c r="AM31" s="101"/>
      <c r="AN31" s="78">
        <f>IF($A31&gt;=AO$25,IF($A31&lt;=AO$26,$AI31,0),0)</f>
        <v>28</v>
      </c>
      <c r="AO31" s="303">
        <f>AQ31/AN31</f>
        <v>2.786</v>
      </c>
      <c r="AP31" s="75">
        <f t="shared" ref="AP31:AP62" si="24">AN31*($B31+B$13)</f>
        <v>78.007999999999996</v>
      </c>
      <c r="AQ31" s="102">
        <f t="shared" ref="AQ31:AQ62" si="25">IF(ISNUMBER(((AP31/AN31)+B$14+$D31)*AN31),((AP31/AN31)+B$14+$D31)*AN31,0)</f>
        <v>78.007999999999996</v>
      </c>
      <c r="AR31" s="101">
        <f t="shared" ref="AR31:AR94" ca="1" si="26">IF(AN31=0,0,bsd(1,AS$27,AO31,$I31,$F31,$G31,$AH31,0.1))</f>
        <v>1.2420341701560691</v>
      </c>
      <c r="AS31" s="101">
        <f ca="1">IF(AN31=0,0,bsd(2,AS$27,AO31,$I31,$F31,$G31,$AH31,0.1))</f>
        <v>-0.90024698489214283</v>
      </c>
      <c r="AT31" s="101">
        <f t="shared" ref="AT31:AT94" ca="1" si="27">IF(AN31=0,0,bsd(AS$28,AS$27,AO31,$I31,$F31,$G31,$AH31,0.1))</f>
        <v>1.2760939001986993E-3</v>
      </c>
      <c r="AU31" s="103">
        <f ca="1">AN31*AR31</f>
        <v>34.776956764369935</v>
      </c>
      <c r="AV31" s="103">
        <f ca="1">AN31*AS31</f>
        <v>-25.206915576979998</v>
      </c>
      <c r="AW31" s="103">
        <f ca="1">AN31*AT31</f>
        <v>3.573062920556358E-2</v>
      </c>
      <c r="AY31" s="78">
        <f t="shared" ref="AY31:AY94" si="28">IF($A31&gt;=AZ$25,IF($A31&lt;=AZ$26,$AI31,0),0)</f>
        <v>28</v>
      </c>
      <c r="AZ31" s="303">
        <f>BB31/AY31</f>
        <v>2.7585000000000002</v>
      </c>
      <c r="BA31" s="75">
        <f t="shared" ref="BA31:BA62" si="29">AY31*($B31+D$13)</f>
        <v>78.007999999999996</v>
      </c>
      <c r="BB31" s="102">
        <f t="shared" ref="BB31:BB62" si="30">IF(ISNUMBER(((BA31/AY31)+D$14+$K31)*AY31),((BA31/AY31)+D$14+$K31)*AY31,0)</f>
        <v>77.238</v>
      </c>
      <c r="BC31" s="101">
        <f t="shared" ref="BC31:BC94" ca="1" si="31">IF(AY31=0,0,bsd(1,BD$27,AZ31,$P31,$M31,$N31,$AH31,0.1))</f>
        <v>0.14667948673376308</v>
      </c>
      <c r="BD31" s="101">
        <f t="shared" ref="BD31:BD94" ca="1" si="32">IF(AY31=0,0,bsd(2,BD$27,AZ31,$P31,$M31,$N31,$AH31,0.1))</f>
        <v>-0.29945170391827552</v>
      </c>
      <c r="BE31" s="101">
        <f t="shared" ref="BE31:BE94" ca="1" si="33">IF(AY31=0,0,bsd(BD$28,BD$27,AZ31,$P31,$M31,$N31,$AH31,0.1))</f>
        <v>2.5576080168931981E-3</v>
      </c>
      <c r="BF31" s="103">
        <f ca="1">AY31*BC31</f>
        <v>4.1070256285453661</v>
      </c>
      <c r="BG31" s="103">
        <f ca="1">AY31*BD31</f>
        <v>-8.3846477097117145</v>
      </c>
      <c r="BH31" s="103">
        <f ca="1">AY31*BE31</f>
        <v>7.1613024473009546E-2</v>
      </c>
      <c r="BJ31" s="78">
        <f t="shared" ref="BJ31:BJ94" si="34">IF($A31&gt;=BK$25,IF($A31&lt;=BK$26,$AI31,0),0)</f>
        <v>28</v>
      </c>
      <c r="BK31" s="303">
        <f>BM31/BJ31</f>
        <v>2.7585000000000002</v>
      </c>
      <c r="BL31" s="75">
        <f t="shared" ref="BL31:BL62" si="35">BJ31*($B31+F$13)</f>
        <v>78.007999999999996</v>
      </c>
      <c r="BM31" s="102">
        <f t="shared" ref="BM31:BM62" si="36">IF(ISNUMBER(((BL31/BJ31)+F$14+$R31)*BJ31),((BL31/BJ31)+F$14+$R31)*BJ31,0)</f>
        <v>77.238</v>
      </c>
      <c r="BN31" s="101">
        <f t="shared" ref="BN31:BN94" ca="1" si="37">IF(BJ31=0,0,bsd(1,BO$27,BK31,$W31,$T31,$U31,$AH31,0.1))</f>
        <v>0.14667948673376308</v>
      </c>
      <c r="BO31" s="101">
        <f t="shared" ref="BO31:BO94" ca="1" si="38">IF(BJ31=0,0,bsd(2,BO$27,BK31,$W31,$T31,$U31,$AH31,0.1))</f>
        <v>-0.29945170391827552</v>
      </c>
      <c r="BP31" s="101">
        <f t="shared" ref="BP31:BP94" ca="1" si="39">IF(BJ31=0,0,bsd(BO$28,BO$27,BK31,$W31,$T31,$U31,$AH31,0.1))</f>
        <v>2.5576080168931981E-3</v>
      </c>
      <c r="BQ31" s="103">
        <f ca="1">BJ31*BN31</f>
        <v>4.1070256285453661</v>
      </c>
      <c r="BR31" s="103">
        <f ca="1">BJ31*BO31</f>
        <v>-8.3846477097117145</v>
      </c>
      <c r="BS31" s="103">
        <f ca="1">BJ31*BP31</f>
        <v>7.1613024473009546E-2</v>
      </c>
      <c r="BU31" s="78">
        <f t="shared" ref="BU31:BU94" si="40">IF($A31&gt;=BV$25,IF($A31&lt;=BV$26,$AI31,0),0)</f>
        <v>28</v>
      </c>
      <c r="BV31" s="303">
        <f>BX31/BU31</f>
        <v>2.7585000000000002</v>
      </c>
      <c r="BW31" s="75">
        <f t="shared" ref="BW31:BW62" si="41">BU31*($B31+H$13)</f>
        <v>78.007999999999996</v>
      </c>
      <c r="BX31" s="102">
        <f t="shared" ref="BX31:BX62" si="42">IF(ISNUMBER(((BW31/BU31)+H$14+$Y31)*BU31),((BW31/BU31)+H$14+$Y31)*BU31,0)</f>
        <v>77.238</v>
      </c>
      <c r="BY31" s="101">
        <f t="shared" ref="BY31:BY94" ca="1" si="43">IF(BU31=0,0,bsd(1,BZ$27,BV31,$AD31,$AA31,$AB31,$AH31,0.1))</f>
        <v>0.14278197051880903</v>
      </c>
      <c r="BZ31" s="101">
        <f t="shared" ref="BZ31:BZ94" ca="1" si="44">IF(BU31=0,0,bsd(2,BZ$27,BV31,$AD31,$AA31,$AB31,$AH31,0.1))</f>
        <v>-0.29376961148965852</v>
      </c>
      <c r="CA31" s="101">
        <f t="shared" ref="CA31:CA94" ca="1" si="45">IF(BU31=0,0,bsd(BZ$28,BZ$27,BV31,$AD31,$AA31,$AB31,$AH31,0.1))</f>
        <v>2.5354849833312265E-3</v>
      </c>
      <c r="CB31" s="103">
        <f ca="1">BU31*BY31</f>
        <v>3.9978951745266529</v>
      </c>
      <c r="CC31" s="103">
        <f ca="1">BU31*BZ31</f>
        <v>-8.2255491217104382</v>
      </c>
      <c r="CD31" s="103">
        <f ca="1">BU31*CA31</f>
        <v>7.0993579533274342E-2</v>
      </c>
    </row>
    <row r="32" spans="1:82" x14ac:dyDescent="0.2">
      <c r="A32" s="96">
        <f t="shared" ref="A32:A95" si="46">DATE(YEAR(A31),MONTH(A31)+1,1)</f>
        <v>37316</v>
      </c>
      <c r="B32" s="97">
        <f t="shared" ref="B32:B95" si="47">VLOOKUP(A32,STRADDLE,5,FALSE)</f>
        <v>2.7989999999999999</v>
      </c>
      <c r="C32" s="77">
        <f t="shared" ref="C32:C95" si="48">VLOOKUP(A32,STRADDLE,8,FALSE)</f>
        <v>0.80300000000000005</v>
      </c>
      <c r="D32" s="97">
        <f t="shared" si="1"/>
        <v>0</v>
      </c>
      <c r="E32" s="100">
        <f t="shared" si="2"/>
        <v>1</v>
      </c>
      <c r="F32" s="99">
        <f t="shared" ca="1" si="3"/>
        <v>53</v>
      </c>
      <c r="G32" s="77">
        <f t="shared" si="4"/>
        <v>0.85704500000000006</v>
      </c>
      <c r="H32" s="77">
        <f>IF(B$16=1,_xll.xCalcSkew(A32,I32-AO32,b)/100,0)</f>
        <v>5.4045000000000003E-2</v>
      </c>
      <c r="I32" s="98">
        <f t="shared" si="5"/>
        <v>4</v>
      </c>
      <c r="K32" s="97">
        <f t="shared" si="6"/>
        <v>-2.2499999999999999E-2</v>
      </c>
      <c r="L32" s="100">
        <f t="shared" si="7"/>
        <v>1</v>
      </c>
      <c r="M32" s="99">
        <f t="shared" ca="1" si="8"/>
        <v>54</v>
      </c>
      <c r="N32" s="175">
        <f t="shared" si="9"/>
        <v>0.79885250000000008</v>
      </c>
      <c r="O32" s="77">
        <f>IF(D$16=1,_xll.xCalcSkew($A32,P32-AZ32,b)/100,0)</f>
        <v>-4.1474999999999993E-3</v>
      </c>
      <c r="P32" s="98">
        <f t="shared" si="10"/>
        <v>2.5</v>
      </c>
      <c r="Q32" s="175">
        <f>N32-O32</f>
        <v>0.80300000000000005</v>
      </c>
      <c r="R32" s="97">
        <f t="shared" si="11"/>
        <v>-2.2499999999999999E-2</v>
      </c>
      <c r="S32" s="100">
        <f t="shared" si="12"/>
        <v>1</v>
      </c>
      <c r="T32" s="99">
        <f t="shared" ca="1" si="13"/>
        <v>54</v>
      </c>
      <c r="U32" s="175">
        <f t="shared" si="14"/>
        <v>0.79885250000000008</v>
      </c>
      <c r="V32" s="77">
        <f>IF(F$16=1,_xll.xCalcSkew($A32,W32-BK32,b)/100,0)</f>
        <v>-4.1474999999999993E-3</v>
      </c>
      <c r="W32" s="98">
        <f t="shared" si="15"/>
        <v>2.5</v>
      </c>
      <c r="X32" s="99"/>
      <c r="Y32" s="97">
        <f t="shared" si="16"/>
        <v>-2.2499999999999999E-2</v>
      </c>
      <c r="Z32" s="100">
        <f t="shared" si="17"/>
        <v>1</v>
      </c>
      <c r="AA32" s="99">
        <f t="shared" ca="1" si="18"/>
        <v>54</v>
      </c>
      <c r="AB32" s="77">
        <f t="shared" si="19"/>
        <v>0.79870250000000009</v>
      </c>
      <c r="AC32" s="77">
        <f>IF(H$16=1,_xll.xCalcSkew($A32,AD32-BV32,b)/100,0)</f>
        <v>-4.2974999999999966E-3</v>
      </c>
      <c r="AD32" s="98">
        <f t="shared" si="20"/>
        <v>2.4900000000000002</v>
      </c>
      <c r="AF32" s="99">
        <f t="shared" ca="1" si="21"/>
        <v>54</v>
      </c>
      <c r="AG32" s="99">
        <f t="shared" ca="1" si="22"/>
        <v>53</v>
      </c>
      <c r="AH32" s="77">
        <f t="shared" si="23"/>
        <v>2.07759939054513E-2</v>
      </c>
      <c r="AI32" s="154">
        <f t="shared" si="0"/>
        <v>31</v>
      </c>
      <c r="AJ32" s="101"/>
      <c r="AK32" s="101"/>
      <c r="AL32" s="101"/>
      <c r="AM32" s="101"/>
      <c r="AN32" s="78">
        <f t="shared" ref="AN32:AN94" si="49">IF($A32&gt;=AO$25,IF($A32&lt;=AO$26,$AI32,0),0)</f>
        <v>31</v>
      </c>
      <c r="AO32" s="303">
        <f t="shared" ref="AO32:AO95" si="50">AQ32/AN32</f>
        <v>2.7989999999999999</v>
      </c>
      <c r="AP32" s="75">
        <f t="shared" si="24"/>
        <v>86.768999999999991</v>
      </c>
      <c r="AQ32" s="102">
        <f t="shared" si="25"/>
        <v>86.768999999999991</v>
      </c>
      <c r="AR32" s="101">
        <f t="shared" ca="1" si="26"/>
        <v>1.2724902776984925</v>
      </c>
      <c r="AS32" s="101">
        <f t="shared" ref="AS32:AS95" ca="1" si="51">IF(AN32=0,0,bsd(2,AS$27,AO32,$I32,$F32,$G32,$AH32,0.1))</f>
        <v>-0.82131761023523997</v>
      </c>
      <c r="AT32" s="101">
        <f t="shared" ca="1" si="27"/>
        <v>2.7716254891857472E-3</v>
      </c>
      <c r="AU32" s="103">
        <f t="shared" ref="AU32:AU95" ca="1" si="52">AN32*AR32</f>
        <v>39.447198608653267</v>
      </c>
      <c r="AV32" s="103">
        <f t="shared" ref="AV32:AV95" ca="1" si="53">AN32*AS32</f>
        <v>-25.460845917292438</v>
      </c>
      <c r="AW32" s="103">
        <f t="shared" ref="AW32:AW95" ca="1" si="54">AN32*AT32</f>
        <v>8.5920390164758165E-2</v>
      </c>
      <c r="AY32" s="78">
        <f t="shared" si="28"/>
        <v>31</v>
      </c>
      <c r="AZ32" s="303">
        <f t="shared" ref="AZ32:AZ95" si="55">BB32/AY32</f>
        <v>2.7765</v>
      </c>
      <c r="BA32" s="75">
        <f t="shared" si="29"/>
        <v>86.768999999999991</v>
      </c>
      <c r="BB32" s="102">
        <f t="shared" si="30"/>
        <v>86.0715</v>
      </c>
      <c r="BC32" s="101">
        <f t="shared" ca="1" si="31"/>
        <v>0.20168933163146052</v>
      </c>
      <c r="BD32" s="101">
        <f t="shared" ca="1" si="32"/>
        <v>-0.30933685480232792</v>
      </c>
      <c r="BE32" s="101">
        <f t="shared" ca="1" si="33"/>
        <v>3.7597319677469265E-3</v>
      </c>
      <c r="BF32" s="103">
        <f t="shared" ref="BF32:BF95" ca="1" si="56">AY32*BC32</f>
        <v>6.2523692805752766</v>
      </c>
      <c r="BG32" s="103">
        <f t="shared" ref="BG32:BG95" ca="1" si="57">AY32*BD32</f>
        <v>-9.5894424988721649</v>
      </c>
      <c r="BH32" s="103">
        <f t="shared" ref="BH32:BH95" ca="1" si="58">AY32*BE32</f>
        <v>0.11655169100015472</v>
      </c>
      <c r="BJ32" s="78">
        <f t="shared" si="34"/>
        <v>31</v>
      </c>
      <c r="BK32" s="303">
        <f t="shared" ref="BK32:BK95" si="59">BM32/BJ32</f>
        <v>2.7765</v>
      </c>
      <c r="BL32" s="75">
        <f t="shared" si="35"/>
        <v>86.768999999999991</v>
      </c>
      <c r="BM32" s="102">
        <f t="shared" si="36"/>
        <v>86.0715</v>
      </c>
      <c r="BN32" s="101">
        <f t="shared" ca="1" si="37"/>
        <v>0.20168933163146052</v>
      </c>
      <c r="BO32" s="101">
        <f t="shared" ca="1" si="38"/>
        <v>-0.30933685480232792</v>
      </c>
      <c r="BP32" s="101">
        <f t="shared" ca="1" si="39"/>
        <v>3.7597319677469265E-3</v>
      </c>
      <c r="BQ32" s="103">
        <f t="shared" ref="BQ32:BQ95" ca="1" si="60">BJ32*BN32</f>
        <v>6.2523692805752766</v>
      </c>
      <c r="BR32" s="103">
        <f t="shared" ref="BR32:BR95" ca="1" si="61">BJ32*BO32</f>
        <v>-9.5894424988721649</v>
      </c>
      <c r="BS32" s="103">
        <f t="shared" ref="BS32:BS95" ca="1" si="62">BJ32*BP32</f>
        <v>0.11655169100015472</v>
      </c>
      <c r="BU32" s="78">
        <f t="shared" si="40"/>
        <v>31</v>
      </c>
      <c r="BV32" s="303">
        <f t="shared" ref="BV32:BV95" si="63">BX32/BU32</f>
        <v>2.7765</v>
      </c>
      <c r="BW32" s="75">
        <f t="shared" si="41"/>
        <v>86.768999999999991</v>
      </c>
      <c r="BX32" s="102">
        <f t="shared" si="42"/>
        <v>86.0715</v>
      </c>
      <c r="BY32" s="101">
        <f t="shared" ca="1" si="43"/>
        <v>0.19741657572000715</v>
      </c>
      <c r="BZ32" s="101">
        <f t="shared" ca="1" si="44"/>
        <v>-0.3047489764259243</v>
      </c>
      <c r="CA32" s="101">
        <f t="shared" ca="1" si="45"/>
        <v>3.7353550631908927E-3</v>
      </c>
      <c r="CB32" s="103">
        <f t="shared" ref="CB32:CB95" ca="1" si="64">BU32*BY32</f>
        <v>6.1199138473202215</v>
      </c>
      <c r="CC32" s="103">
        <f t="shared" ref="CC32:CC95" ca="1" si="65">BU32*BZ32</f>
        <v>-9.4472182692036526</v>
      </c>
      <c r="CD32" s="103">
        <f t="shared" ref="CD32:CD95" ca="1" si="66">BU32*CA32</f>
        <v>0.11579600695891767</v>
      </c>
    </row>
    <row r="33" spans="1:82" x14ac:dyDescent="0.2">
      <c r="A33" s="96">
        <f t="shared" si="46"/>
        <v>37347</v>
      </c>
      <c r="B33" s="97">
        <f t="shared" si="47"/>
        <v>2.7589999999999999</v>
      </c>
      <c r="C33" s="77">
        <f t="shared" si="48"/>
        <v>0.66</v>
      </c>
      <c r="D33" s="97">
        <f t="shared" si="1"/>
        <v>0</v>
      </c>
      <c r="E33" s="100">
        <f t="shared" si="2"/>
        <v>1</v>
      </c>
      <c r="F33" s="99">
        <f t="shared" ca="1" si="3"/>
        <v>81</v>
      </c>
      <c r="G33" s="77">
        <f t="shared" si="4"/>
        <v>0.69111500000000003</v>
      </c>
      <c r="H33" s="77">
        <f>IF(B$16=1,_xll.xCalcSkew(A33,I33-AO33,b)/100,0)</f>
        <v>3.1115000000000004E-2</v>
      </c>
      <c r="I33" s="98">
        <f t="shared" si="5"/>
        <v>4</v>
      </c>
      <c r="K33" s="97">
        <f t="shared" si="6"/>
        <v>1.4999999999999999E-2</v>
      </c>
      <c r="L33" s="100">
        <f t="shared" si="7"/>
        <v>1</v>
      </c>
      <c r="M33" s="99">
        <f t="shared" ca="1" si="8"/>
        <v>82</v>
      </c>
      <c r="N33" s="175">
        <f t="shared" si="9"/>
        <v>0.65589000000000008</v>
      </c>
      <c r="O33" s="77">
        <f>IF(D$16=1,_xll.xCalcSkew($A33,P33-AZ33,b)/100,0)</f>
        <v>-4.1099999999999999E-3</v>
      </c>
      <c r="P33" s="98">
        <f t="shared" si="10"/>
        <v>2.5</v>
      </c>
      <c r="Q33" s="175">
        <f>N33-O33</f>
        <v>0.66</v>
      </c>
      <c r="R33" s="97">
        <f t="shared" si="11"/>
        <v>1.4999999999999999E-2</v>
      </c>
      <c r="S33" s="100">
        <f t="shared" si="12"/>
        <v>1</v>
      </c>
      <c r="T33" s="99">
        <f t="shared" ca="1" si="13"/>
        <v>82</v>
      </c>
      <c r="U33" s="175">
        <f t="shared" si="14"/>
        <v>0.65589000000000008</v>
      </c>
      <c r="V33" s="77">
        <f>IF(F$16=1,_xll.xCalcSkew($A33,W33-BK33,b)/100,0)</f>
        <v>-4.1099999999999999E-3</v>
      </c>
      <c r="W33" s="98">
        <f t="shared" si="15"/>
        <v>2.5</v>
      </c>
      <c r="X33" s="99"/>
      <c r="Y33" s="97">
        <f t="shared" si="16"/>
        <v>1.4999999999999999E-2</v>
      </c>
      <c r="Z33" s="100">
        <f t="shared" si="17"/>
        <v>1</v>
      </c>
      <c r="AA33" s="99">
        <f t="shared" ca="1" si="18"/>
        <v>82</v>
      </c>
      <c r="AB33" s="77">
        <f t="shared" si="19"/>
        <v>0.65573999999999999</v>
      </c>
      <c r="AC33" s="77">
        <f>IF(H$16=1,_xll.xCalcSkew($A33,AD33-BV33,b)/100,0)</f>
        <v>-4.2599999999999973E-3</v>
      </c>
      <c r="AD33" s="98">
        <f t="shared" si="20"/>
        <v>2.4900000000000002</v>
      </c>
      <c r="AF33" s="99">
        <f t="shared" ca="1" si="21"/>
        <v>82</v>
      </c>
      <c r="AG33" s="99">
        <f t="shared" ca="1" si="22"/>
        <v>81</v>
      </c>
      <c r="AH33" s="77">
        <f t="shared" si="23"/>
        <v>2.0033459902157401E-2</v>
      </c>
      <c r="AI33" s="154">
        <f t="shared" si="0"/>
        <v>30</v>
      </c>
      <c r="AJ33" s="101"/>
      <c r="AK33" s="101"/>
      <c r="AL33" s="101"/>
      <c r="AM33" s="101"/>
      <c r="AN33" s="78">
        <f t="shared" si="49"/>
        <v>30</v>
      </c>
      <c r="AO33" s="303">
        <f t="shared" si="50"/>
        <v>2.7589999999999999</v>
      </c>
      <c r="AP33" s="75">
        <f t="shared" si="24"/>
        <v>82.77</v>
      </c>
      <c r="AQ33" s="102">
        <f t="shared" si="25"/>
        <v>82.77</v>
      </c>
      <c r="AR33" s="101">
        <f t="shared" ca="1" si="26"/>
        <v>1.3030136187920327</v>
      </c>
      <c r="AS33" s="101">
        <f t="shared" ca="1" si="51"/>
        <v>-0.83226912307062029</v>
      </c>
      <c r="AT33" s="101">
        <f t="shared" ca="1" si="27"/>
        <v>3.2289040671176772E-3</v>
      </c>
      <c r="AU33" s="103">
        <f t="shared" ca="1" si="52"/>
        <v>39.090408563760981</v>
      </c>
      <c r="AV33" s="103">
        <f t="shared" ca="1" si="53"/>
        <v>-24.968073692118608</v>
      </c>
      <c r="AW33" s="103">
        <f t="shared" ca="1" si="54"/>
        <v>9.6867122013530316E-2</v>
      </c>
      <c r="AY33" s="78">
        <f t="shared" si="28"/>
        <v>30</v>
      </c>
      <c r="AZ33" s="303">
        <f t="shared" si="55"/>
        <v>2.774</v>
      </c>
      <c r="BA33" s="75">
        <f t="shared" si="29"/>
        <v>82.77</v>
      </c>
      <c r="BB33" s="102">
        <f t="shared" si="30"/>
        <v>83.22</v>
      </c>
      <c r="BC33" s="101">
        <f t="shared" ca="1" si="31"/>
        <v>0.20570196124550644</v>
      </c>
      <c r="BD33" s="101">
        <f t="shared" ca="1" si="32"/>
        <v>-0.31067509706941038</v>
      </c>
      <c r="BE33" s="101">
        <f t="shared" ca="1" si="33"/>
        <v>4.6341913954992542E-3</v>
      </c>
      <c r="BF33" s="103">
        <f t="shared" ca="1" si="56"/>
        <v>6.1710588373651927</v>
      </c>
      <c r="BG33" s="103">
        <f t="shared" ca="1" si="57"/>
        <v>-9.3202529120823119</v>
      </c>
      <c r="BH33" s="103">
        <f t="shared" ca="1" si="58"/>
        <v>0.13902574186497763</v>
      </c>
      <c r="BJ33" s="78">
        <f t="shared" si="34"/>
        <v>30</v>
      </c>
      <c r="BK33" s="303">
        <f t="shared" si="59"/>
        <v>2.774</v>
      </c>
      <c r="BL33" s="75">
        <f t="shared" si="35"/>
        <v>82.77</v>
      </c>
      <c r="BM33" s="102">
        <f t="shared" si="36"/>
        <v>83.22</v>
      </c>
      <c r="BN33" s="101">
        <f t="shared" ca="1" si="37"/>
        <v>0.20570196124550644</v>
      </c>
      <c r="BO33" s="101">
        <f t="shared" ca="1" si="38"/>
        <v>-0.31067509706941038</v>
      </c>
      <c r="BP33" s="101">
        <f t="shared" ca="1" si="39"/>
        <v>4.6341913954992542E-3</v>
      </c>
      <c r="BQ33" s="103">
        <f t="shared" ca="1" si="60"/>
        <v>6.1710588373651927</v>
      </c>
      <c r="BR33" s="103">
        <f t="shared" ca="1" si="61"/>
        <v>-9.3202529120823119</v>
      </c>
      <c r="BS33" s="103">
        <f t="shared" ca="1" si="62"/>
        <v>0.13902574186497763</v>
      </c>
      <c r="BU33" s="78">
        <f t="shared" si="40"/>
        <v>30</v>
      </c>
      <c r="BV33" s="303">
        <f t="shared" si="63"/>
        <v>2.774</v>
      </c>
      <c r="BW33" s="75">
        <f t="shared" si="41"/>
        <v>82.77</v>
      </c>
      <c r="BX33" s="102">
        <f t="shared" si="42"/>
        <v>83.22</v>
      </c>
      <c r="BY33" s="101">
        <f t="shared" ca="1" si="43"/>
        <v>0.20138808166196198</v>
      </c>
      <c r="BZ33" s="101">
        <f t="shared" ca="1" si="44"/>
        <v>-0.30613303758179317</v>
      </c>
      <c r="CA33" s="101">
        <f t="shared" ca="1" si="45"/>
        <v>4.6048322884533199E-3</v>
      </c>
      <c r="CB33" s="103">
        <f t="shared" ca="1" si="64"/>
        <v>6.041642449858859</v>
      </c>
      <c r="CC33" s="103">
        <f t="shared" ca="1" si="65"/>
        <v>-9.1839911274537958</v>
      </c>
      <c r="CD33" s="103">
        <f t="shared" ca="1" si="66"/>
        <v>0.1381449686535996</v>
      </c>
    </row>
    <row r="34" spans="1:82" x14ac:dyDescent="0.2">
      <c r="A34" s="96">
        <f t="shared" si="46"/>
        <v>37377</v>
      </c>
      <c r="B34" s="97">
        <f t="shared" si="47"/>
        <v>2.7989999999999999</v>
      </c>
      <c r="C34" s="77">
        <f t="shared" si="48"/>
        <v>0.59299999999999997</v>
      </c>
      <c r="D34" s="97">
        <f t="shared" si="1"/>
        <v>0</v>
      </c>
      <c r="E34" s="100">
        <f t="shared" si="2"/>
        <v>1</v>
      </c>
      <c r="F34" s="99">
        <f t="shared" ca="1" si="3"/>
        <v>112</v>
      </c>
      <c r="G34" s="77">
        <f t="shared" si="4"/>
        <v>0.62101499999999998</v>
      </c>
      <c r="H34" s="77">
        <f>IF(B$16=1,_xll.xCalcSkew(A34,I34-AO34,b)/100,0)</f>
        <v>2.8014999999999998E-2</v>
      </c>
      <c r="I34" s="98">
        <f t="shared" si="5"/>
        <v>4</v>
      </c>
      <c r="K34" s="97">
        <f t="shared" si="6"/>
        <v>0.02</v>
      </c>
      <c r="L34" s="100">
        <f t="shared" si="7"/>
        <v>1</v>
      </c>
      <c r="M34" s="99">
        <f t="shared" ca="1" si="8"/>
        <v>113</v>
      </c>
      <c r="N34" s="175">
        <f t="shared" si="9"/>
        <v>0.588534</v>
      </c>
      <c r="O34" s="77">
        <f>IF(D$16=1,_xll.xCalcSkew($A34,P34-AZ34,b)/100,0)</f>
        <v>-4.4659999999999986E-3</v>
      </c>
      <c r="P34" s="98">
        <f t="shared" si="10"/>
        <v>2.5</v>
      </c>
      <c r="Q34" s="175">
        <f>N34-O34</f>
        <v>0.59299999999999997</v>
      </c>
      <c r="R34" s="97">
        <f t="shared" si="11"/>
        <v>0.02</v>
      </c>
      <c r="S34" s="100">
        <f t="shared" si="12"/>
        <v>1</v>
      </c>
      <c r="T34" s="99">
        <f t="shared" ca="1" si="13"/>
        <v>113</v>
      </c>
      <c r="U34" s="175">
        <f t="shared" si="14"/>
        <v>0.588534</v>
      </c>
      <c r="V34" s="77">
        <f>IF(F$16=1,_xll.xCalcSkew($A34,W34-BK34,b)/100,0)</f>
        <v>-4.4659999999999986E-3</v>
      </c>
      <c r="W34" s="98">
        <f t="shared" si="15"/>
        <v>2.5</v>
      </c>
      <c r="X34" s="99"/>
      <c r="Y34" s="97">
        <f t="shared" si="16"/>
        <v>0.02</v>
      </c>
      <c r="Z34" s="100">
        <f t="shared" si="17"/>
        <v>1</v>
      </c>
      <c r="AA34" s="99">
        <f t="shared" ca="1" si="18"/>
        <v>113</v>
      </c>
      <c r="AB34" s="77">
        <f t="shared" si="19"/>
        <v>0.58839399999999997</v>
      </c>
      <c r="AC34" s="77">
        <f>IF(H$16=1,_xll.xCalcSkew($A34,AD34-BV34,b)/100,0)</f>
        <v>-4.6059999999999964E-3</v>
      </c>
      <c r="AD34" s="98">
        <f t="shared" si="20"/>
        <v>2.4900000000000002</v>
      </c>
      <c r="AF34" s="99">
        <f t="shared" ca="1" si="21"/>
        <v>113</v>
      </c>
      <c r="AG34" s="99">
        <f t="shared" ca="1" si="22"/>
        <v>112</v>
      </c>
      <c r="AH34" s="77">
        <f t="shared" si="23"/>
        <v>2.0156242730434901E-2</v>
      </c>
      <c r="AI34" s="154">
        <f t="shared" si="0"/>
        <v>31</v>
      </c>
      <c r="AJ34" s="101"/>
      <c r="AK34" s="101"/>
      <c r="AL34" s="101"/>
      <c r="AM34" s="101"/>
      <c r="AN34" s="78">
        <f t="shared" si="49"/>
        <v>31</v>
      </c>
      <c r="AO34" s="303">
        <f t="shared" si="50"/>
        <v>2.7989999999999999</v>
      </c>
      <c r="AP34" s="75">
        <f t="shared" si="24"/>
        <v>86.768999999999991</v>
      </c>
      <c r="AQ34" s="102">
        <f t="shared" si="25"/>
        <v>86.768999999999991</v>
      </c>
      <c r="AR34" s="101">
        <f t="shared" ca="1" si="26"/>
        <v>1.281389567896388</v>
      </c>
      <c r="AS34" s="101">
        <f t="shared" ca="1" si="51"/>
        <v>-0.8017448590659223</v>
      </c>
      <c r="AT34" s="101">
        <f t="shared" ca="1" si="27"/>
        <v>4.2608430440888578E-3</v>
      </c>
      <c r="AU34" s="103">
        <f t="shared" ca="1" si="52"/>
        <v>39.723076604788027</v>
      </c>
      <c r="AV34" s="103">
        <f t="shared" ca="1" si="53"/>
        <v>-24.85409063104359</v>
      </c>
      <c r="AW34" s="103">
        <f t="shared" ca="1" si="54"/>
        <v>0.13208613436675459</v>
      </c>
      <c r="AY34" s="78">
        <f t="shared" si="28"/>
        <v>31</v>
      </c>
      <c r="AZ34" s="303">
        <f t="shared" si="55"/>
        <v>2.819</v>
      </c>
      <c r="BA34" s="75">
        <f t="shared" si="29"/>
        <v>86.768999999999991</v>
      </c>
      <c r="BB34" s="102">
        <f t="shared" si="30"/>
        <v>87.388999999999996</v>
      </c>
      <c r="BC34" s="101">
        <f t="shared" ca="1" si="31"/>
        <v>0.20785216737631484</v>
      </c>
      <c r="BD34" s="101">
        <f t="shared" ca="1" si="32"/>
        <v>-0.29604235407974472</v>
      </c>
      <c r="BE34" s="101">
        <f t="shared" ca="1" si="33"/>
        <v>5.4071891769458258E-3</v>
      </c>
      <c r="BF34" s="103">
        <f t="shared" ca="1" si="56"/>
        <v>6.4434171886657605</v>
      </c>
      <c r="BG34" s="103">
        <f t="shared" ca="1" si="57"/>
        <v>-9.177312976472086</v>
      </c>
      <c r="BH34" s="103">
        <f t="shared" ca="1" si="58"/>
        <v>0.1676228644853206</v>
      </c>
      <c r="BJ34" s="78">
        <f t="shared" si="34"/>
        <v>31</v>
      </c>
      <c r="BK34" s="303">
        <f t="shared" si="59"/>
        <v>2.819</v>
      </c>
      <c r="BL34" s="75">
        <f t="shared" si="35"/>
        <v>86.768999999999991</v>
      </c>
      <c r="BM34" s="102">
        <f t="shared" si="36"/>
        <v>87.388999999999996</v>
      </c>
      <c r="BN34" s="101">
        <f t="shared" ca="1" si="37"/>
        <v>0.20785216737631484</v>
      </c>
      <c r="BO34" s="101">
        <f t="shared" ca="1" si="38"/>
        <v>-0.29604235407974472</v>
      </c>
      <c r="BP34" s="101">
        <f t="shared" ca="1" si="39"/>
        <v>5.4071891769458258E-3</v>
      </c>
      <c r="BQ34" s="103">
        <f t="shared" ca="1" si="60"/>
        <v>6.4434171886657605</v>
      </c>
      <c r="BR34" s="103">
        <f t="shared" ca="1" si="61"/>
        <v>-9.177312976472086</v>
      </c>
      <c r="BS34" s="103">
        <f t="shared" ca="1" si="62"/>
        <v>0.1676228644853206</v>
      </c>
      <c r="BU34" s="78">
        <f t="shared" si="40"/>
        <v>31</v>
      </c>
      <c r="BV34" s="303">
        <f t="shared" si="63"/>
        <v>2.819</v>
      </c>
      <c r="BW34" s="75">
        <f t="shared" si="41"/>
        <v>86.768999999999991</v>
      </c>
      <c r="BX34" s="102">
        <f t="shared" si="42"/>
        <v>87.388999999999996</v>
      </c>
      <c r="BY34" s="101">
        <f t="shared" ca="1" si="43"/>
        <v>0.20363121823714458</v>
      </c>
      <c r="BZ34" s="101">
        <f t="shared" ca="1" si="44"/>
        <v>-0.29182295098699318</v>
      </c>
      <c r="CA34" s="101">
        <f t="shared" ca="1" si="45"/>
        <v>5.372059735234691E-3</v>
      </c>
      <c r="CB34" s="103">
        <f t="shared" ca="1" si="64"/>
        <v>6.3125677653514822</v>
      </c>
      <c r="CC34" s="103">
        <f t="shared" ca="1" si="65"/>
        <v>-9.0465114805967879</v>
      </c>
      <c r="CD34" s="103">
        <f t="shared" ca="1" si="66"/>
        <v>0.16653385179227542</v>
      </c>
    </row>
    <row r="35" spans="1:82" x14ac:dyDescent="0.2">
      <c r="A35" s="96">
        <f t="shared" si="46"/>
        <v>37408</v>
      </c>
      <c r="B35" s="97">
        <f t="shared" si="47"/>
        <v>2.8490000000000002</v>
      </c>
      <c r="C35" s="77">
        <f t="shared" si="48"/>
        <v>0.57299999999999995</v>
      </c>
      <c r="D35" s="97">
        <f t="shared" si="1"/>
        <v>0</v>
      </c>
      <c r="E35" s="100">
        <f t="shared" si="2"/>
        <v>1</v>
      </c>
      <c r="F35" s="99">
        <f t="shared" ca="1" si="3"/>
        <v>145</v>
      </c>
      <c r="G35" s="77">
        <f t="shared" si="4"/>
        <v>0.60026499999999994</v>
      </c>
      <c r="H35" s="77">
        <f>IF(B$16=1,_xll.xCalcSkew(A35,I35-AO35,b)/100,0)</f>
        <v>2.7265000000000005E-2</v>
      </c>
      <c r="I35" s="98">
        <f t="shared" si="5"/>
        <v>4</v>
      </c>
      <c r="K35" s="97">
        <f t="shared" si="6"/>
        <v>3.2500000000000001E-2</v>
      </c>
      <c r="L35" s="100">
        <f t="shared" si="7"/>
        <v>1</v>
      </c>
      <c r="M35" s="99">
        <f t="shared" ca="1" si="8"/>
        <v>146</v>
      </c>
      <c r="N35" s="175">
        <f t="shared" si="9"/>
        <v>0.56765899999999991</v>
      </c>
      <c r="O35" s="77">
        <f>IF(D$16=1,_xll.xCalcSkew($A35,P35-AZ35,b)/100,0)</f>
        <v>-5.3409999999999994E-3</v>
      </c>
      <c r="P35" s="98">
        <f t="shared" si="10"/>
        <v>2.5</v>
      </c>
      <c r="Q35" s="175">
        <f>N35-O35</f>
        <v>0.57299999999999995</v>
      </c>
      <c r="R35" s="97">
        <f t="shared" si="11"/>
        <v>3.2500000000000001E-2</v>
      </c>
      <c r="S35" s="100">
        <f t="shared" si="12"/>
        <v>1</v>
      </c>
      <c r="T35" s="99">
        <f t="shared" ca="1" si="13"/>
        <v>146</v>
      </c>
      <c r="U35" s="175">
        <f t="shared" si="14"/>
        <v>0.56765899999999991</v>
      </c>
      <c r="V35" s="77">
        <f>IF(F$16=1,_xll.xCalcSkew($A35,W35-BK35,b)/100,0)</f>
        <v>-5.3409999999999994E-3</v>
      </c>
      <c r="W35" s="98">
        <f t="shared" si="15"/>
        <v>2.5</v>
      </c>
      <c r="X35" s="99"/>
      <c r="Y35" s="97">
        <f t="shared" si="16"/>
        <v>3.2500000000000001E-2</v>
      </c>
      <c r="Z35" s="100">
        <f t="shared" si="17"/>
        <v>1</v>
      </c>
      <c r="AA35" s="99">
        <f t="shared" ca="1" si="18"/>
        <v>146</v>
      </c>
      <c r="AB35" s="77">
        <f t="shared" si="19"/>
        <v>0.567519</v>
      </c>
      <c r="AC35" s="77">
        <f>IF(H$16=1,_xll.xCalcSkew($A35,AD35-BV35,b)/100,0)</f>
        <v>-5.4809999999999963E-3</v>
      </c>
      <c r="AD35" s="98">
        <f t="shared" si="20"/>
        <v>2.4900000000000002</v>
      </c>
      <c r="AF35" s="99">
        <f t="shared" ca="1" si="21"/>
        <v>146</v>
      </c>
      <c r="AG35" s="99">
        <f t="shared" ca="1" si="22"/>
        <v>145</v>
      </c>
      <c r="AH35" s="77">
        <f t="shared" si="23"/>
        <v>2.0283118325021401E-2</v>
      </c>
      <c r="AI35" s="154">
        <f t="shared" si="0"/>
        <v>30</v>
      </c>
      <c r="AJ35" s="101"/>
      <c r="AK35" s="101"/>
      <c r="AL35" s="101"/>
      <c r="AM35" s="101"/>
      <c r="AN35" s="78">
        <f t="shared" si="49"/>
        <v>30</v>
      </c>
      <c r="AO35" s="303">
        <f t="shared" si="50"/>
        <v>2.8489999999999998</v>
      </c>
      <c r="AP35" s="75">
        <f t="shared" si="24"/>
        <v>85.47</v>
      </c>
      <c r="AQ35" s="102">
        <f t="shared" si="25"/>
        <v>85.47</v>
      </c>
      <c r="AR35" s="101">
        <f t="shared" ca="1" si="26"/>
        <v>1.2683386175794795</v>
      </c>
      <c r="AS35" s="101">
        <f t="shared" ca="1" si="51"/>
        <v>-0.75433715963408243</v>
      </c>
      <c r="AT35" s="101">
        <f t="shared" ca="1" si="27"/>
        <v>5.5669393202748552E-3</v>
      </c>
      <c r="AU35" s="103">
        <f t="shared" ca="1" si="52"/>
        <v>38.050158527384383</v>
      </c>
      <c r="AV35" s="103">
        <f t="shared" ca="1" si="53"/>
        <v>-22.630114789022471</v>
      </c>
      <c r="AW35" s="103">
        <f t="shared" ca="1" si="54"/>
        <v>0.16700817960824565</v>
      </c>
      <c r="AY35" s="78">
        <f t="shared" si="28"/>
        <v>30</v>
      </c>
      <c r="AZ35" s="303">
        <f t="shared" si="55"/>
        <v>2.8815</v>
      </c>
      <c r="BA35" s="75">
        <f t="shared" si="29"/>
        <v>85.47</v>
      </c>
      <c r="BB35" s="102">
        <f t="shared" si="30"/>
        <v>86.444999999999993</v>
      </c>
      <c r="BC35" s="101">
        <f t="shared" ca="1" si="31"/>
        <v>0.22001790914858166</v>
      </c>
      <c r="BD35" s="101">
        <f t="shared" ca="1" si="32"/>
        <v>-0.2803323852468908</v>
      </c>
      <c r="BE35" s="101">
        <f t="shared" ca="1" si="33"/>
        <v>6.1190218225346538E-3</v>
      </c>
      <c r="BF35" s="103">
        <f t="shared" ca="1" si="56"/>
        <v>6.6005372744574498</v>
      </c>
      <c r="BG35" s="103">
        <f t="shared" ca="1" si="57"/>
        <v>-8.409971557406724</v>
      </c>
      <c r="BH35" s="103">
        <f t="shared" ca="1" si="58"/>
        <v>0.18357065467603961</v>
      </c>
      <c r="BJ35" s="78">
        <f t="shared" si="34"/>
        <v>30</v>
      </c>
      <c r="BK35" s="303">
        <f t="shared" si="59"/>
        <v>2.8815</v>
      </c>
      <c r="BL35" s="75">
        <f t="shared" si="35"/>
        <v>85.47</v>
      </c>
      <c r="BM35" s="102">
        <f t="shared" si="36"/>
        <v>86.444999999999993</v>
      </c>
      <c r="BN35" s="101">
        <f t="shared" ca="1" si="37"/>
        <v>0.22001790914858166</v>
      </c>
      <c r="BO35" s="101">
        <f t="shared" ca="1" si="38"/>
        <v>-0.2803323852468908</v>
      </c>
      <c r="BP35" s="101">
        <f t="shared" ca="1" si="39"/>
        <v>6.1190218225346538E-3</v>
      </c>
      <c r="BQ35" s="103">
        <f t="shared" ca="1" si="60"/>
        <v>6.6005372744574498</v>
      </c>
      <c r="BR35" s="103">
        <f t="shared" ca="1" si="61"/>
        <v>-8.409971557406724</v>
      </c>
      <c r="BS35" s="103">
        <f t="shared" ca="1" si="62"/>
        <v>0.18357065467603961</v>
      </c>
      <c r="BU35" s="78">
        <f t="shared" si="40"/>
        <v>30</v>
      </c>
      <c r="BV35" s="303">
        <f t="shared" si="63"/>
        <v>2.8815</v>
      </c>
      <c r="BW35" s="75">
        <f t="shared" si="41"/>
        <v>85.47</v>
      </c>
      <c r="BX35" s="102">
        <f t="shared" si="42"/>
        <v>86.444999999999993</v>
      </c>
      <c r="BY35" s="101">
        <f t="shared" ca="1" si="43"/>
        <v>0.21584328311481205</v>
      </c>
      <c r="BZ35" s="101">
        <f t="shared" ca="1" si="44"/>
        <v>-0.27658136176992737</v>
      </c>
      <c r="CA35" s="101">
        <f t="shared" ca="1" si="45"/>
        <v>6.0797634574656367E-3</v>
      </c>
      <c r="CB35" s="103">
        <f t="shared" ca="1" si="64"/>
        <v>6.4752984934443614</v>
      </c>
      <c r="CC35" s="103">
        <f t="shared" ca="1" si="65"/>
        <v>-8.2974408530978216</v>
      </c>
      <c r="CD35" s="103">
        <f t="shared" ca="1" si="66"/>
        <v>0.1823929037239691</v>
      </c>
    </row>
    <row r="36" spans="1:82" x14ac:dyDescent="0.2">
      <c r="A36" s="96">
        <f t="shared" si="46"/>
        <v>37438</v>
      </c>
      <c r="B36" s="97">
        <f t="shared" si="47"/>
        <v>2.8839999999999999</v>
      </c>
      <c r="C36" s="77">
        <f t="shared" si="48"/>
        <v>0.56799999999999995</v>
      </c>
      <c r="D36" s="97">
        <f t="shared" si="1"/>
        <v>0</v>
      </c>
      <c r="E36" s="100">
        <f t="shared" si="2"/>
        <v>1</v>
      </c>
      <c r="F36" s="99">
        <f t="shared" ca="1" si="3"/>
        <v>173</v>
      </c>
      <c r="G36" s="77">
        <f t="shared" si="4"/>
        <v>0.59473999999999994</v>
      </c>
      <c r="H36" s="77">
        <f>IF(B$16=1,_xll.xCalcSkew(A36,I36-AO36,b)/100,0)</f>
        <v>2.6740000000000003E-2</v>
      </c>
      <c r="I36" s="98">
        <f t="shared" si="5"/>
        <v>4</v>
      </c>
      <c r="J36" s="126">
        <f>ROUND(I36-B36,1)</f>
        <v>1.1000000000000001</v>
      </c>
      <c r="K36" s="97">
        <f t="shared" si="6"/>
        <v>4.4999999999999998E-2</v>
      </c>
      <c r="L36" s="100">
        <f t="shared" si="7"/>
        <v>1</v>
      </c>
      <c r="M36" s="99">
        <f t="shared" ca="1" si="8"/>
        <v>174</v>
      </c>
      <c r="N36" s="175">
        <f t="shared" si="9"/>
        <v>0.56199399999999999</v>
      </c>
      <c r="O36" s="77">
        <f>IF(D$16=1,_xll.xCalcSkew($A36,P36-AZ36,b)/100,0)</f>
        <v>-6.0059999999999966E-3</v>
      </c>
      <c r="P36" s="98">
        <f t="shared" si="10"/>
        <v>2.5</v>
      </c>
      <c r="Q36" s="175">
        <f>N36-O36</f>
        <v>0.56799999999999995</v>
      </c>
      <c r="R36" s="97">
        <f t="shared" si="11"/>
        <v>4.4999999999999998E-2</v>
      </c>
      <c r="S36" s="100">
        <f t="shared" si="12"/>
        <v>1</v>
      </c>
      <c r="T36" s="99">
        <f t="shared" ca="1" si="13"/>
        <v>174</v>
      </c>
      <c r="U36" s="175">
        <f t="shared" si="14"/>
        <v>0.56199399999999999</v>
      </c>
      <c r="V36" s="77">
        <f>IF(F$16=1,_xll.xCalcSkew($A36,W36-BK36,b)/100,0)</f>
        <v>-6.0059999999999966E-3</v>
      </c>
      <c r="W36" s="98">
        <f t="shared" si="15"/>
        <v>2.5</v>
      </c>
      <c r="X36" s="99"/>
      <c r="Y36" s="97">
        <f t="shared" si="16"/>
        <v>4.4999999999999998E-2</v>
      </c>
      <c r="Z36" s="100">
        <f t="shared" si="17"/>
        <v>1</v>
      </c>
      <c r="AA36" s="99">
        <f t="shared" ca="1" si="18"/>
        <v>174</v>
      </c>
      <c r="AB36" s="77">
        <f t="shared" si="19"/>
        <v>0.56185399999999996</v>
      </c>
      <c r="AC36" s="77">
        <f>IF(H$16=1,_xll.xCalcSkew($A36,AD36-BV36,b)/100,0)</f>
        <v>-6.1459999999999935E-3</v>
      </c>
      <c r="AD36" s="98">
        <f t="shared" si="20"/>
        <v>2.4900000000000002</v>
      </c>
      <c r="AF36" s="99">
        <f t="shared" ca="1" si="21"/>
        <v>174</v>
      </c>
      <c r="AG36" s="99">
        <f t="shared" ca="1" si="22"/>
        <v>173</v>
      </c>
      <c r="AH36" s="77">
        <f t="shared" si="23"/>
        <v>2.0560063885965998E-2</v>
      </c>
      <c r="AI36" s="154">
        <f t="shared" si="0"/>
        <v>31</v>
      </c>
      <c r="AJ36" s="101"/>
      <c r="AK36" s="101"/>
      <c r="AL36" s="101"/>
      <c r="AM36" s="101"/>
      <c r="AN36" s="78">
        <f t="shared" si="49"/>
        <v>31</v>
      </c>
      <c r="AO36" s="303">
        <f t="shared" si="50"/>
        <v>2.8839999999999999</v>
      </c>
      <c r="AP36" s="75">
        <f t="shared" si="24"/>
        <v>89.403999999999996</v>
      </c>
      <c r="AQ36" s="102">
        <f t="shared" si="25"/>
        <v>89.403999999999996</v>
      </c>
      <c r="AR36" s="101">
        <f t="shared" ca="1" si="26"/>
        <v>1.2690117908670118</v>
      </c>
      <c r="AS36" s="101">
        <f t="shared" ca="1" si="51"/>
        <v>-0.71678717981676188</v>
      </c>
      <c r="AT36" s="101">
        <f t="shared" ca="1" si="27"/>
        <v>6.6073483673044775E-3</v>
      </c>
      <c r="AU36" s="103">
        <f t="shared" ca="1" si="52"/>
        <v>39.339365516877365</v>
      </c>
      <c r="AV36" s="103">
        <f t="shared" ca="1" si="53"/>
        <v>-22.220402574319618</v>
      </c>
      <c r="AW36" s="103">
        <f t="shared" ca="1" si="54"/>
        <v>0.2048277993864388</v>
      </c>
      <c r="AY36" s="78">
        <f t="shared" si="28"/>
        <v>31</v>
      </c>
      <c r="AZ36" s="303">
        <f t="shared" si="55"/>
        <v>2.9289999999999998</v>
      </c>
      <c r="BA36" s="75">
        <f t="shared" si="29"/>
        <v>89.403999999999996</v>
      </c>
      <c r="BB36" s="102">
        <f t="shared" si="30"/>
        <v>90.798999999999992</v>
      </c>
      <c r="BC36" s="101">
        <f t="shared" ca="1" si="31"/>
        <v>0.23456199095127006</v>
      </c>
      <c r="BD36" s="101">
        <f t="shared" ca="1" si="32"/>
        <v>-0.27086712648152372</v>
      </c>
      <c r="BE36" s="101">
        <f t="shared" ca="1" si="33"/>
        <v>6.6719087470150651E-3</v>
      </c>
      <c r="BF36" s="103">
        <f t="shared" ca="1" si="56"/>
        <v>7.2714217194893722</v>
      </c>
      <c r="BG36" s="103">
        <f t="shared" ca="1" si="57"/>
        <v>-8.3968809209272361</v>
      </c>
      <c r="BH36" s="103">
        <f t="shared" ca="1" si="58"/>
        <v>0.20682917115746702</v>
      </c>
      <c r="BJ36" s="78">
        <f t="shared" si="34"/>
        <v>31</v>
      </c>
      <c r="BK36" s="303">
        <f t="shared" si="59"/>
        <v>2.9289999999999998</v>
      </c>
      <c r="BL36" s="75">
        <f t="shared" si="35"/>
        <v>89.403999999999996</v>
      </c>
      <c r="BM36" s="102">
        <f t="shared" si="36"/>
        <v>90.798999999999992</v>
      </c>
      <c r="BN36" s="101">
        <f t="shared" ca="1" si="37"/>
        <v>0.23456199095127006</v>
      </c>
      <c r="BO36" s="101">
        <f t="shared" ca="1" si="38"/>
        <v>-0.27086712648152372</v>
      </c>
      <c r="BP36" s="101">
        <f t="shared" ca="1" si="39"/>
        <v>6.6719087470150651E-3</v>
      </c>
      <c r="BQ36" s="103">
        <f t="shared" ca="1" si="60"/>
        <v>7.2714217194893722</v>
      </c>
      <c r="BR36" s="103">
        <f t="shared" ca="1" si="61"/>
        <v>-8.3968809209272361</v>
      </c>
      <c r="BS36" s="103">
        <f t="shared" ca="1" si="62"/>
        <v>0.20682917115746702</v>
      </c>
      <c r="BU36" s="78">
        <f t="shared" si="40"/>
        <v>31</v>
      </c>
      <c r="BV36" s="303">
        <f t="shared" si="63"/>
        <v>2.9289999999999998</v>
      </c>
      <c r="BW36" s="75">
        <f t="shared" si="41"/>
        <v>89.403999999999996</v>
      </c>
      <c r="BX36" s="102">
        <f t="shared" si="42"/>
        <v>90.798999999999992</v>
      </c>
      <c r="BY36" s="101">
        <f t="shared" ca="1" si="43"/>
        <v>0.23037748515923318</v>
      </c>
      <c r="BZ36" s="101">
        <f t="shared" ca="1" si="44"/>
        <v>-0.26745544011688371</v>
      </c>
      <c r="CA36" s="101">
        <f t="shared" ca="1" si="45"/>
        <v>6.630462872921683E-3</v>
      </c>
      <c r="CB36" s="103">
        <f t="shared" ca="1" si="64"/>
        <v>7.1417020399362281</v>
      </c>
      <c r="CC36" s="103">
        <f t="shared" ca="1" si="65"/>
        <v>-8.2911186436233955</v>
      </c>
      <c r="CD36" s="103">
        <f t="shared" ca="1" si="66"/>
        <v>0.20554434906057217</v>
      </c>
    </row>
    <row r="37" spans="1:82" x14ac:dyDescent="0.2">
      <c r="A37" s="96">
        <f t="shared" si="46"/>
        <v>37469</v>
      </c>
      <c r="B37" s="97">
        <f t="shared" si="47"/>
        <v>2.9209999999999998</v>
      </c>
      <c r="C37" s="77">
        <f t="shared" si="48"/>
        <v>0.56299999999999994</v>
      </c>
      <c r="D37" s="97">
        <f t="shared" si="1"/>
        <v>0</v>
      </c>
      <c r="E37" s="100">
        <f t="shared" si="2"/>
        <v>1</v>
      </c>
      <c r="F37" s="99">
        <f t="shared" ca="1" si="3"/>
        <v>204</v>
      </c>
      <c r="G37" s="77">
        <f t="shared" si="4"/>
        <v>0.58918499999999996</v>
      </c>
      <c r="H37" s="77">
        <f>IF(B$16=1,_xll.xCalcSkew(A37,I37-AO37,b)/100,0)</f>
        <v>2.6185E-2</v>
      </c>
      <c r="I37" s="98">
        <f t="shared" si="5"/>
        <v>4</v>
      </c>
      <c r="K37" s="97">
        <f t="shared" si="6"/>
        <v>0.05</v>
      </c>
      <c r="L37" s="100">
        <f t="shared" si="7"/>
        <v>1</v>
      </c>
      <c r="M37" s="99">
        <f t="shared" ca="1" si="8"/>
        <v>207</v>
      </c>
      <c r="N37" s="175">
        <f t="shared" si="9"/>
        <v>0.55640599999999996</v>
      </c>
      <c r="O37" s="77">
        <f>IF(D$16=1,_xll.xCalcSkew($A37,P37-AZ37,b)/100,0)</f>
        <v>-6.593999999999994E-3</v>
      </c>
      <c r="P37" s="98">
        <f t="shared" si="10"/>
        <v>2.5</v>
      </c>
      <c r="R37" s="97">
        <f t="shared" si="11"/>
        <v>0.05</v>
      </c>
      <c r="S37" s="100">
        <f t="shared" si="12"/>
        <v>1</v>
      </c>
      <c r="T37" s="99">
        <f t="shared" ca="1" si="13"/>
        <v>207</v>
      </c>
      <c r="U37" s="175">
        <f t="shared" si="14"/>
        <v>0.55640599999999996</v>
      </c>
      <c r="V37" s="77">
        <f>IF(F$16=1,_xll.xCalcSkew($A37,W37-BK37,b)/100,0)</f>
        <v>-6.593999999999994E-3</v>
      </c>
      <c r="W37" s="98">
        <f t="shared" si="15"/>
        <v>2.5</v>
      </c>
      <c r="X37" s="99"/>
      <c r="Y37" s="97">
        <f t="shared" si="16"/>
        <v>0.05</v>
      </c>
      <c r="Z37" s="100">
        <f t="shared" si="17"/>
        <v>1</v>
      </c>
      <c r="AA37" s="99">
        <f t="shared" ca="1" si="18"/>
        <v>207</v>
      </c>
      <c r="AB37" s="77">
        <f t="shared" si="19"/>
        <v>0.55626599999999993</v>
      </c>
      <c r="AC37" s="77">
        <f>IF(H$16=1,_xll.xCalcSkew($A37,AD37-BV37,b)/100,0)</f>
        <v>-6.7339999999999909E-3</v>
      </c>
      <c r="AD37" s="98">
        <f t="shared" si="20"/>
        <v>2.4900000000000002</v>
      </c>
      <c r="AF37" s="99">
        <f t="shared" ca="1" si="21"/>
        <v>207</v>
      </c>
      <c r="AG37" s="99">
        <f t="shared" ca="1" si="22"/>
        <v>204</v>
      </c>
      <c r="AH37" s="77">
        <f t="shared" si="23"/>
        <v>2.1094384134566099E-2</v>
      </c>
      <c r="AI37" s="154">
        <f t="shared" si="0"/>
        <v>31</v>
      </c>
      <c r="AJ37" s="101"/>
      <c r="AK37" s="101"/>
      <c r="AL37" s="101"/>
      <c r="AM37" s="101"/>
      <c r="AN37" s="78">
        <f t="shared" si="49"/>
        <v>31</v>
      </c>
      <c r="AO37" s="303">
        <f t="shared" si="50"/>
        <v>2.9209999999999998</v>
      </c>
      <c r="AP37" s="75">
        <f t="shared" si="24"/>
        <v>90.550999999999988</v>
      </c>
      <c r="AQ37" s="102">
        <f t="shared" si="25"/>
        <v>90.550999999999988</v>
      </c>
      <c r="AR37" s="101">
        <f t="shared" ca="1" si="26"/>
        <v>1.2712244602374454</v>
      </c>
      <c r="AS37" s="101">
        <f t="shared" ca="1" si="51"/>
        <v>-0.68108239958783079</v>
      </c>
      <c r="AT37" s="101">
        <f t="shared" ca="1" si="27"/>
        <v>7.6521311026728212E-3</v>
      </c>
      <c r="AU37" s="103">
        <f t="shared" ca="1" si="52"/>
        <v>39.407958267360804</v>
      </c>
      <c r="AV37" s="103">
        <f t="shared" ca="1" si="53"/>
        <v>-21.113554387222756</v>
      </c>
      <c r="AW37" s="103">
        <f t="shared" ca="1" si="54"/>
        <v>0.23721606418285746</v>
      </c>
      <c r="AY37" s="78">
        <f t="shared" si="28"/>
        <v>31</v>
      </c>
      <c r="AZ37" s="303">
        <f t="shared" si="55"/>
        <v>2.9709999999999996</v>
      </c>
      <c r="BA37" s="75">
        <f t="shared" si="29"/>
        <v>90.550999999999988</v>
      </c>
      <c r="BB37" s="102">
        <f t="shared" si="30"/>
        <v>92.100999999999985</v>
      </c>
      <c r="BC37" s="101">
        <f t="shared" ca="1" si="31"/>
        <v>0.25272282863065765</v>
      </c>
      <c r="BD37" s="101">
        <f t="shared" ca="1" si="32"/>
        <v>-0.26397700354845915</v>
      </c>
      <c r="BE37" s="101">
        <f t="shared" ca="1" si="33"/>
        <v>7.2790156115072335E-3</v>
      </c>
      <c r="BF37" s="103">
        <f t="shared" ca="1" si="56"/>
        <v>7.834407687550387</v>
      </c>
      <c r="BG37" s="103">
        <f t="shared" ca="1" si="57"/>
        <v>-8.1832871100022331</v>
      </c>
      <c r="BH37" s="103">
        <f t="shared" ca="1" si="58"/>
        <v>0.22564948395672424</v>
      </c>
      <c r="BJ37" s="78">
        <f t="shared" si="34"/>
        <v>31</v>
      </c>
      <c r="BK37" s="303">
        <f t="shared" si="59"/>
        <v>2.9709999999999996</v>
      </c>
      <c r="BL37" s="75">
        <f t="shared" si="35"/>
        <v>90.550999999999988</v>
      </c>
      <c r="BM37" s="102">
        <f t="shared" si="36"/>
        <v>92.100999999999985</v>
      </c>
      <c r="BN37" s="101">
        <f t="shared" ca="1" si="37"/>
        <v>0.25272282863065765</v>
      </c>
      <c r="BO37" s="101">
        <f t="shared" ca="1" si="38"/>
        <v>-0.26397700354845915</v>
      </c>
      <c r="BP37" s="101">
        <f t="shared" ca="1" si="39"/>
        <v>7.2790156115072335E-3</v>
      </c>
      <c r="BQ37" s="103">
        <f t="shared" ca="1" si="60"/>
        <v>7.834407687550387</v>
      </c>
      <c r="BR37" s="103">
        <f t="shared" ca="1" si="61"/>
        <v>-8.1832871100022331</v>
      </c>
      <c r="BS37" s="103">
        <f t="shared" ca="1" si="62"/>
        <v>0.22564948395672424</v>
      </c>
      <c r="BU37" s="78">
        <f t="shared" si="40"/>
        <v>31</v>
      </c>
      <c r="BV37" s="303">
        <f t="shared" si="63"/>
        <v>2.9709999999999996</v>
      </c>
      <c r="BW37" s="75">
        <f t="shared" si="41"/>
        <v>90.550999999999988</v>
      </c>
      <c r="BX37" s="102">
        <f t="shared" si="42"/>
        <v>92.100999999999985</v>
      </c>
      <c r="BY37" s="101">
        <f t="shared" ca="1" si="43"/>
        <v>0.24849212109179541</v>
      </c>
      <c r="BZ37" s="101">
        <f t="shared" ca="1" si="44"/>
        <v>-0.26086050812424216</v>
      </c>
      <c r="CA37" s="101">
        <f t="shared" ca="1" si="45"/>
        <v>7.2358202908655578E-3</v>
      </c>
      <c r="CB37" s="103">
        <f t="shared" ca="1" si="64"/>
        <v>7.7032557538456583</v>
      </c>
      <c r="CC37" s="103">
        <f t="shared" ca="1" si="65"/>
        <v>-8.0866757518515069</v>
      </c>
      <c r="CD37" s="103">
        <f t="shared" ca="1" si="66"/>
        <v>0.22431042901683229</v>
      </c>
    </row>
    <row r="38" spans="1:82" x14ac:dyDescent="0.2">
      <c r="A38" s="96">
        <f t="shared" si="46"/>
        <v>37500</v>
      </c>
      <c r="B38" s="97">
        <f t="shared" si="47"/>
        <v>2.9209999999999998</v>
      </c>
      <c r="C38" s="77">
        <f t="shared" si="48"/>
        <v>0.56000000000000005</v>
      </c>
      <c r="D38" s="97">
        <f t="shared" si="1"/>
        <v>0</v>
      </c>
      <c r="E38" s="100">
        <f t="shared" si="2"/>
        <v>1</v>
      </c>
      <c r="F38" s="99">
        <f t="shared" ca="1" si="3"/>
        <v>236</v>
      </c>
      <c r="G38" s="77">
        <f t="shared" si="4"/>
        <v>0.58618500000000007</v>
      </c>
      <c r="H38" s="77">
        <f>IF(B$16=1,_xll.xCalcSkew(A38,I38-AO38,b)/100,0)</f>
        <v>2.6185E-2</v>
      </c>
      <c r="I38" s="98">
        <f t="shared" si="5"/>
        <v>4</v>
      </c>
      <c r="K38" s="97">
        <f t="shared" si="6"/>
        <v>0.04</v>
      </c>
      <c r="L38" s="100">
        <f t="shared" si="7"/>
        <v>1</v>
      </c>
      <c r="M38" s="99">
        <f t="shared" ca="1" si="8"/>
        <v>237</v>
      </c>
      <c r="N38" s="175">
        <f t="shared" si="9"/>
        <v>0.55354600000000009</v>
      </c>
      <c r="O38" s="77">
        <f>IF(D$16=1,_xll.xCalcSkew($A38,P38-AZ38,b)/100,0)</f>
        <v>-6.4539999999999979E-3</v>
      </c>
      <c r="P38" s="98">
        <f t="shared" si="10"/>
        <v>2.5</v>
      </c>
      <c r="R38" s="97">
        <f t="shared" si="11"/>
        <v>0.04</v>
      </c>
      <c r="S38" s="100">
        <f t="shared" si="12"/>
        <v>1</v>
      </c>
      <c r="T38" s="99">
        <f t="shared" ca="1" si="13"/>
        <v>237</v>
      </c>
      <c r="U38" s="175">
        <f t="shared" si="14"/>
        <v>0.55354600000000009</v>
      </c>
      <c r="V38" s="77">
        <f>IF(F$16=1,_xll.xCalcSkew($A38,W38-BK38,b)/100,0)</f>
        <v>-6.4539999999999979E-3</v>
      </c>
      <c r="W38" s="98">
        <f t="shared" si="15"/>
        <v>2.5</v>
      </c>
      <c r="X38" s="99"/>
      <c r="Y38" s="97">
        <f t="shared" si="16"/>
        <v>0.04</v>
      </c>
      <c r="Z38" s="100">
        <f t="shared" si="17"/>
        <v>1</v>
      </c>
      <c r="AA38" s="99">
        <f t="shared" ca="1" si="18"/>
        <v>237</v>
      </c>
      <c r="AB38" s="77">
        <f t="shared" si="19"/>
        <v>0.55340600000000006</v>
      </c>
      <c r="AC38" s="77">
        <f>IF(H$16=1,_xll.xCalcSkew($A38,AD38-BV38,b)/100,0)</f>
        <v>-6.593999999999994E-3</v>
      </c>
      <c r="AD38" s="98">
        <f t="shared" si="20"/>
        <v>2.4900000000000002</v>
      </c>
      <c r="AF38" s="99">
        <f t="shared" ca="1" si="21"/>
        <v>237</v>
      </c>
      <c r="AG38" s="99">
        <f t="shared" ca="1" si="22"/>
        <v>236</v>
      </c>
      <c r="AH38" s="77">
        <f t="shared" si="23"/>
        <v>2.1628704479852899E-2</v>
      </c>
      <c r="AI38" s="154">
        <f t="shared" si="0"/>
        <v>30</v>
      </c>
      <c r="AJ38" s="101"/>
      <c r="AK38" s="101"/>
      <c r="AL38" s="101"/>
      <c r="AM38" s="101"/>
      <c r="AN38" s="78">
        <f t="shared" si="49"/>
        <v>30</v>
      </c>
      <c r="AO38" s="303">
        <f t="shared" si="50"/>
        <v>2.9209999999999998</v>
      </c>
      <c r="AP38" s="75">
        <f t="shared" si="24"/>
        <v>87.63</v>
      </c>
      <c r="AQ38" s="102">
        <f t="shared" si="25"/>
        <v>87.63</v>
      </c>
      <c r="AR38" s="101">
        <f t="shared" ca="1" si="26"/>
        <v>1.3003258686658776</v>
      </c>
      <c r="AS38" s="101">
        <f t="shared" ca="1" si="51"/>
        <v>-0.65760631524587632</v>
      </c>
      <c r="AT38" s="101">
        <f t="shared" ca="1" si="27"/>
        <v>8.4470441930253326E-3</v>
      </c>
      <c r="AU38" s="103">
        <f t="shared" ca="1" si="52"/>
        <v>39.009776059976332</v>
      </c>
      <c r="AV38" s="103">
        <f t="shared" ca="1" si="53"/>
        <v>-19.728189457376288</v>
      </c>
      <c r="AW38" s="103">
        <f t="shared" ca="1" si="54"/>
        <v>0.25341132579075998</v>
      </c>
      <c r="AY38" s="78">
        <f t="shared" si="28"/>
        <v>30</v>
      </c>
      <c r="AZ38" s="303">
        <f t="shared" si="55"/>
        <v>2.9609999999999999</v>
      </c>
      <c r="BA38" s="75">
        <f t="shared" si="29"/>
        <v>87.63</v>
      </c>
      <c r="BB38" s="102">
        <f t="shared" si="30"/>
        <v>88.83</v>
      </c>
      <c r="BC38" s="101">
        <f t="shared" ca="1" si="31"/>
        <v>0.28102321257200891</v>
      </c>
      <c r="BD38" s="101">
        <f t="shared" ca="1" si="32"/>
        <v>-0.26962870287618673</v>
      </c>
      <c r="BE38" s="101">
        <f t="shared" ca="1" si="33"/>
        <v>7.8347547457671141E-3</v>
      </c>
      <c r="BF38" s="103">
        <f t="shared" ca="1" si="56"/>
        <v>8.4306963771602668</v>
      </c>
      <c r="BG38" s="103">
        <f t="shared" ca="1" si="57"/>
        <v>-8.0888610862856023</v>
      </c>
      <c r="BH38" s="103">
        <f t="shared" ca="1" si="58"/>
        <v>0.23504264237301342</v>
      </c>
      <c r="BJ38" s="78">
        <f t="shared" si="34"/>
        <v>30</v>
      </c>
      <c r="BK38" s="303">
        <f t="shared" si="59"/>
        <v>2.9609999999999999</v>
      </c>
      <c r="BL38" s="75">
        <f t="shared" si="35"/>
        <v>87.63</v>
      </c>
      <c r="BM38" s="102">
        <f t="shared" si="36"/>
        <v>88.83</v>
      </c>
      <c r="BN38" s="101">
        <f t="shared" ca="1" si="37"/>
        <v>0.28102321257200891</v>
      </c>
      <c r="BO38" s="101">
        <f t="shared" ca="1" si="38"/>
        <v>-0.26962870287618673</v>
      </c>
      <c r="BP38" s="101">
        <f t="shared" ca="1" si="39"/>
        <v>7.8347547457671141E-3</v>
      </c>
      <c r="BQ38" s="103">
        <f t="shared" ca="1" si="60"/>
        <v>8.4306963771602668</v>
      </c>
      <c r="BR38" s="103">
        <f t="shared" ca="1" si="61"/>
        <v>-8.0888610862856023</v>
      </c>
      <c r="BS38" s="103">
        <f t="shared" ca="1" si="62"/>
        <v>0.23504264237301342</v>
      </c>
      <c r="BU38" s="78">
        <f t="shared" si="40"/>
        <v>30</v>
      </c>
      <c r="BV38" s="303">
        <f t="shared" si="63"/>
        <v>2.9609999999999999</v>
      </c>
      <c r="BW38" s="75">
        <f t="shared" si="41"/>
        <v>87.63</v>
      </c>
      <c r="BX38" s="102">
        <f t="shared" si="42"/>
        <v>88.83</v>
      </c>
      <c r="BY38" s="101">
        <f t="shared" ca="1" si="43"/>
        <v>0.2766141058460847</v>
      </c>
      <c r="BZ38" s="101">
        <f t="shared" ca="1" si="44"/>
        <v>-0.2666748899067562</v>
      </c>
      <c r="CA38" s="101">
        <f t="shared" ca="1" si="45"/>
        <v>7.7924292798199346E-3</v>
      </c>
      <c r="CB38" s="103">
        <f t="shared" ca="1" si="64"/>
        <v>8.2984231753825419</v>
      </c>
      <c r="CC38" s="103">
        <f t="shared" ca="1" si="65"/>
        <v>-8.0002466972026856</v>
      </c>
      <c r="CD38" s="103">
        <f t="shared" ca="1" si="66"/>
        <v>0.23377287839459804</v>
      </c>
    </row>
    <row r="39" spans="1:82" x14ac:dyDescent="0.2">
      <c r="A39" s="96">
        <f t="shared" si="46"/>
        <v>37530</v>
      </c>
      <c r="B39" s="97">
        <f t="shared" si="47"/>
        <v>2.9460000000000002</v>
      </c>
      <c r="C39" s="77">
        <f t="shared" si="48"/>
        <v>0.56000000000000005</v>
      </c>
      <c r="D39" s="97">
        <f t="shared" si="1"/>
        <v>0</v>
      </c>
      <c r="E39" s="100">
        <f t="shared" si="2"/>
        <v>1</v>
      </c>
      <c r="F39" s="99">
        <f t="shared" ca="1" si="3"/>
        <v>265</v>
      </c>
      <c r="G39" s="77">
        <f t="shared" si="4"/>
        <v>0.58581000000000005</v>
      </c>
      <c r="H39" s="77">
        <f>IF(B$16=1,_xll.xCalcSkew(A39,I39-AO39,b)/100,0)</f>
        <v>2.5809999999999996E-2</v>
      </c>
      <c r="I39" s="98">
        <f t="shared" si="5"/>
        <v>4</v>
      </c>
      <c r="K39" s="97">
        <f t="shared" si="6"/>
        <v>7.4999999999999997E-3</v>
      </c>
      <c r="L39" s="100">
        <f t="shared" si="7"/>
        <v>1</v>
      </c>
      <c r="M39" s="99">
        <f t="shared" ca="1" si="8"/>
        <v>266</v>
      </c>
      <c r="N39" s="175">
        <f t="shared" si="9"/>
        <v>0.553651</v>
      </c>
      <c r="O39" s="77">
        <f>IF(D$16=1,_xll.xCalcSkew($A39,P39-AZ39,b)/100,0)</f>
        <v>-6.3490000000000005E-3</v>
      </c>
      <c r="P39" s="98">
        <f t="shared" si="10"/>
        <v>2.5</v>
      </c>
      <c r="R39" s="97">
        <f t="shared" si="11"/>
        <v>7.4999999999999997E-3</v>
      </c>
      <c r="S39" s="100">
        <f t="shared" si="12"/>
        <v>1</v>
      </c>
      <c r="T39" s="99">
        <f t="shared" ca="1" si="13"/>
        <v>266</v>
      </c>
      <c r="U39" s="175">
        <f t="shared" si="14"/>
        <v>0.553651</v>
      </c>
      <c r="V39" s="77">
        <f>IF(F$16=1,_xll.xCalcSkew($A39,W39-BK39,b)/100,0)</f>
        <v>-6.3490000000000005E-3</v>
      </c>
      <c r="W39" s="98">
        <f t="shared" si="15"/>
        <v>2.5</v>
      </c>
      <c r="X39" s="99"/>
      <c r="Y39" s="97">
        <f t="shared" si="16"/>
        <v>7.4999999999999997E-3</v>
      </c>
      <c r="Z39" s="100">
        <f t="shared" si="17"/>
        <v>1</v>
      </c>
      <c r="AA39" s="99">
        <f t="shared" ca="1" si="18"/>
        <v>266</v>
      </c>
      <c r="AB39" s="77">
        <f t="shared" si="19"/>
        <v>0.55351100000000009</v>
      </c>
      <c r="AC39" s="77">
        <f>IF(H$16=1,_xll.xCalcSkew($A39,AD39-BV39,b)/100,0)</f>
        <v>-6.4889999999999974E-3</v>
      </c>
      <c r="AD39" s="98">
        <f t="shared" si="20"/>
        <v>2.4900000000000002</v>
      </c>
      <c r="AF39" s="99">
        <f t="shared" ca="1" si="21"/>
        <v>266</v>
      </c>
      <c r="AG39" s="99">
        <f t="shared" ca="1" si="22"/>
        <v>265</v>
      </c>
      <c r="AH39" s="77">
        <f t="shared" si="23"/>
        <v>2.2229563577716799E-2</v>
      </c>
      <c r="AI39" s="154">
        <f t="shared" si="0"/>
        <v>31</v>
      </c>
      <c r="AJ39" s="101"/>
      <c r="AK39" s="101"/>
      <c r="AL39" s="101"/>
      <c r="AM39" s="101"/>
      <c r="AN39" s="78">
        <f t="shared" si="49"/>
        <v>31</v>
      </c>
      <c r="AO39" s="303">
        <f t="shared" si="50"/>
        <v>2.9460000000000002</v>
      </c>
      <c r="AP39" s="75">
        <f t="shared" si="24"/>
        <v>91.326000000000008</v>
      </c>
      <c r="AQ39" s="102">
        <f t="shared" si="25"/>
        <v>91.326000000000008</v>
      </c>
      <c r="AR39" s="101">
        <f t="shared" ca="1" si="26"/>
        <v>1.3110237882360525</v>
      </c>
      <c r="AS39" s="101">
        <f t="shared" ca="1" si="51"/>
        <v>-0.63148187568329628</v>
      </c>
      <c r="AT39" s="101">
        <f t="shared" ca="1" si="27"/>
        <v>9.2493384375684773E-3</v>
      </c>
      <c r="AU39" s="103">
        <f t="shared" ca="1" si="52"/>
        <v>40.64173743531763</v>
      </c>
      <c r="AV39" s="103">
        <f t="shared" ca="1" si="53"/>
        <v>-19.575938146182185</v>
      </c>
      <c r="AW39" s="103">
        <f t="shared" ca="1" si="54"/>
        <v>0.2867294915646228</v>
      </c>
      <c r="AY39" s="78">
        <f t="shared" si="28"/>
        <v>31</v>
      </c>
      <c r="AZ39" s="303">
        <f t="shared" si="55"/>
        <v>2.9535</v>
      </c>
      <c r="BA39" s="75">
        <f t="shared" si="29"/>
        <v>91.326000000000008</v>
      </c>
      <c r="BB39" s="102">
        <f t="shared" si="30"/>
        <v>91.558499999999995</v>
      </c>
      <c r="BC39" s="101">
        <f t="shared" ca="1" si="31"/>
        <v>0.30830617214128053</v>
      </c>
      <c r="BD39" s="101">
        <f t="shared" ca="1" si="32"/>
        <v>-0.27345816419985791</v>
      </c>
      <c r="BE39" s="101">
        <f t="shared" ca="1" si="33"/>
        <v>8.3258055202473091E-3</v>
      </c>
      <c r="BF39" s="103">
        <f t="shared" ca="1" si="56"/>
        <v>9.5574913363796963</v>
      </c>
      <c r="BG39" s="103">
        <f t="shared" ca="1" si="57"/>
        <v>-8.4772030901955944</v>
      </c>
      <c r="BH39" s="103">
        <f t="shared" ca="1" si="58"/>
        <v>0.25809997112766658</v>
      </c>
      <c r="BJ39" s="78">
        <f t="shared" si="34"/>
        <v>31</v>
      </c>
      <c r="BK39" s="303">
        <f t="shared" si="59"/>
        <v>2.9535</v>
      </c>
      <c r="BL39" s="75">
        <f t="shared" si="35"/>
        <v>91.326000000000008</v>
      </c>
      <c r="BM39" s="102">
        <f t="shared" si="36"/>
        <v>91.558499999999995</v>
      </c>
      <c r="BN39" s="101">
        <f t="shared" ca="1" si="37"/>
        <v>0.30830617214128053</v>
      </c>
      <c r="BO39" s="101">
        <f t="shared" ca="1" si="38"/>
        <v>-0.27345816419985791</v>
      </c>
      <c r="BP39" s="101">
        <f t="shared" ca="1" si="39"/>
        <v>8.3258055202473091E-3</v>
      </c>
      <c r="BQ39" s="103">
        <f t="shared" ca="1" si="60"/>
        <v>9.5574913363796963</v>
      </c>
      <c r="BR39" s="103">
        <f t="shared" ca="1" si="61"/>
        <v>-8.4772030901955944</v>
      </c>
      <c r="BS39" s="103">
        <f t="shared" ca="1" si="62"/>
        <v>0.25809997112766658</v>
      </c>
      <c r="BU39" s="78">
        <f t="shared" si="40"/>
        <v>31</v>
      </c>
      <c r="BV39" s="303">
        <f t="shared" si="63"/>
        <v>2.9535</v>
      </c>
      <c r="BW39" s="75">
        <f t="shared" si="41"/>
        <v>91.326000000000008</v>
      </c>
      <c r="BX39" s="102">
        <f t="shared" si="42"/>
        <v>91.558499999999995</v>
      </c>
      <c r="BY39" s="101">
        <f t="shared" ca="1" si="43"/>
        <v>0.30374294670197</v>
      </c>
      <c r="BZ39" s="101">
        <f t="shared" ca="1" si="44"/>
        <v>-0.27065622442843501</v>
      </c>
      <c r="CA39" s="101">
        <f t="shared" ca="1" si="45"/>
        <v>8.2843193924508896E-3</v>
      </c>
      <c r="CB39" s="103">
        <f t="shared" ca="1" si="64"/>
        <v>9.41603134776107</v>
      </c>
      <c r="CC39" s="103">
        <f t="shared" ca="1" si="65"/>
        <v>-8.3903429572814847</v>
      </c>
      <c r="CD39" s="103">
        <f t="shared" ca="1" si="66"/>
        <v>0.25681390116597758</v>
      </c>
    </row>
    <row r="40" spans="1:82" x14ac:dyDescent="0.2">
      <c r="A40" s="96">
        <f t="shared" si="46"/>
        <v>37561</v>
      </c>
      <c r="B40" s="97">
        <f t="shared" si="47"/>
        <v>3.141</v>
      </c>
      <c r="C40" s="77">
        <f t="shared" si="48"/>
        <v>0.55300000000000005</v>
      </c>
      <c r="D40" s="97">
        <f t="shared" si="1"/>
        <v>0</v>
      </c>
      <c r="E40" s="100">
        <f t="shared" si="2"/>
        <v>1</v>
      </c>
      <c r="F40" s="99">
        <f t="shared" ca="1" si="3"/>
        <v>298</v>
      </c>
      <c r="G40" s="77">
        <f t="shared" si="4"/>
        <v>0.5690900000000001</v>
      </c>
      <c r="H40" s="77">
        <f>IF(B$16=1,_xll.xCalcSkew(A40,I40-AO40,b)/100,0)</f>
        <v>1.609E-2</v>
      </c>
      <c r="I40" s="98">
        <f t="shared" si="5"/>
        <v>4</v>
      </c>
      <c r="K40" s="97">
        <f t="shared" si="6"/>
        <v>-2.2499999999999999E-2</v>
      </c>
      <c r="L40" s="100">
        <f t="shared" si="7"/>
        <v>1</v>
      </c>
      <c r="M40" s="99">
        <f t="shared" ca="1" si="8"/>
        <v>299</v>
      </c>
      <c r="N40" s="175">
        <f t="shared" si="9"/>
        <v>0.54528900000000002</v>
      </c>
      <c r="O40" s="77">
        <f>IF(D$16=1,_xll.xCalcSkew($A40,P40-AZ40,b)/100,0)</f>
        <v>-7.711E-3</v>
      </c>
      <c r="P40" s="98">
        <f t="shared" si="10"/>
        <v>2.5</v>
      </c>
      <c r="R40" s="97">
        <f t="shared" si="11"/>
        <v>-2.2499999999999999E-2</v>
      </c>
      <c r="S40" s="100">
        <f t="shared" si="12"/>
        <v>1</v>
      </c>
      <c r="T40" s="99">
        <f t="shared" ca="1" si="13"/>
        <v>299</v>
      </c>
      <c r="U40" s="175">
        <f t="shared" si="14"/>
        <v>0.54528900000000002</v>
      </c>
      <c r="V40" s="77">
        <f>IF(F$16=1,_xll.xCalcSkew($A40,W40-BK40,b)/100,0)</f>
        <v>-7.711E-3</v>
      </c>
      <c r="W40" s="98">
        <f t="shared" si="15"/>
        <v>2.5</v>
      </c>
      <c r="X40" s="99"/>
      <c r="Y40" s="97">
        <f t="shared" si="16"/>
        <v>-2.2499999999999999E-2</v>
      </c>
      <c r="Z40" s="100">
        <f t="shared" si="17"/>
        <v>1</v>
      </c>
      <c r="AA40" s="99">
        <f t="shared" ca="1" si="18"/>
        <v>299</v>
      </c>
      <c r="AB40" s="77">
        <f t="shared" si="19"/>
        <v>0.54522900000000007</v>
      </c>
      <c r="AC40" s="77">
        <f>IF(H$16=1,_xll.xCalcSkew($A40,AD40-BV40,b)/100,0)</f>
        <v>-7.7709999999999993E-3</v>
      </c>
      <c r="AD40" s="98">
        <f t="shared" si="20"/>
        <v>2.4900000000000002</v>
      </c>
      <c r="AF40" s="99">
        <f t="shared" ca="1" si="21"/>
        <v>299</v>
      </c>
      <c r="AG40" s="99">
        <f t="shared" ca="1" si="22"/>
        <v>298</v>
      </c>
      <c r="AH40" s="77">
        <f t="shared" ref="AH40:AH95" si="67">VLOOKUP($A40,STRADDLE,14,FALSE)</f>
        <v>2.2969120664737601E-2</v>
      </c>
      <c r="AI40" s="154">
        <f t="shared" si="0"/>
        <v>30</v>
      </c>
      <c r="AJ40" s="101"/>
      <c r="AK40" s="101"/>
      <c r="AL40" s="101"/>
      <c r="AM40" s="101"/>
      <c r="AN40" s="78">
        <f t="shared" si="49"/>
        <v>30</v>
      </c>
      <c r="AO40" s="303">
        <f t="shared" si="50"/>
        <v>3.141</v>
      </c>
      <c r="AP40" s="75">
        <f t="shared" si="24"/>
        <v>94.23</v>
      </c>
      <c r="AQ40" s="102">
        <f t="shared" si="25"/>
        <v>94.23</v>
      </c>
      <c r="AR40" s="101">
        <f t="shared" ca="1" si="26"/>
        <v>1.2075515168218427</v>
      </c>
      <c r="AS40" s="101">
        <f t="shared" ca="1" si="51"/>
        <v>-0.57349557477152502</v>
      </c>
      <c r="AT40" s="101">
        <f t="shared" ca="1" si="27"/>
        <v>1.0877155655042658E-2</v>
      </c>
      <c r="AU40" s="103">
        <f t="shared" ca="1" si="52"/>
        <v>36.226545504655277</v>
      </c>
      <c r="AV40" s="103">
        <f t="shared" ca="1" si="53"/>
        <v>-17.204867243145749</v>
      </c>
      <c r="AW40" s="103">
        <f t="shared" ca="1" si="54"/>
        <v>0.32631466965127975</v>
      </c>
      <c r="AY40" s="78">
        <f t="shared" si="28"/>
        <v>30</v>
      </c>
      <c r="AZ40" s="303">
        <f t="shared" si="55"/>
        <v>3.1185</v>
      </c>
      <c r="BA40" s="75">
        <f t="shared" si="29"/>
        <v>94.23</v>
      </c>
      <c r="BB40" s="102">
        <f t="shared" si="30"/>
        <v>93.555000000000007</v>
      </c>
      <c r="BC40" s="101">
        <f t="shared" ca="1" si="31"/>
        <v>0.28555258996985744</v>
      </c>
      <c r="BD40" s="101">
        <f t="shared" ca="1" si="32"/>
        <v>-0.2390862817861005</v>
      </c>
      <c r="BE40" s="101">
        <f t="shared" ca="1" si="33"/>
        <v>8.6920435099788751E-3</v>
      </c>
      <c r="BF40" s="103">
        <f t="shared" ca="1" si="56"/>
        <v>8.5665776990957241</v>
      </c>
      <c r="BG40" s="103">
        <f t="shared" ca="1" si="57"/>
        <v>-7.1725884535830149</v>
      </c>
      <c r="BH40" s="103">
        <f t="shared" ca="1" si="58"/>
        <v>0.26076130529936625</v>
      </c>
      <c r="BJ40" s="78">
        <f t="shared" si="34"/>
        <v>30</v>
      </c>
      <c r="BK40" s="303">
        <f t="shared" si="59"/>
        <v>3.1185</v>
      </c>
      <c r="BL40" s="75">
        <f t="shared" si="35"/>
        <v>94.23</v>
      </c>
      <c r="BM40" s="102">
        <f t="shared" si="36"/>
        <v>93.555000000000007</v>
      </c>
      <c r="BN40" s="101">
        <f t="shared" ca="1" si="37"/>
        <v>0.28555258996985744</v>
      </c>
      <c r="BO40" s="101">
        <f t="shared" ca="1" si="38"/>
        <v>-0.2390862817861005</v>
      </c>
      <c r="BP40" s="101">
        <f t="shared" ca="1" si="39"/>
        <v>8.6920435099788751E-3</v>
      </c>
      <c r="BQ40" s="103">
        <f t="shared" ca="1" si="60"/>
        <v>8.5665776990957241</v>
      </c>
      <c r="BR40" s="103">
        <f t="shared" ca="1" si="61"/>
        <v>-7.1725884535830149</v>
      </c>
      <c r="BS40" s="103">
        <f t="shared" ca="1" si="62"/>
        <v>0.26076130529936625</v>
      </c>
      <c r="BU40" s="78">
        <f t="shared" si="40"/>
        <v>30</v>
      </c>
      <c r="BV40" s="303">
        <f t="shared" si="63"/>
        <v>3.1185</v>
      </c>
      <c r="BW40" s="75">
        <f t="shared" si="41"/>
        <v>94.23</v>
      </c>
      <c r="BX40" s="102">
        <f t="shared" si="42"/>
        <v>93.555000000000007</v>
      </c>
      <c r="BY40" s="101">
        <f t="shared" ca="1" si="43"/>
        <v>0.28139180062957458</v>
      </c>
      <c r="BZ40" s="101">
        <f t="shared" ca="1" si="44"/>
        <v>-0.23658847443974809</v>
      </c>
      <c r="CA40" s="101">
        <f t="shared" ca="1" si="45"/>
        <v>8.6432983817115172E-3</v>
      </c>
      <c r="CB40" s="103">
        <f t="shared" ca="1" si="64"/>
        <v>8.441754018887238</v>
      </c>
      <c r="CC40" s="103">
        <f t="shared" ca="1" si="65"/>
        <v>-7.0976542331924426</v>
      </c>
      <c r="CD40" s="103">
        <f t="shared" ca="1" si="66"/>
        <v>0.25929895145134552</v>
      </c>
    </row>
    <row r="41" spans="1:82" x14ac:dyDescent="0.2">
      <c r="A41" s="96">
        <f t="shared" si="46"/>
        <v>37591</v>
      </c>
      <c r="B41" s="97">
        <f t="shared" si="47"/>
        <v>3.331</v>
      </c>
      <c r="C41" s="77">
        <f t="shared" si="48"/>
        <v>0.54800000000000004</v>
      </c>
      <c r="D41" s="97">
        <f t="shared" si="1"/>
        <v>0</v>
      </c>
      <c r="E41" s="100">
        <f t="shared" si="2"/>
        <v>1</v>
      </c>
      <c r="F41" s="99">
        <f t="shared" ca="1" si="3"/>
        <v>326</v>
      </c>
      <c r="G41" s="77">
        <f t="shared" si="4"/>
        <v>0.56219000000000008</v>
      </c>
      <c r="H41" s="77">
        <f>IF(B$16=1,_xll.xCalcSkew(A41,I41-AO41,b)/100,0)</f>
        <v>1.4190000000000001E-2</v>
      </c>
      <c r="I41" s="98">
        <f t="shared" si="5"/>
        <v>4</v>
      </c>
      <c r="K41" s="97">
        <f t="shared" si="6"/>
        <v>-4.4999999999999998E-2</v>
      </c>
      <c r="L41" s="100">
        <f t="shared" si="7"/>
        <v>1</v>
      </c>
      <c r="M41" s="99">
        <f t="shared" ca="1" si="8"/>
        <v>327</v>
      </c>
      <c r="N41" s="175">
        <f t="shared" si="9"/>
        <v>0.5392840000000001</v>
      </c>
      <c r="O41" s="77">
        <f>IF(D$16=1,_xll.xCalcSkew($A41,P41-AZ41,b)/100,0)</f>
        <v>-8.7159999999999998E-3</v>
      </c>
      <c r="P41" s="98">
        <f t="shared" si="10"/>
        <v>2.5</v>
      </c>
      <c r="R41" s="97">
        <f t="shared" si="11"/>
        <v>-4.4999999999999998E-2</v>
      </c>
      <c r="S41" s="100">
        <f t="shared" si="12"/>
        <v>1</v>
      </c>
      <c r="T41" s="99">
        <f t="shared" ca="1" si="13"/>
        <v>327</v>
      </c>
      <c r="U41" s="175">
        <f t="shared" si="14"/>
        <v>0.5392840000000001</v>
      </c>
      <c r="V41" s="77">
        <f>IF(F$16=1,_xll.xCalcSkew($A41,W41-BK41,b)/100,0)</f>
        <v>-8.7159999999999998E-3</v>
      </c>
      <c r="W41" s="98">
        <f t="shared" si="15"/>
        <v>2.5</v>
      </c>
      <c r="X41" s="99"/>
      <c r="Y41" s="97">
        <f t="shared" si="16"/>
        <v>-4.4999999999999998E-2</v>
      </c>
      <c r="Z41" s="100">
        <f t="shared" si="17"/>
        <v>1</v>
      </c>
      <c r="AA41" s="99">
        <f t="shared" ca="1" si="18"/>
        <v>327</v>
      </c>
      <c r="AB41" s="77">
        <f t="shared" si="19"/>
        <v>0.53922400000000004</v>
      </c>
      <c r="AC41" s="77">
        <f>IF(H$16=1,_xll.xCalcSkew($A41,AD41-BV41,b)/100,0)</f>
        <v>-8.7759999999999991E-3</v>
      </c>
      <c r="AD41" s="98">
        <f t="shared" si="20"/>
        <v>2.4900000000000002</v>
      </c>
      <c r="AF41" s="99">
        <f t="shared" ca="1" si="21"/>
        <v>327</v>
      </c>
      <c r="AG41" s="99">
        <f t="shared" ca="1" si="22"/>
        <v>326</v>
      </c>
      <c r="AH41" s="77">
        <f t="shared" si="67"/>
        <v>2.3684821247730501E-2</v>
      </c>
      <c r="AI41" s="154">
        <f t="shared" si="0"/>
        <v>31</v>
      </c>
      <c r="AJ41" s="101"/>
      <c r="AK41" s="101"/>
      <c r="AL41" s="101"/>
      <c r="AM41" s="101"/>
      <c r="AN41" s="78">
        <f t="shared" si="49"/>
        <v>31</v>
      </c>
      <c r="AO41" s="303">
        <f t="shared" si="50"/>
        <v>3.331</v>
      </c>
      <c r="AP41" s="75">
        <f t="shared" si="24"/>
        <v>103.261</v>
      </c>
      <c r="AQ41" s="102">
        <f t="shared" si="25"/>
        <v>103.261</v>
      </c>
      <c r="AR41" s="101">
        <f t="shared" ca="1" si="26"/>
        <v>1.122318792168836</v>
      </c>
      <c r="AS41" s="101">
        <f t="shared" ca="1" si="51"/>
        <v>-0.52029030982314184</v>
      </c>
      <c r="AT41" s="101">
        <f t="shared" ca="1" si="27"/>
        <v>1.2262743808552301E-2</v>
      </c>
      <c r="AU41" s="103">
        <f t="shared" ca="1" si="52"/>
        <v>34.791882557233919</v>
      </c>
      <c r="AV41" s="103">
        <f t="shared" ca="1" si="53"/>
        <v>-16.128999604517396</v>
      </c>
      <c r="AW41" s="103">
        <f t="shared" ca="1" si="54"/>
        <v>0.38014505806512133</v>
      </c>
      <c r="AY41" s="78">
        <f t="shared" si="28"/>
        <v>31</v>
      </c>
      <c r="AZ41" s="303">
        <f t="shared" si="55"/>
        <v>3.286</v>
      </c>
      <c r="BA41" s="75">
        <f t="shared" si="29"/>
        <v>103.261</v>
      </c>
      <c r="BB41" s="102">
        <f t="shared" si="30"/>
        <v>101.866</v>
      </c>
      <c r="BC41" s="101">
        <f t="shared" ca="1" si="31"/>
        <v>0.26340722679106665</v>
      </c>
      <c r="BD41" s="101">
        <f t="shared" ca="1" si="32"/>
        <v>-0.2100272922647107</v>
      </c>
      <c r="BE41" s="101">
        <f t="shared" ca="1" si="33"/>
        <v>8.9035952448353051E-3</v>
      </c>
      <c r="BF41" s="103">
        <f t="shared" ca="1" si="56"/>
        <v>8.1656240305230661</v>
      </c>
      <c r="BG41" s="103">
        <f t="shared" ca="1" si="57"/>
        <v>-6.5108460602060321</v>
      </c>
      <c r="BH41" s="103">
        <f t="shared" ca="1" si="58"/>
        <v>0.27601145258989446</v>
      </c>
      <c r="BJ41" s="78">
        <f t="shared" si="34"/>
        <v>31</v>
      </c>
      <c r="BK41" s="303">
        <f t="shared" si="59"/>
        <v>3.286</v>
      </c>
      <c r="BL41" s="75">
        <f t="shared" si="35"/>
        <v>103.261</v>
      </c>
      <c r="BM41" s="102">
        <f t="shared" si="36"/>
        <v>101.866</v>
      </c>
      <c r="BN41" s="101">
        <f t="shared" ca="1" si="37"/>
        <v>0.26340722679106665</v>
      </c>
      <c r="BO41" s="101">
        <f t="shared" ca="1" si="38"/>
        <v>-0.2100272922647107</v>
      </c>
      <c r="BP41" s="101">
        <f t="shared" ca="1" si="39"/>
        <v>8.9035952448353051E-3</v>
      </c>
      <c r="BQ41" s="103">
        <f t="shared" ca="1" si="60"/>
        <v>8.1656240305230661</v>
      </c>
      <c r="BR41" s="103">
        <f t="shared" ca="1" si="61"/>
        <v>-6.5108460602060321</v>
      </c>
      <c r="BS41" s="103">
        <f t="shared" ca="1" si="62"/>
        <v>0.27601145258989446</v>
      </c>
      <c r="BU41" s="78">
        <f t="shared" si="40"/>
        <v>31</v>
      </c>
      <c r="BV41" s="303">
        <f t="shared" si="63"/>
        <v>3.286</v>
      </c>
      <c r="BW41" s="75">
        <f t="shared" si="41"/>
        <v>103.261</v>
      </c>
      <c r="BX41" s="102">
        <f t="shared" si="42"/>
        <v>101.866</v>
      </c>
      <c r="BY41" s="101">
        <f t="shared" ca="1" si="43"/>
        <v>0.25955473741134161</v>
      </c>
      <c r="BZ41" s="101">
        <f t="shared" ca="1" si="44"/>
        <v>-0.20778187140693929</v>
      </c>
      <c r="CA41" s="101">
        <f t="shared" ca="1" si="45"/>
        <v>8.8486746416411854E-3</v>
      </c>
      <c r="CB41" s="103">
        <f t="shared" ca="1" si="64"/>
        <v>8.0461968597515892</v>
      </c>
      <c r="CC41" s="103">
        <f t="shared" ca="1" si="65"/>
        <v>-6.4412380136151182</v>
      </c>
      <c r="CD41" s="103">
        <f t="shared" ca="1" si="66"/>
        <v>0.27430891389087675</v>
      </c>
    </row>
    <row r="42" spans="1:82" x14ac:dyDescent="0.2">
      <c r="A42" s="96">
        <f t="shared" si="46"/>
        <v>37622</v>
      </c>
      <c r="B42" s="97">
        <f t="shared" si="47"/>
        <v>3.4359999999999999</v>
      </c>
      <c r="C42" s="77">
        <f t="shared" si="48"/>
        <v>0.54300000000000004</v>
      </c>
      <c r="D42" s="97">
        <f t="shared" si="1"/>
        <v>0</v>
      </c>
      <c r="E42" s="100">
        <f t="shared" si="2"/>
        <v>1</v>
      </c>
      <c r="F42" s="99">
        <f t="shared" ca="1" si="3"/>
        <v>357</v>
      </c>
      <c r="G42" s="77">
        <f t="shared" si="4"/>
        <v>0.55614000000000008</v>
      </c>
      <c r="H42" s="77">
        <f>IF(B$16=1,_xll.xCalcSkew(A42,I42-AO42,b)/100,0)</f>
        <v>1.3140000000000006E-2</v>
      </c>
      <c r="I42" s="98">
        <f t="shared" si="5"/>
        <v>4</v>
      </c>
      <c r="K42" s="97">
        <f t="shared" si="6"/>
        <v>-0.05</v>
      </c>
      <c r="L42" s="100">
        <f t="shared" si="7"/>
        <v>1</v>
      </c>
      <c r="M42" s="99">
        <f t="shared" ca="1" si="8"/>
        <v>358</v>
      </c>
      <c r="N42" s="175">
        <f t="shared" si="9"/>
        <v>0.53368400000000005</v>
      </c>
      <c r="O42" s="77">
        <f>IF(D$16=1,_xll.xCalcSkew($A42,P42-AZ42,b)/100,0)</f>
        <v>-9.3159999999999979E-3</v>
      </c>
      <c r="P42" s="98">
        <f t="shared" si="10"/>
        <v>2.5</v>
      </c>
      <c r="R42" s="97">
        <f t="shared" si="11"/>
        <v>-0.05</v>
      </c>
      <c r="S42" s="100">
        <f t="shared" si="12"/>
        <v>1</v>
      </c>
      <c r="T42" s="99">
        <f t="shared" ca="1" si="13"/>
        <v>358</v>
      </c>
      <c r="U42" s="175">
        <f t="shared" si="14"/>
        <v>0.53368400000000005</v>
      </c>
      <c r="V42" s="77">
        <f>IF(F$16=1,_xll.xCalcSkew($A42,W42-BK42,b)/100,0)</f>
        <v>-9.3159999999999979E-3</v>
      </c>
      <c r="W42" s="98">
        <f t="shared" si="15"/>
        <v>2.5</v>
      </c>
      <c r="X42" s="99"/>
      <c r="Y42" s="97">
        <f t="shared" si="16"/>
        <v>-0.05</v>
      </c>
      <c r="Z42" s="100">
        <f t="shared" si="17"/>
        <v>1</v>
      </c>
      <c r="AA42" s="99">
        <f t="shared" ca="1" si="18"/>
        <v>358</v>
      </c>
      <c r="AB42" s="77">
        <f t="shared" si="19"/>
        <v>0.53362399999999999</v>
      </c>
      <c r="AC42" s="77">
        <f>IF(H$16=1,_xll.xCalcSkew($A42,AD42-BV42,b)/100,0)</f>
        <v>-9.3759999999999972E-3</v>
      </c>
      <c r="AD42" s="98">
        <f t="shared" si="20"/>
        <v>2.4900000000000002</v>
      </c>
      <c r="AF42" s="99">
        <f t="shared" ca="1" si="21"/>
        <v>358</v>
      </c>
      <c r="AG42" s="99">
        <f t="shared" ca="1" si="22"/>
        <v>357</v>
      </c>
      <c r="AH42" s="77">
        <f t="shared" si="67"/>
        <v>2.4485717541272E-2</v>
      </c>
      <c r="AI42" s="154">
        <f t="shared" si="0"/>
        <v>31</v>
      </c>
      <c r="AJ42" s="101"/>
      <c r="AK42" s="101"/>
      <c r="AL42" s="101"/>
      <c r="AM42" s="101"/>
      <c r="AN42" s="78">
        <f t="shared" si="49"/>
        <v>31</v>
      </c>
      <c r="AO42" s="303">
        <f t="shared" si="50"/>
        <v>3.4359999999999995</v>
      </c>
      <c r="AP42" s="75">
        <f t="shared" si="24"/>
        <v>106.51599999999999</v>
      </c>
      <c r="AQ42" s="102">
        <f t="shared" si="25"/>
        <v>106.51599999999999</v>
      </c>
      <c r="AR42" s="101">
        <f t="shared" ca="1" si="26"/>
        <v>1.0909383514005058</v>
      </c>
      <c r="AS42" s="101">
        <f t="shared" ca="1" si="51"/>
        <v>-0.48868591315492715</v>
      </c>
      <c r="AT42" s="101">
        <f t="shared" ca="1" si="27"/>
        <v>1.3235762669855378E-2</v>
      </c>
      <c r="AU42" s="103">
        <f t="shared" ca="1" si="52"/>
        <v>33.819088893415682</v>
      </c>
      <c r="AV42" s="103">
        <f t="shared" ca="1" si="53"/>
        <v>-15.149263307802741</v>
      </c>
      <c r="AW42" s="103">
        <f t="shared" ca="1" si="54"/>
        <v>0.41030864276551671</v>
      </c>
      <c r="AY42" s="78">
        <f t="shared" si="28"/>
        <v>31</v>
      </c>
      <c r="AZ42" s="303">
        <f t="shared" si="55"/>
        <v>3.3859999999999997</v>
      </c>
      <c r="BA42" s="75">
        <f t="shared" si="29"/>
        <v>106.51599999999999</v>
      </c>
      <c r="BB42" s="102">
        <f t="shared" si="30"/>
        <v>104.96599999999999</v>
      </c>
      <c r="BC42" s="101">
        <f t="shared" ca="1" si="31"/>
        <v>0.25927700483826299</v>
      </c>
      <c r="BD42" s="101">
        <f t="shared" ca="1" si="32"/>
        <v>-0.19618408643849566</v>
      </c>
      <c r="BE42" s="101">
        <f t="shared" ca="1" si="33"/>
        <v>9.2134284885609929E-3</v>
      </c>
      <c r="BF42" s="103">
        <f t="shared" ca="1" si="56"/>
        <v>8.0375871499861535</v>
      </c>
      <c r="BG42" s="103">
        <f t="shared" ca="1" si="57"/>
        <v>-6.0817066795933652</v>
      </c>
      <c r="BH42" s="103">
        <f t="shared" ca="1" si="58"/>
        <v>0.28561628314539078</v>
      </c>
      <c r="BJ42" s="78">
        <f t="shared" si="34"/>
        <v>31</v>
      </c>
      <c r="BK42" s="303">
        <f t="shared" si="59"/>
        <v>3.3859999999999997</v>
      </c>
      <c r="BL42" s="75">
        <f t="shared" si="35"/>
        <v>106.51599999999999</v>
      </c>
      <c r="BM42" s="102">
        <f t="shared" si="36"/>
        <v>104.96599999999999</v>
      </c>
      <c r="BN42" s="101">
        <f t="shared" ca="1" si="37"/>
        <v>0.25927700483826299</v>
      </c>
      <c r="BO42" s="101">
        <f t="shared" ca="1" si="38"/>
        <v>-0.19618408643849566</v>
      </c>
      <c r="BP42" s="101">
        <f t="shared" ca="1" si="39"/>
        <v>9.2134284885609929E-3</v>
      </c>
      <c r="BQ42" s="103">
        <f t="shared" ca="1" si="60"/>
        <v>8.0375871499861535</v>
      </c>
      <c r="BR42" s="103">
        <f t="shared" ca="1" si="61"/>
        <v>-6.0817066795933652</v>
      </c>
      <c r="BS42" s="103">
        <f t="shared" ca="1" si="62"/>
        <v>0.28561628314539078</v>
      </c>
      <c r="BU42" s="78">
        <f t="shared" si="40"/>
        <v>31</v>
      </c>
      <c r="BV42" s="303">
        <f t="shared" si="63"/>
        <v>3.3859999999999997</v>
      </c>
      <c r="BW42" s="75">
        <f t="shared" si="41"/>
        <v>106.51599999999999</v>
      </c>
      <c r="BX42" s="102">
        <f t="shared" si="42"/>
        <v>104.96599999999999</v>
      </c>
      <c r="BY42" s="101">
        <f t="shared" ca="1" si="43"/>
        <v>0.25554202957708938</v>
      </c>
      <c r="BZ42" s="101">
        <f t="shared" ca="1" si="44"/>
        <v>-0.19410243778180078</v>
      </c>
      <c r="CA42" s="101">
        <f t="shared" ca="1" si="45"/>
        <v>9.1552613052559018E-3</v>
      </c>
      <c r="CB42" s="103">
        <f t="shared" ca="1" si="64"/>
        <v>7.9218029168897708</v>
      </c>
      <c r="CC42" s="103">
        <f t="shared" ca="1" si="65"/>
        <v>-6.0171755712358239</v>
      </c>
      <c r="CD42" s="103">
        <f t="shared" ca="1" si="66"/>
        <v>0.28381310046293295</v>
      </c>
    </row>
    <row r="43" spans="1:82" x14ac:dyDescent="0.2">
      <c r="A43" s="96">
        <f t="shared" si="46"/>
        <v>37653</v>
      </c>
      <c r="B43" s="97">
        <f t="shared" si="47"/>
        <v>3.3660000000000001</v>
      </c>
      <c r="C43" s="77">
        <f t="shared" si="48"/>
        <v>0.53300000000000003</v>
      </c>
      <c r="D43" s="97">
        <f t="shared" si="1"/>
        <v>0</v>
      </c>
      <c r="E43" s="100">
        <f t="shared" si="2"/>
        <v>1</v>
      </c>
      <c r="F43" s="99">
        <f t="shared" ca="1" si="3"/>
        <v>390</v>
      </c>
      <c r="G43" s="77">
        <f t="shared" si="4"/>
        <v>0.54683999999999999</v>
      </c>
      <c r="H43" s="77">
        <f>IF(B$16=1,_xll.xCalcSkew(A43,I43-AO43,b)/100,0)</f>
        <v>1.3839999999999998E-2</v>
      </c>
      <c r="I43" s="98">
        <f t="shared" si="5"/>
        <v>4</v>
      </c>
      <c r="K43" s="97">
        <f t="shared" si="6"/>
        <v>-3.5000000000000003E-2</v>
      </c>
      <c r="L43" s="100">
        <f t="shared" si="7"/>
        <v>1</v>
      </c>
      <c r="M43" s="99">
        <f t="shared" ca="1" si="8"/>
        <v>391</v>
      </c>
      <c r="N43" s="175">
        <f t="shared" si="9"/>
        <v>0.52401399999999998</v>
      </c>
      <c r="O43" s="77">
        <f>IF(D$16=1,_xll.xCalcSkew($A43,P43-AZ43,b)/100,0)</f>
        <v>-8.9859999999999992E-3</v>
      </c>
      <c r="P43" s="98">
        <f t="shared" si="10"/>
        <v>2.5</v>
      </c>
      <c r="R43" s="97">
        <f t="shared" si="11"/>
        <v>-3.5000000000000003E-2</v>
      </c>
      <c r="S43" s="100">
        <f t="shared" si="12"/>
        <v>1</v>
      </c>
      <c r="T43" s="99">
        <f t="shared" ca="1" si="13"/>
        <v>391</v>
      </c>
      <c r="U43" s="175">
        <f t="shared" si="14"/>
        <v>0.52401399999999998</v>
      </c>
      <c r="V43" s="77">
        <f>IF(F$16=1,_xll.xCalcSkew($A43,W43-BK43,b)/100,0)</f>
        <v>-8.9859999999999992E-3</v>
      </c>
      <c r="W43" s="98">
        <f t="shared" si="15"/>
        <v>2.5</v>
      </c>
      <c r="X43" s="99"/>
      <c r="Y43" s="97">
        <f t="shared" si="16"/>
        <v>-3.5000000000000003E-2</v>
      </c>
      <c r="Z43" s="100">
        <f t="shared" si="17"/>
        <v>1</v>
      </c>
      <c r="AA43" s="99">
        <f t="shared" ca="1" si="18"/>
        <v>391</v>
      </c>
      <c r="AB43" s="77">
        <f t="shared" si="19"/>
        <v>0.52395400000000003</v>
      </c>
      <c r="AC43" s="77">
        <f>IF(H$16=1,_xll.xCalcSkew($A43,AD43-BV43,b)/100,0)</f>
        <v>-9.0459999999999985E-3</v>
      </c>
      <c r="AD43" s="98">
        <f t="shared" si="20"/>
        <v>2.4900000000000002</v>
      </c>
      <c r="AF43" s="99">
        <f t="shared" ca="1" si="21"/>
        <v>391</v>
      </c>
      <c r="AG43" s="99">
        <f t="shared" ca="1" si="22"/>
        <v>390</v>
      </c>
      <c r="AH43" s="77">
        <f t="shared" si="67"/>
        <v>2.53610969536586E-2</v>
      </c>
      <c r="AI43" s="154">
        <f t="shared" si="0"/>
        <v>28</v>
      </c>
      <c r="AJ43" s="101"/>
      <c r="AK43" s="101"/>
      <c r="AL43" s="101"/>
      <c r="AM43" s="101"/>
      <c r="AN43" s="78">
        <f t="shared" si="49"/>
        <v>28</v>
      </c>
      <c r="AO43" s="303">
        <f t="shared" si="50"/>
        <v>3.3660000000000001</v>
      </c>
      <c r="AP43" s="75">
        <f t="shared" si="24"/>
        <v>94.248000000000005</v>
      </c>
      <c r="AQ43" s="102">
        <f t="shared" si="25"/>
        <v>94.248000000000005</v>
      </c>
      <c r="AR43" s="101">
        <f t="shared" ca="1" si="26"/>
        <v>1.14203146562828</v>
      </c>
      <c r="AS43" s="101">
        <f t="shared" ca="1" si="51"/>
        <v>-0.49543370845076401</v>
      </c>
      <c r="AT43" s="101">
        <f t="shared" ca="1" si="27"/>
        <v>1.3507572398290479E-2</v>
      </c>
      <c r="AU43" s="103">
        <f t="shared" ca="1" si="52"/>
        <v>31.976881037591838</v>
      </c>
      <c r="AV43" s="103">
        <f t="shared" ca="1" si="53"/>
        <v>-13.872143836621392</v>
      </c>
      <c r="AW43" s="103">
        <f t="shared" ca="1" si="54"/>
        <v>0.37821202715213342</v>
      </c>
      <c r="AY43" s="78">
        <f t="shared" si="28"/>
        <v>28</v>
      </c>
      <c r="AZ43" s="303">
        <f t="shared" si="55"/>
        <v>3.331</v>
      </c>
      <c r="BA43" s="75">
        <f t="shared" si="29"/>
        <v>94.248000000000005</v>
      </c>
      <c r="BB43" s="102">
        <f t="shared" si="30"/>
        <v>93.268000000000001</v>
      </c>
      <c r="BC43" s="101">
        <f t="shared" ca="1" si="31"/>
        <v>0.28238647994539645</v>
      </c>
      <c r="BD43" s="101">
        <f t="shared" ca="1" si="32"/>
        <v>-0.20608842989869983</v>
      </c>
      <c r="BE43" s="101">
        <f t="shared" ca="1" si="33"/>
        <v>9.7359039201807551E-3</v>
      </c>
      <c r="BF43" s="103">
        <f t="shared" ca="1" si="56"/>
        <v>7.9068214384711002</v>
      </c>
      <c r="BG43" s="103">
        <f t="shared" ca="1" si="57"/>
        <v>-5.7704760371635953</v>
      </c>
      <c r="BH43" s="103">
        <f t="shared" ca="1" si="58"/>
        <v>0.27260530976506114</v>
      </c>
      <c r="BJ43" s="78">
        <f t="shared" si="34"/>
        <v>28</v>
      </c>
      <c r="BK43" s="303">
        <f t="shared" si="59"/>
        <v>3.331</v>
      </c>
      <c r="BL43" s="75">
        <f t="shared" si="35"/>
        <v>94.248000000000005</v>
      </c>
      <c r="BM43" s="102">
        <f t="shared" si="36"/>
        <v>93.268000000000001</v>
      </c>
      <c r="BN43" s="101">
        <f t="shared" ca="1" si="37"/>
        <v>0.28238647994539645</v>
      </c>
      <c r="BO43" s="101">
        <f t="shared" ca="1" si="38"/>
        <v>-0.20608842989869983</v>
      </c>
      <c r="BP43" s="101">
        <f t="shared" ca="1" si="39"/>
        <v>9.7359039201807551E-3</v>
      </c>
      <c r="BQ43" s="103">
        <f t="shared" ca="1" si="60"/>
        <v>7.9068214384711002</v>
      </c>
      <c r="BR43" s="103">
        <f t="shared" ca="1" si="61"/>
        <v>-5.7704760371635953</v>
      </c>
      <c r="BS43" s="103">
        <f t="shared" ca="1" si="62"/>
        <v>0.27260530976506114</v>
      </c>
      <c r="BU43" s="78">
        <f t="shared" si="40"/>
        <v>28</v>
      </c>
      <c r="BV43" s="303">
        <f t="shared" si="63"/>
        <v>3.331</v>
      </c>
      <c r="BW43" s="75">
        <f t="shared" si="41"/>
        <v>94.248000000000005</v>
      </c>
      <c r="BX43" s="102">
        <f t="shared" si="42"/>
        <v>93.268000000000001</v>
      </c>
      <c r="BY43" s="101">
        <f t="shared" ca="1" si="43"/>
        <v>0.27846691330233442</v>
      </c>
      <c r="BZ43" s="101">
        <f t="shared" ca="1" si="44"/>
        <v>-0.20400315954566367</v>
      </c>
      <c r="CA43" s="101">
        <f t="shared" ca="1" si="45"/>
        <v>9.6787163440099633E-3</v>
      </c>
      <c r="CB43" s="103">
        <f t="shared" ca="1" si="64"/>
        <v>7.7970735724653633</v>
      </c>
      <c r="CC43" s="103">
        <f t="shared" ca="1" si="65"/>
        <v>-5.7120884672785825</v>
      </c>
      <c r="CD43" s="103">
        <f t="shared" ca="1" si="66"/>
        <v>0.27100405763227897</v>
      </c>
    </row>
    <row r="44" spans="1:82" x14ac:dyDescent="0.2">
      <c r="A44" s="96">
        <f t="shared" si="46"/>
        <v>37681</v>
      </c>
      <c r="B44" s="97">
        <f t="shared" si="47"/>
        <v>3.2610000000000001</v>
      </c>
      <c r="C44" s="77">
        <f t="shared" si="48"/>
        <v>0.503</v>
      </c>
      <c r="D44" s="97">
        <f t="shared" si="1"/>
        <v>0</v>
      </c>
      <c r="E44" s="100">
        <f t="shared" si="2"/>
        <v>1</v>
      </c>
      <c r="F44" s="99">
        <f t="shared" ca="1" si="3"/>
        <v>418</v>
      </c>
      <c r="G44" s="77">
        <f t="shared" si="4"/>
        <v>0.51788999999999996</v>
      </c>
      <c r="H44" s="77">
        <f>IF(B$16=1,_xll.xCalcSkew(A44,I44-AO44,b)/100,0)</f>
        <v>1.4889999999999999E-2</v>
      </c>
      <c r="I44" s="98">
        <f t="shared" si="5"/>
        <v>4</v>
      </c>
      <c r="K44" s="97">
        <f t="shared" si="6"/>
        <v>-2.2499999999999999E-2</v>
      </c>
      <c r="L44" s="100">
        <f t="shared" si="7"/>
        <v>1</v>
      </c>
      <c r="M44" s="99">
        <f t="shared" ca="1" si="8"/>
        <v>419</v>
      </c>
      <c r="N44" s="175">
        <f t="shared" si="9"/>
        <v>0.49456899999999998</v>
      </c>
      <c r="O44" s="77">
        <f>IF(D$16=1,_xll.xCalcSkew($A44,P44-AZ44,b)/100,0)</f>
        <v>-8.431000000000001E-3</v>
      </c>
      <c r="P44" s="98">
        <f t="shared" si="10"/>
        <v>2.5</v>
      </c>
      <c r="R44" s="97">
        <f t="shared" si="11"/>
        <v>-2.2499999999999999E-2</v>
      </c>
      <c r="S44" s="100">
        <f t="shared" si="12"/>
        <v>1</v>
      </c>
      <c r="T44" s="99">
        <f t="shared" ca="1" si="13"/>
        <v>419</v>
      </c>
      <c r="U44" s="175">
        <f t="shared" si="14"/>
        <v>0.49456899999999998</v>
      </c>
      <c r="V44" s="77">
        <f>IF(F$16=1,_xll.xCalcSkew($A44,W44-BK44,b)/100,0)</f>
        <v>-8.431000000000001E-3</v>
      </c>
      <c r="W44" s="98">
        <f t="shared" si="15"/>
        <v>2.5</v>
      </c>
      <c r="X44" s="99"/>
      <c r="Y44" s="97">
        <f t="shared" si="16"/>
        <v>-2.2499999999999999E-2</v>
      </c>
      <c r="Z44" s="100">
        <f t="shared" si="17"/>
        <v>1</v>
      </c>
      <c r="AA44" s="99">
        <f t="shared" ca="1" si="18"/>
        <v>419</v>
      </c>
      <c r="AB44" s="77">
        <f t="shared" si="19"/>
        <v>0.49450899999999998</v>
      </c>
      <c r="AC44" s="77">
        <f>IF(H$16=1,_xll.xCalcSkew($A44,AD44-BV44,b)/100,0)</f>
        <v>-8.4910000000000003E-3</v>
      </c>
      <c r="AD44" s="98">
        <f t="shared" si="20"/>
        <v>2.4900000000000002</v>
      </c>
      <c r="AF44" s="99">
        <f t="shared" ca="1" si="21"/>
        <v>419</v>
      </c>
      <c r="AG44" s="99">
        <f t="shared" ca="1" si="22"/>
        <v>418</v>
      </c>
      <c r="AH44" s="77">
        <f t="shared" si="67"/>
        <v>2.6151762451951801E-2</v>
      </c>
      <c r="AI44" s="154">
        <f t="shared" si="0"/>
        <v>31</v>
      </c>
      <c r="AJ44" s="101"/>
      <c r="AK44" s="101"/>
      <c r="AL44" s="101"/>
      <c r="AM44" s="101"/>
      <c r="AN44" s="78">
        <f t="shared" si="49"/>
        <v>31</v>
      </c>
      <c r="AO44" s="303">
        <f t="shared" si="50"/>
        <v>3.2610000000000001</v>
      </c>
      <c r="AP44" s="75">
        <f t="shared" si="24"/>
        <v>101.09100000000001</v>
      </c>
      <c r="AQ44" s="102">
        <f t="shared" si="25"/>
        <v>101.09100000000001</v>
      </c>
      <c r="AR44" s="101">
        <f t="shared" ca="1" si="26"/>
        <v>1.1778958794875674</v>
      </c>
      <c r="AS44" s="101">
        <f t="shared" ca="1" si="51"/>
        <v>-0.5206063692778895</v>
      </c>
      <c r="AT44" s="101">
        <f t="shared" ca="1" si="27"/>
        <v>1.3462178962765803E-2</v>
      </c>
      <c r="AU44" s="103">
        <f t="shared" ca="1" si="52"/>
        <v>36.51477226411459</v>
      </c>
      <c r="AV44" s="103">
        <f t="shared" ca="1" si="53"/>
        <v>-16.138797447614575</v>
      </c>
      <c r="AW44" s="103">
        <f t="shared" ca="1" si="54"/>
        <v>0.41732754784573989</v>
      </c>
      <c r="AY44" s="78">
        <f t="shared" si="28"/>
        <v>31</v>
      </c>
      <c r="AZ44" s="303">
        <f t="shared" si="55"/>
        <v>3.2385000000000002</v>
      </c>
      <c r="BA44" s="75">
        <f t="shared" si="29"/>
        <v>101.09100000000001</v>
      </c>
      <c r="BB44" s="102">
        <f t="shared" si="30"/>
        <v>100.3935</v>
      </c>
      <c r="BC44" s="101">
        <f t="shared" ca="1" si="31"/>
        <v>0.289483188078275</v>
      </c>
      <c r="BD44" s="101">
        <f t="shared" ca="1" si="32"/>
        <v>-0.21893782514089635</v>
      </c>
      <c r="BE44" s="101">
        <f t="shared" ca="1" si="33"/>
        <v>1.0130796344103521E-2</v>
      </c>
      <c r="BF44" s="103">
        <f t="shared" ca="1" si="56"/>
        <v>8.9739788304265247</v>
      </c>
      <c r="BG44" s="103">
        <f t="shared" ca="1" si="57"/>
        <v>-6.7870725793677869</v>
      </c>
      <c r="BH44" s="103">
        <f t="shared" ca="1" si="58"/>
        <v>0.31405468666720915</v>
      </c>
      <c r="BJ44" s="78">
        <f t="shared" si="34"/>
        <v>31</v>
      </c>
      <c r="BK44" s="303">
        <f t="shared" si="59"/>
        <v>3.2385000000000002</v>
      </c>
      <c r="BL44" s="75">
        <f t="shared" si="35"/>
        <v>101.09100000000001</v>
      </c>
      <c r="BM44" s="102">
        <f t="shared" si="36"/>
        <v>100.3935</v>
      </c>
      <c r="BN44" s="101">
        <f t="shared" ca="1" si="37"/>
        <v>0.289483188078275</v>
      </c>
      <c r="BO44" s="101">
        <f t="shared" ca="1" si="38"/>
        <v>-0.21893782514089635</v>
      </c>
      <c r="BP44" s="101">
        <f t="shared" ca="1" si="39"/>
        <v>1.0130796344103521E-2</v>
      </c>
      <c r="BQ44" s="103">
        <f t="shared" ca="1" si="60"/>
        <v>8.9739788304265247</v>
      </c>
      <c r="BR44" s="103">
        <f t="shared" ca="1" si="61"/>
        <v>-6.7870725793677869</v>
      </c>
      <c r="BS44" s="103">
        <f t="shared" ca="1" si="62"/>
        <v>0.31405468666720915</v>
      </c>
      <c r="BU44" s="78">
        <f t="shared" si="40"/>
        <v>31</v>
      </c>
      <c r="BV44" s="303">
        <f t="shared" si="63"/>
        <v>3.2385000000000002</v>
      </c>
      <c r="BW44" s="75">
        <f t="shared" si="41"/>
        <v>101.09100000000001</v>
      </c>
      <c r="BX44" s="102">
        <f t="shared" si="42"/>
        <v>100.3935</v>
      </c>
      <c r="BY44" s="101">
        <f t="shared" ca="1" si="43"/>
        <v>0.28544306801621544</v>
      </c>
      <c r="BZ44" s="101">
        <f t="shared" ca="1" si="44"/>
        <v>-0.21673120704055709</v>
      </c>
      <c r="CA44" s="101">
        <f t="shared" ca="1" si="45"/>
        <v>1.0073482492224173E-2</v>
      </c>
      <c r="CB44" s="103">
        <f t="shared" ca="1" si="64"/>
        <v>8.8487351085026784</v>
      </c>
      <c r="CC44" s="103">
        <f t="shared" ca="1" si="65"/>
        <v>-6.7186674182572697</v>
      </c>
      <c r="CD44" s="103">
        <f t="shared" ca="1" si="66"/>
        <v>0.31227795725894936</v>
      </c>
    </row>
    <row r="45" spans="1:82" x14ac:dyDescent="0.2">
      <c r="A45" s="96">
        <f t="shared" si="46"/>
        <v>37712</v>
      </c>
      <c r="B45" s="97">
        <f t="shared" si="47"/>
        <v>3.1160000000000001</v>
      </c>
      <c r="C45" s="77">
        <f t="shared" si="48"/>
        <v>0.42499999999999999</v>
      </c>
      <c r="D45" s="97">
        <f t="shared" si="1"/>
        <v>0</v>
      </c>
      <c r="E45" s="100">
        <f t="shared" si="2"/>
        <v>1</v>
      </c>
      <c r="F45" s="99">
        <f t="shared" ca="1" si="3"/>
        <v>447</v>
      </c>
      <c r="G45" s="77">
        <f t="shared" si="4"/>
        <v>0.43884000000000001</v>
      </c>
      <c r="H45" s="77">
        <f>IF(B$16=1,_xll.xCalcSkew(A45,I45-AO45,b)/100,0)</f>
        <v>1.3839999999999998E-2</v>
      </c>
      <c r="I45" s="98">
        <f t="shared" si="5"/>
        <v>4</v>
      </c>
      <c r="K45" s="97">
        <f t="shared" si="6"/>
        <v>0.03</v>
      </c>
      <c r="L45" s="100">
        <f t="shared" si="7"/>
        <v>1</v>
      </c>
      <c r="M45" s="99">
        <f t="shared" ca="1" si="8"/>
        <v>448</v>
      </c>
      <c r="N45" s="175">
        <f t="shared" si="9"/>
        <v>0.41791600000000001</v>
      </c>
      <c r="O45" s="77">
        <f>IF(D$16=1,_xll.xCalcSkew($A45,P45-AZ45,b)/100,0)</f>
        <v>-7.0839999999999992E-3</v>
      </c>
      <c r="P45" s="98">
        <f t="shared" si="10"/>
        <v>2.5</v>
      </c>
      <c r="R45" s="97">
        <f t="shared" si="11"/>
        <v>0.03</v>
      </c>
      <c r="S45" s="100">
        <f t="shared" si="12"/>
        <v>1</v>
      </c>
      <c r="T45" s="99">
        <f t="shared" ca="1" si="13"/>
        <v>448</v>
      </c>
      <c r="U45" s="175">
        <f t="shared" si="14"/>
        <v>0.41791600000000001</v>
      </c>
      <c r="V45" s="77">
        <f>IF(F$16=1,_xll.xCalcSkew($A45,W45-BK45,b)/100,0)</f>
        <v>-7.0839999999999992E-3</v>
      </c>
      <c r="W45" s="98">
        <f t="shared" si="15"/>
        <v>2.5</v>
      </c>
      <c r="X45" s="99"/>
      <c r="Y45" s="97">
        <f t="shared" si="16"/>
        <v>0.03</v>
      </c>
      <c r="Z45" s="100">
        <f t="shared" si="17"/>
        <v>1</v>
      </c>
      <c r="AA45" s="99">
        <f t="shared" ca="1" si="18"/>
        <v>448</v>
      </c>
      <c r="AB45" s="77">
        <f t="shared" si="19"/>
        <v>0.41787599999999997</v>
      </c>
      <c r="AC45" s="77">
        <f>IF(H$16=1,_xll.xCalcSkew($A45,AD45-BV45,b)/100,0)</f>
        <v>-7.1239999999999993E-3</v>
      </c>
      <c r="AD45" s="98">
        <f t="shared" si="20"/>
        <v>2.4900000000000002</v>
      </c>
      <c r="AF45" s="99">
        <f t="shared" ca="1" si="21"/>
        <v>448</v>
      </c>
      <c r="AG45" s="99">
        <f t="shared" ca="1" si="22"/>
        <v>447</v>
      </c>
      <c r="AH45" s="77">
        <f t="shared" si="67"/>
        <v>2.70235470347737E-2</v>
      </c>
      <c r="AI45" s="154">
        <f t="shared" si="0"/>
        <v>30</v>
      </c>
      <c r="AJ45" s="101"/>
      <c r="AK45" s="101"/>
      <c r="AL45" s="101"/>
      <c r="AM45" s="101"/>
      <c r="AN45" s="78">
        <f t="shared" si="49"/>
        <v>30</v>
      </c>
      <c r="AO45" s="303">
        <f t="shared" si="50"/>
        <v>3.1160000000000001</v>
      </c>
      <c r="AP45" s="75">
        <f t="shared" si="24"/>
        <v>93.48</v>
      </c>
      <c r="AQ45" s="102">
        <f t="shared" si="25"/>
        <v>93.48</v>
      </c>
      <c r="AR45" s="101">
        <f t="shared" ca="1" si="26"/>
        <v>1.1712586730589107</v>
      </c>
      <c r="AS45" s="101">
        <f t="shared" ca="1" si="51"/>
        <v>-0.58721668177926256</v>
      </c>
      <c r="AT45" s="101">
        <f t="shared" ca="1" si="27"/>
        <v>1.2856702590766989E-2</v>
      </c>
      <c r="AU45" s="103">
        <f t="shared" ca="1" si="52"/>
        <v>35.13776019176732</v>
      </c>
      <c r="AV45" s="103">
        <f t="shared" ca="1" si="53"/>
        <v>-17.616500453377878</v>
      </c>
      <c r="AW45" s="103">
        <f t="shared" ca="1" si="54"/>
        <v>0.38570107772300966</v>
      </c>
      <c r="AY45" s="78">
        <f t="shared" si="28"/>
        <v>30</v>
      </c>
      <c r="AZ45" s="303">
        <f t="shared" si="55"/>
        <v>3.1459999999999999</v>
      </c>
      <c r="BA45" s="75">
        <f t="shared" si="29"/>
        <v>93.48</v>
      </c>
      <c r="BB45" s="102">
        <f t="shared" si="30"/>
        <v>94.38</v>
      </c>
      <c r="BC45" s="101">
        <f t="shared" ca="1" si="31"/>
        <v>0.24646840117052926</v>
      </c>
      <c r="BD45" s="101">
        <f t="shared" ca="1" si="32"/>
        <v>-0.22572064164082944</v>
      </c>
      <c r="BE45" s="101">
        <f t="shared" ca="1" si="33"/>
        <v>1.0343540300679077E-2</v>
      </c>
      <c r="BF45" s="103">
        <f t="shared" ca="1" si="56"/>
        <v>7.3940520351158776</v>
      </c>
      <c r="BG45" s="103">
        <f t="shared" ca="1" si="57"/>
        <v>-6.7716192492248837</v>
      </c>
      <c r="BH45" s="103">
        <f t="shared" ca="1" si="58"/>
        <v>0.31030620902037231</v>
      </c>
      <c r="BJ45" s="78">
        <f t="shared" si="34"/>
        <v>30</v>
      </c>
      <c r="BK45" s="303">
        <f t="shared" si="59"/>
        <v>3.1459999999999999</v>
      </c>
      <c r="BL45" s="75">
        <f t="shared" si="35"/>
        <v>93.48</v>
      </c>
      <c r="BM45" s="102">
        <f t="shared" si="36"/>
        <v>94.38</v>
      </c>
      <c r="BN45" s="101">
        <f t="shared" ca="1" si="37"/>
        <v>0.24646840117052926</v>
      </c>
      <c r="BO45" s="101">
        <f t="shared" ca="1" si="38"/>
        <v>-0.22572064164082944</v>
      </c>
      <c r="BP45" s="101">
        <f t="shared" ca="1" si="39"/>
        <v>1.0343540300679077E-2</v>
      </c>
      <c r="BQ45" s="103">
        <f t="shared" ca="1" si="60"/>
        <v>7.3940520351158776</v>
      </c>
      <c r="BR45" s="103">
        <f t="shared" ca="1" si="61"/>
        <v>-6.7716192492248837</v>
      </c>
      <c r="BS45" s="103">
        <f t="shared" ca="1" si="62"/>
        <v>0.31030620902037231</v>
      </c>
      <c r="BU45" s="78">
        <f t="shared" si="40"/>
        <v>30</v>
      </c>
      <c r="BV45" s="303">
        <f t="shared" si="63"/>
        <v>3.1459999999999999</v>
      </c>
      <c r="BW45" s="75">
        <f t="shared" si="41"/>
        <v>93.48</v>
      </c>
      <c r="BX45" s="102">
        <f t="shared" si="42"/>
        <v>94.38</v>
      </c>
      <c r="BY45" s="101">
        <f t="shared" ca="1" si="43"/>
        <v>0.24261714841189708</v>
      </c>
      <c r="BZ45" s="101">
        <f t="shared" ca="1" si="44"/>
        <v>-0.22315774250559814</v>
      </c>
      <c r="CA45" s="101">
        <f t="shared" ca="1" si="45"/>
        <v>1.0279038225602388E-2</v>
      </c>
      <c r="CB45" s="103">
        <f t="shared" ca="1" si="64"/>
        <v>7.2785144523569123</v>
      </c>
      <c r="CC45" s="103">
        <f t="shared" ca="1" si="65"/>
        <v>-6.6947322751679446</v>
      </c>
      <c r="CD45" s="103">
        <f t="shared" ca="1" si="66"/>
        <v>0.30837114676807165</v>
      </c>
    </row>
    <row r="46" spans="1:82" x14ac:dyDescent="0.2">
      <c r="A46" s="96">
        <f t="shared" si="46"/>
        <v>37742</v>
      </c>
      <c r="B46" s="97">
        <f t="shared" si="47"/>
        <v>3.121</v>
      </c>
      <c r="C46" s="77">
        <f t="shared" si="48"/>
        <v>0.41</v>
      </c>
      <c r="D46" s="97">
        <f t="shared" si="1"/>
        <v>0</v>
      </c>
      <c r="E46" s="100">
        <f t="shared" si="2"/>
        <v>1</v>
      </c>
      <c r="F46" s="99">
        <f t="shared" ca="1" si="3"/>
        <v>477</v>
      </c>
      <c r="G46" s="77">
        <f t="shared" si="4"/>
        <v>0.42379</v>
      </c>
      <c r="H46" s="77">
        <f>IF(B$16=1,_xll.xCalcSkew(A46,I46-AO46,b)/100,0)</f>
        <v>1.379E-2</v>
      </c>
      <c r="I46" s="98">
        <f t="shared" si="5"/>
        <v>4</v>
      </c>
      <c r="K46" s="97">
        <f t="shared" si="6"/>
        <v>0.03</v>
      </c>
      <c r="L46" s="100">
        <f t="shared" si="7"/>
        <v>1</v>
      </c>
      <c r="M46" s="99">
        <f t="shared" ca="1" si="8"/>
        <v>480</v>
      </c>
      <c r="N46" s="175">
        <f t="shared" si="9"/>
        <v>0.40289599999999998</v>
      </c>
      <c r="O46" s="77">
        <f>IF(D$16=1,_xll.xCalcSkew($A46,P46-AZ46,b)/100,0)</f>
        <v>-7.1039999999999992E-3</v>
      </c>
      <c r="P46" s="98">
        <f t="shared" si="10"/>
        <v>2.5</v>
      </c>
      <c r="R46" s="97">
        <f t="shared" si="11"/>
        <v>0.03</v>
      </c>
      <c r="S46" s="100">
        <f t="shared" si="12"/>
        <v>1</v>
      </c>
      <c r="T46" s="99">
        <f t="shared" ca="1" si="13"/>
        <v>480</v>
      </c>
      <c r="U46" s="175">
        <f t="shared" si="14"/>
        <v>0.40289599999999998</v>
      </c>
      <c r="V46" s="77">
        <f>IF(F$16=1,_xll.xCalcSkew($A46,W46-BK46,b)/100,0)</f>
        <v>-7.1039999999999992E-3</v>
      </c>
      <c r="W46" s="98">
        <f t="shared" si="15"/>
        <v>2.5</v>
      </c>
      <c r="X46" s="99"/>
      <c r="Y46" s="97">
        <f t="shared" si="16"/>
        <v>0.03</v>
      </c>
      <c r="Z46" s="100">
        <f t="shared" si="17"/>
        <v>1</v>
      </c>
      <c r="AA46" s="99">
        <f t="shared" ca="1" si="18"/>
        <v>480</v>
      </c>
      <c r="AB46" s="77">
        <f t="shared" si="19"/>
        <v>0.40285599999999999</v>
      </c>
      <c r="AC46" s="77">
        <f>IF(H$16=1,_xll.xCalcSkew($A46,AD46-BV46,b)/100,0)</f>
        <v>-7.1439999999999984E-3</v>
      </c>
      <c r="AD46" s="98">
        <f t="shared" si="20"/>
        <v>2.4900000000000002</v>
      </c>
      <c r="AF46" s="99">
        <f t="shared" ca="1" si="21"/>
        <v>480</v>
      </c>
      <c r="AG46" s="99">
        <f t="shared" ca="1" si="22"/>
        <v>477</v>
      </c>
      <c r="AH46" s="77">
        <f t="shared" si="67"/>
        <v>2.78505455310585E-2</v>
      </c>
      <c r="AI46" s="154">
        <f t="shared" si="0"/>
        <v>31</v>
      </c>
      <c r="AJ46" s="101"/>
      <c r="AK46" s="101"/>
      <c r="AL46" s="101"/>
      <c r="AM46" s="101"/>
      <c r="AN46" s="78">
        <f t="shared" si="49"/>
        <v>31</v>
      </c>
      <c r="AO46" s="303">
        <f t="shared" si="50"/>
        <v>3.121</v>
      </c>
      <c r="AP46" s="75">
        <f t="shared" si="24"/>
        <v>96.751000000000005</v>
      </c>
      <c r="AQ46" s="102">
        <f t="shared" si="25"/>
        <v>96.751000000000005</v>
      </c>
      <c r="AR46" s="101">
        <f t="shared" ca="1" si="26"/>
        <v>1.1631167424654671</v>
      </c>
      <c r="AS46" s="101">
        <f t="shared" ca="1" si="51"/>
        <v>-0.58473299312026272</v>
      </c>
      <c r="AT46" s="101">
        <f t="shared" ca="1" si="27"/>
        <v>1.3264656472690817E-2</v>
      </c>
      <c r="AU46" s="103">
        <f t="shared" ca="1" si="52"/>
        <v>36.05661901642948</v>
      </c>
      <c r="AV46" s="103">
        <f t="shared" ca="1" si="53"/>
        <v>-18.126722786728145</v>
      </c>
      <c r="AW46" s="103">
        <f t="shared" ca="1" si="54"/>
        <v>0.41120435065341532</v>
      </c>
      <c r="AY46" s="78">
        <f t="shared" si="28"/>
        <v>31</v>
      </c>
      <c r="AZ46" s="303">
        <f t="shared" si="55"/>
        <v>3.1509999999999998</v>
      </c>
      <c r="BA46" s="75">
        <f t="shared" si="29"/>
        <v>96.751000000000005</v>
      </c>
      <c r="BB46" s="102">
        <f t="shared" si="30"/>
        <v>97.680999999999997</v>
      </c>
      <c r="BC46" s="101">
        <f t="shared" ca="1" si="31"/>
        <v>0.24359275765011879</v>
      </c>
      <c r="BD46" s="101">
        <f t="shared" ca="1" si="32"/>
        <v>-0.22376420011350501</v>
      </c>
      <c r="BE46" s="101">
        <f t="shared" ca="1" si="33"/>
        <v>1.0656934530820728E-2</v>
      </c>
      <c r="BF46" s="103">
        <f t="shared" ca="1" si="56"/>
        <v>7.551375487153682</v>
      </c>
      <c r="BG46" s="103">
        <f t="shared" ca="1" si="57"/>
        <v>-6.9366902035186548</v>
      </c>
      <c r="BH46" s="103">
        <f t="shared" ca="1" si="58"/>
        <v>0.33036497045544255</v>
      </c>
      <c r="BJ46" s="78">
        <f t="shared" si="34"/>
        <v>31</v>
      </c>
      <c r="BK46" s="303">
        <f t="shared" si="59"/>
        <v>3.1509999999999998</v>
      </c>
      <c r="BL46" s="75">
        <f t="shared" si="35"/>
        <v>96.751000000000005</v>
      </c>
      <c r="BM46" s="102">
        <f t="shared" si="36"/>
        <v>97.680999999999997</v>
      </c>
      <c r="BN46" s="101">
        <f t="shared" ca="1" si="37"/>
        <v>0.24359275765011879</v>
      </c>
      <c r="BO46" s="101">
        <f t="shared" ca="1" si="38"/>
        <v>-0.22376420011350501</v>
      </c>
      <c r="BP46" s="101">
        <f t="shared" ca="1" si="39"/>
        <v>1.0656934530820728E-2</v>
      </c>
      <c r="BQ46" s="103">
        <f t="shared" ca="1" si="60"/>
        <v>7.551375487153682</v>
      </c>
      <c r="BR46" s="103">
        <f t="shared" ca="1" si="61"/>
        <v>-6.9366902035186548</v>
      </c>
      <c r="BS46" s="103">
        <f t="shared" ca="1" si="62"/>
        <v>0.33036497045544255</v>
      </c>
      <c r="BU46" s="78">
        <f t="shared" si="40"/>
        <v>31</v>
      </c>
      <c r="BV46" s="303">
        <f t="shared" si="63"/>
        <v>3.1509999999999998</v>
      </c>
      <c r="BW46" s="75">
        <f t="shared" si="41"/>
        <v>96.751000000000005</v>
      </c>
      <c r="BX46" s="102">
        <f t="shared" si="42"/>
        <v>97.680999999999997</v>
      </c>
      <c r="BY46" s="101">
        <f t="shared" ca="1" si="43"/>
        <v>0.23977187264614419</v>
      </c>
      <c r="BZ46" s="101">
        <f t="shared" ca="1" si="44"/>
        <v>-0.22121186347780272</v>
      </c>
      <c r="CA46" s="101">
        <f t="shared" ca="1" si="45"/>
        <v>1.0590008395793715E-2</v>
      </c>
      <c r="CB46" s="103">
        <f t="shared" ca="1" si="64"/>
        <v>7.4329280520304701</v>
      </c>
      <c r="CC46" s="103">
        <f t="shared" ca="1" si="65"/>
        <v>-6.8575677678118847</v>
      </c>
      <c r="CD46" s="103">
        <f t="shared" ca="1" si="66"/>
        <v>0.32829026026960517</v>
      </c>
    </row>
    <row r="47" spans="1:82" x14ac:dyDescent="0.2">
      <c r="A47" s="96">
        <f t="shared" si="46"/>
        <v>37773</v>
      </c>
      <c r="B47" s="97">
        <f t="shared" si="47"/>
        <v>3.1509999999999998</v>
      </c>
      <c r="C47" s="77">
        <f t="shared" si="48"/>
        <v>0.40500000000000003</v>
      </c>
      <c r="D47" s="97">
        <f t="shared" si="1"/>
        <v>0</v>
      </c>
      <c r="E47" s="100">
        <f t="shared" si="2"/>
        <v>1</v>
      </c>
      <c r="F47" s="99">
        <f t="shared" ca="1" si="3"/>
        <v>509</v>
      </c>
      <c r="G47" s="77">
        <f t="shared" si="4"/>
        <v>0.41849000000000003</v>
      </c>
      <c r="H47" s="77">
        <f>IF(B$16=1,_xll.xCalcSkew(A47,I47-AO47,b)/100,0)</f>
        <v>1.3489999999999997E-2</v>
      </c>
      <c r="I47" s="98">
        <f t="shared" si="5"/>
        <v>4</v>
      </c>
      <c r="K47" s="97">
        <f t="shared" si="6"/>
        <v>3.5000000000000003E-2</v>
      </c>
      <c r="L47" s="100">
        <f t="shared" si="7"/>
        <v>1</v>
      </c>
      <c r="M47" s="99">
        <f t="shared" ca="1" si="8"/>
        <v>510</v>
      </c>
      <c r="N47" s="175">
        <f t="shared" si="9"/>
        <v>0.397756</v>
      </c>
      <c r="O47" s="77">
        <f>IF(D$16=1,_xll.xCalcSkew($A47,P47-AZ47,b)/100,0)</f>
        <v>-7.2440000000000013E-3</v>
      </c>
      <c r="P47" s="98">
        <f t="shared" si="10"/>
        <v>2.5</v>
      </c>
      <c r="R47" s="97">
        <f t="shared" si="11"/>
        <v>3.5000000000000003E-2</v>
      </c>
      <c r="S47" s="100">
        <f t="shared" si="12"/>
        <v>1</v>
      </c>
      <c r="T47" s="99">
        <f t="shared" ca="1" si="13"/>
        <v>510</v>
      </c>
      <c r="U47" s="175">
        <f t="shared" si="14"/>
        <v>0.397756</v>
      </c>
      <c r="V47" s="77">
        <f>IF(F$16=1,_xll.xCalcSkew($A47,W47-BK47,b)/100,0)</f>
        <v>-7.2440000000000013E-3</v>
      </c>
      <c r="W47" s="98">
        <f t="shared" si="15"/>
        <v>2.5</v>
      </c>
      <c r="X47" s="99"/>
      <c r="Y47" s="97">
        <f t="shared" si="16"/>
        <v>3.5000000000000003E-2</v>
      </c>
      <c r="Z47" s="100">
        <f t="shared" si="17"/>
        <v>1</v>
      </c>
      <c r="AA47" s="99">
        <f t="shared" ca="1" si="18"/>
        <v>510</v>
      </c>
      <c r="AB47" s="77">
        <f t="shared" si="19"/>
        <v>0.39771600000000001</v>
      </c>
      <c r="AC47" s="77">
        <f>IF(H$16=1,_xll.xCalcSkew($A47,AD47-BV47,b)/100,0)</f>
        <v>-7.2840000000000005E-3</v>
      </c>
      <c r="AD47" s="98">
        <f t="shared" si="20"/>
        <v>2.4900000000000002</v>
      </c>
      <c r="AF47" s="99">
        <f t="shared" ca="1" si="21"/>
        <v>510</v>
      </c>
      <c r="AG47" s="99">
        <f t="shared" ca="1" si="22"/>
        <v>509</v>
      </c>
      <c r="AH47" s="77">
        <f t="shared" si="67"/>
        <v>2.8705110886401802E-2</v>
      </c>
      <c r="AI47" s="154">
        <f t="shared" si="0"/>
        <v>30</v>
      </c>
      <c r="AJ47" s="101"/>
      <c r="AK47" s="101"/>
      <c r="AL47" s="101"/>
      <c r="AM47" s="101"/>
      <c r="AN47" s="78">
        <f t="shared" si="49"/>
        <v>30</v>
      </c>
      <c r="AO47" s="303">
        <f t="shared" si="50"/>
        <v>3.1510000000000002</v>
      </c>
      <c r="AP47" s="75">
        <f t="shared" si="24"/>
        <v>94.53</v>
      </c>
      <c r="AQ47" s="102">
        <f t="shared" si="25"/>
        <v>94.53</v>
      </c>
      <c r="AR47" s="101">
        <f t="shared" ca="1" si="26"/>
        <v>1.1529374028983113</v>
      </c>
      <c r="AS47" s="101">
        <f t="shared" ca="1" si="51"/>
        <v>-0.56987834516348534</v>
      </c>
      <c r="AT47" s="101">
        <f t="shared" ca="1" si="27"/>
        <v>1.3899202063168858E-2</v>
      </c>
      <c r="AU47" s="103">
        <f t="shared" ca="1" si="52"/>
        <v>34.58812208694934</v>
      </c>
      <c r="AV47" s="103">
        <f t="shared" ca="1" si="53"/>
        <v>-17.096350354904562</v>
      </c>
      <c r="AW47" s="103">
        <f t="shared" ca="1" si="54"/>
        <v>0.41697606189506575</v>
      </c>
      <c r="AY47" s="78">
        <f t="shared" si="28"/>
        <v>30</v>
      </c>
      <c r="AZ47" s="303">
        <f t="shared" si="55"/>
        <v>3.1860000000000004</v>
      </c>
      <c r="BA47" s="75">
        <f t="shared" si="29"/>
        <v>94.53</v>
      </c>
      <c r="BB47" s="102">
        <f t="shared" si="30"/>
        <v>95.580000000000013</v>
      </c>
      <c r="BC47" s="101">
        <f t="shared" ca="1" si="31"/>
        <v>0.24255115757828671</v>
      </c>
      <c r="BD47" s="101">
        <f t="shared" ca="1" si="32"/>
        <v>-0.21748601497413628</v>
      </c>
      <c r="BE47" s="101">
        <f t="shared" ca="1" si="33"/>
        <v>1.0916474608152926E-2</v>
      </c>
      <c r="BF47" s="103">
        <f t="shared" ca="1" si="56"/>
        <v>7.2765347273486016</v>
      </c>
      <c r="BG47" s="103">
        <f t="shared" ca="1" si="57"/>
        <v>-6.5245804492240884</v>
      </c>
      <c r="BH47" s="103">
        <f t="shared" ca="1" si="58"/>
        <v>0.32749423824458779</v>
      </c>
      <c r="BJ47" s="78">
        <f t="shared" si="34"/>
        <v>30</v>
      </c>
      <c r="BK47" s="303">
        <f t="shared" si="59"/>
        <v>3.1860000000000004</v>
      </c>
      <c r="BL47" s="75">
        <f t="shared" si="35"/>
        <v>94.53</v>
      </c>
      <c r="BM47" s="102">
        <f t="shared" si="36"/>
        <v>95.580000000000013</v>
      </c>
      <c r="BN47" s="101">
        <f t="shared" ca="1" si="37"/>
        <v>0.24255115757828671</v>
      </c>
      <c r="BO47" s="101">
        <f t="shared" ca="1" si="38"/>
        <v>-0.21748601497413628</v>
      </c>
      <c r="BP47" s="101">
        <f t="shared" ca="1" si="39"/>
        <v>1.0916474608152926E-2</v>
      </c>
      <c r="BQ47" s="103">
        <f t="shared" ca="1" si="60"/>
        <v>7.2765347273486016</v>
      </c>
      <c r="BR47" s="103">
        <f t="shared" ca="1" si="61"/>
        <v>-6.5245804492240884</v>
      </c>
      <c r="BS47" s="103">
        <f t="shared" ca="1" si="62"/>
        <v>0.32749423824458779</v>
      </c>
      <c r="BU47" s="78">
        <f t="shared" si="40"/>
        <v>30</v>
      </c>
      <c r="BV47" s="303">
        <f t="shared" si="63"/>
        <v>3.1860000000000004</v>
      </c>
      <c r="BW47" s="75">
        <f t="shared" si="41"/>
        <v>94.53</v>
      </c>
      <c r="BX47" s="102">
        <f t="shared" si="42"/>
        <v>95.580000000000013</v>
      </c>
      <c r="BY47" s="101">
        <f t="shared" ca="1" si="43"/>
        <v>0.23878171972315065</v>
      </c>
      <c r="BZ47" s="101">
        <f t="shared" ca="1" si="44"/>
        <v>-0.21502088174111472</v>
      </c>
      <c r="CA47" s="101">
        <f t="shared" ca="1" si="45"/>
        <v>1.0847390159097081E-2</v>
      </c>
      <c r="CB47" s="103">
        <f t="shared" ca="1" si="64"/>
        <v>7.1634515916945194</v>
      </c>
      <c r="CC47" s="103">
        <f t="shared" ca="1" si="65"/>
        <v>-6.4506264522334416</v>
      </c>
      <c r="CD47" s="103">
        <f t="shared" ca="1" si="66"/>
        <v>0.32542170477291243</v>
      </c>
    </row>
    <row r="48" spans="1:82" x14ac:dyDescent="0.2">
      <c r="A48" s="96">
        <f t="shared" si="46"/>
        <v>37803</v>
      </c>
      <c r="B48" s="97">
        <f t="shared" si="47"/>
        <v>3.1909999999999998</v>
      </c>
      <c r="C48" s="77">
        <f t="shared" si="48"/>
        <v>0.40500000000000003</v>
      </c>
      <c r="D48" s="97">
        <f t="shared" si="1"/>
        <v>0</v>
      </c>
      <c r="E48" s="100">
        <f t="shared" si="2"/>
        <v>1</v>
      </c>
      <c r="F48" s="99">
        <f t="shared" ca="1" si="3"/>
        <v>538</v>
      </c>
      <c r="G48" s="77">
        <f t="shared" si="4"/>
        <v>0.41809000000000002</v>
      </c>
      <c r="H48" s="77">
        <f>IF(B$16=1,_xll.xCalcSkew(A48,I48-AO48,b)/100,0)</f>
        <v>1.3090000000000001E-2</v>
      </c>
      <c r="I48" s="98">
        <f t="shared" si="5"/>
        <v>4</v>
      </c>
      <c r="K48" s="97">
        <f t="shared" si="6"/>
        <v>3.7499999999999999E-2</v>
      </c>
      <c r="L48" s="100">
        <f t="shared" si="7"/>
        <v>1</v>
      </c>
      <c r="M48" s="99">
        <f t="shared" ca="1" si="8"/>
        <v>539</v>
      </c>
      <c r="N48" s="175">
        <f t="shared" si="9"/>
        <v>0.39758600000000005</v>
      </c>
      <c r="O48" s="77">
        <f>IF(D$16=1,_xll.xCalcSkew($A48,P48-AZ48,b)/100,0)</f>
        <v>-7.4139999999999996E-3</v>
      </c>
      <c r="P48" s="98">
        <f t="shared" si="10"/>
        <v>2.5</v>
      </c>
      <c r="R48" s="97">
        <f t="shared" si="11"/>
        <v>3.7499999999999999E-2</v>
      </c>
      <c r="S48" s="100">
        <f t="shared" si="12"/>
        <v>1</v>
      </c>
      <c r="T48" s="99">
        <f t="shared" ca="1" si="13"/>
        <v>539</v>
      </c>
      <c r="U48" s="175">
        <f t="shared" si="14"/>
        <v>0.39758600000000005</v>
      </c>
      <c r="V48" s="77">
        <f>IF(F$16=1,_xll.xCalcSkew($A48,W48-BK48,b)/100,0)</f>
        <v>-7.4139999999999996E-3</v>
      </c>
      <c r="W48" s="98">
        <f t="shared" si="15"/>
        <v>2.5</v>
      </c>
      <c r="X48" s="99"/>
      <c r="Y48" s="97">
        <f t="shared" si="16"/>
        <v>3.7499999999999999E-2</v>
      </c>
      <c r="Z48" s="100">
        <f t="shared" si="17"/>
        <v>1</v>
      </c>
      <c r="AA48" s="99">
        <f t="shared" ca="1" si="18"/>
        <v>539</v>
      </c>
      <c r="AB48" s="77">
        <f t="shared" si="19"/>
        <v>0.39754600000000001</v>
      </c>
      <c r="AC48" s="77">
        <f>IF(H$16=1,_xll.xCalcSkew($A48,AD48-BV48,b)/100,0)</f>
        <v>-7.4539999999999988E-3</v>
      </c>
      <c r="AD48" s="98">
        <f t="shared" si="20"/>
        <v>2.4900000000000002</v>
      </c>
      <c r="AF48" s="99">
        <f t="shared" ca="1" si="21"/>
        <v>539</v>
      </c>
      <c r="AG48" s="99">
        <f t="shared" ca="1" si="22"/>
        <v>538</v>
      </c>
      <c r="AH48" s="77">
        <f t="shared" si="67"/>
        <v>2.9520453177735599E-2</v>
      </c>
      <c r="AI48" s="154">
        <f t="shared" si="0"/>
        <v>31</v>
      </c>
      <c r="AJ48" s="101"/>
      <c r="AK48" s="101"/>
      <c r="AL48" s="101"/>
      <c r="AM48" s="101"/>
      <c r="AN48" s="78">
        <f t="shared" si="49"/>
        <v>31</v>
      </c>
      <c r="AO48" s="303">
        <f t="shared" si="50"/>
        <v>3.1909999999999998</v>
      </c>
      <c r="AP48" s="75">
        <f t="shared" si="24"/>
        <v>98.920999999999992</v>
      </c>
      <c r="AQ48" s="102">
        <f t="shared" si="25"/>
        <v>98.920999999999992</v>
      </c>
      <c r="AR48" s="101">
        <f t="shared" ca="1" si="26"/>
        <v>1.1424076887664236</v>
      </c>
      <c r="AS48" s="101">
        <f t="shared" ca="1" si="51"/>
        <v>-0.55136216211693534</v>
      </c>
      <c r="AT48" s="101">
        <f t="shared" ca="1" si="27"/>
        <v>1.4551280175101211E-2</v>
      </c>
      <c r="AU48" s="103">
        <f t="shared" ca="1" si="52"/>
        <v>35.41463835175913</v>
      </c>
      <c r="AV48" s="103">
        <f t="shared" ca="1" si="53"/>
        <v>-17.092227025624997</v>
      </c>
      <c r="AW48" s="103">
        <f t="shared" ca="1" si="54"/>
        <v>0.45108968542813754</v>
      </c>
      <c r="AY48" s="78">
        <f t="shared" si="28"/>
        <v>31</v>
      </c>
      <c r="AZ48" s="303">
        <f t="shared" si="55"/>
        <v>3.2284999999999999</v>
      </c>
      <c r="BA48" s="75">
        <f t="shared" si="29"/>
        <v>98.920999999999992</v>
      </c>
      <c r="BB48" s="102">
        <f t="shared" si="30"/>
        <v>100.0835</v>
      </c>
      <c r="BC48" s="101">
        <f t="shared" ca="1" si="31"/>
        <v>0.24451906605238038</v>
      </c>
      <c r="BD48" s="101">
        <f t="shared" ca="1" si="32"/>
        <v>-0.21099229582607709</v>
      </c>
      <c r="BE48" s="101">
        <f t="shared" ca="1" si="33"/>
        <v>1.116253566073877E-2</v>
      </c>
      <c r="BF48" s="103">
        <f t="shared" ca="1" si="56"/>
        <v>7.5800910476237924</v>
      </c>
      <c r="BG48" s="103">
        <f t="shared" ca="1" si="57"/>
        <v>-6.5407611706083895</v>
      </c>
      <c r="BH48" s="103">
        <f t="shared" ca="1" si="58"/>
        <v>0.34603860548290188</v>
      </c>
      <c r="BJ48" s="78">
        <f t="shared" si="34"/>
        <v>31</v>
      </c>
      <c r="BK48" s="303">
        <f t="shared" si="59"/>
        <v>3.2284999999999999</v>
      </c>
      <c r="BL48" s="75">
        <f t="shared" si="35"/>
        <v>98.920999999999992</v>
      </c>
      <c r="BM48" s="102">
        <f t="shared" si="36"/>
        <v>100.0835</v>
      </c>
      <c r="BN48" s="101">
        <f t="shared" ca="1" si="37"/>
        <v>0.24451906605238038</v>
      </c>
      <c r="BO48" s="101">
        <f t="shared" ca="1" si="38"/>
        <v>-0.21099229582607709</v>
      </c>
      <c r="BP48" s="101">
        <f t="shared" ca="1" si="39"/>
        <v>1.116253566073877E-2</v>
      </c>
      <c r="BQ48" s="103">
        <f t="shared" ca="1" si="60"/>
        <v>7.5800910476237924</v>
      </c>
      <c r="BR48" s="103">
        <f t="shared" ca="1" si="61"/>
        <v>-6.5407611706083895</v>
      </c>
      <c r="BS48" s="103">
        <f t="shared" ca="1" si="62"/>
        <v>0.34603860548290188</v>
      </c>
      <c r="BU48" s="78">
        <f t="shared" si="40"/>
        <v>31</v>
      </c>
      <c r="BV48" s="303">
        <f t="shared" si="63"/>
        <v>3.2284999999999999</v>
      </c>
      <c r="BW48" s="75">
        <f t="shared" si="41"/>
        <v>98.920999999999992</v>
      </c>
      <c r="BX48" s="102">
        <f t="shared" si="42"/>
        <v>100.0835</v>
      </c>
      <c r="BY48" s="101">
        <f t="shared" ca="1" si="43"/>
        <v>0.24078716694455882</v>
      </c>
      <c r="BZ48" s="101">
        <f t="shared" ca="1" si="44"/>
        <v>-0.20863750547476248</v>
      </c>
      <c r="CA48" s="101">
        <f t="shared" ca="1" si="45"/>
        <v>1.109196247546862E-2</v>
      </c>
      <c r="CB48" s="103">
        <f t="shared" ca="1" si="64"/>
        <v>7.4644021752813234</v>
      </c>
      <c r="CC48" s="103">
        <f t="shared" ca="1" si="65"/>
        <v>-6.4677626697176365</v>
      </c>
      <c r="CD48" s="103">
        <f t="shared" ca="1" si="66"/>
        <v>0.34385083673952721</v>
      </c>
    </row>
    <row r="49" spans="1:82" x14ac:dyDescent="0.2">
      <c r="A49" s="96">
        <f t="shared" si="46"/>
        <v>37834</v>
      </c>
      <c r="B49" s="97">
        <f t="shared" si="47"/>
        <v>3.226</v>
      </c>
      <c r="C49" s="77">
        <f t="shared" si="48"/>
        <v>0.40500000000000003</v>
      </c>
      <c r="D49" s="97">
        <f t="shared" si="1"/>
        <v>0</v>
      </c>
      <c r="E49" s="100">
        <f t="shared" si="2"/>
        <v>1</v>
      </c>
      <c r="F49" s="99">
        <f t="shared" ca="1" si="3"/>
        <v>571</v>
      </c>
      <c r="G49" s="77">
        <f t="shared" si="4"/>
        <v>0.41774</v>
      </c>
      <c r="H49" s="77">
        <f>IF(B$16=1,_xll.xCalcSkew(A49,I49-AO49,b)/100,0)</f>
        <v>1.274E-2</v>
      </c>
      <c r="I49" s="98">
        <f t="shared" si="5"/>
        <v>4</v>
      </c>
      <c r="K49" s="97">
        <f t="shared" si="6"/>
        <v>0.04</v>
      </c>
      <c r="L49" s="100">
        <f t="shared" si="7"/>
        <v>1</v>
      </c>
      <c r="M49" s="99">
        <f t="shared" ca="1" si="8"/>
        <v>572</v>
      </c>
      <c r="N49" s="175">
        <f t="shared" si="9"/>
        <v>0.39743600000000001</v>
      </c>
      <c r="O49" s="77">
        <f>IF(D$16=1,_xll.xCalcSkew($A49,P49-AZ49,b)/100,0)</f>
        <v>-7.5639999999999995E-3</v>
      </c>
      <c r="P49" s="98">
        <f t="shared" si="10"/>
        <v>2.5</v>
      </c>
      <c r="R49" s="97">
        <f t="shared" si="11"/>
        <v>0.04</v>
      </c>
      <c r="S49" s="100">
        <f t="shared" si="12"/>
        <v>1</v>
      </c>
      <c r="T49" s="99">
        <f t="shared" ca="1" si="13"/>
        <v>572</v>
      </c>
      <c r="U49" s="175">
        <f t="shared" si="14"/>
        <v>0.39743600000000001</v>
      </c>
      <c r="V49" s="77">
        <f>IF(F$16=1,_xll.xCalcSkew($A49,W49-BK49,b)/100,0)</f>
        <v>-7.5639999999999995E-3</v>
      </c>
      <c r="W49" s="98">
        <f t="shared" si="15"/>
        <v>2.5</v>
      </c>
      <c r="X49" s="99"/>
      <c r="Y49" s="97">
        <f t="shared" si="16"/>
        <v>0.04</v>
      </c>
      <c r="Z49" s="100">
        <f t="shared" si="17"/>
        <v>1</v>
      </c>
      <c r="AA49" s="99">
        <f t="shared" ca="1" si="18"/>
        <v>572</v>
      </c>
      <c r="AB49" s="77">
        <f t="shared" si="19"/>
        <v>0.39739600000000003</v>
      </c>
      <c r="AC49" s="77">
        <f>IF(H$16=1,_xll.xCalcSkew($A49,AD49-BV49,b)/100,0)</f>
        <v>-7.6039999999999996E-3</v>
      </c>
      <c r="AD49" s="98">
        <f t="shared" si="20"/>
        <v>2.4900000000000002</v>
      </c>
      <c r="AF49" s="99">
        <f t="shared" ca="1" si="21"/>
        <v>572</v>
      </c>
      <c r="AG49" s="99">
        <f t="shared" ca="1" si="22"/>
        <v>571</v>
      </c>
      <c r="AH49" s="77">
        <f t="shared" si="67"/>
        <v>3.0346320792436401E-2</v>
      </c>
      <c r="AI49" s="154">
        <f t="shared" si="0"/>
        <v>31</v>
      </c>
      <c r="AJ49" s="101"/>
      <c r="AK49" s="101"/>
      <c r="AL49" s="101"/>
      <c r="AM49" s="101"/>
      <c r="AN49" s="78">
        <f t="shared" si="49"/>
        <v>31</v>
      </c>
      <c r="AO49" s="303">
        <f t="shared" si="50"/>
        <v>3.226</v>
      </c>
      <c r="AP49" s="75">
        <f t="shared" si="24"/>
        <v>100.006</v>
      </c>
      <c r="AQ49" s="102">
        <f t="shared" si="25"/>
        <v>100.006</v>
      </c>
      <c r="AR49" s="101">
        <f t="shared" ca="1" si="26"/>
        <v>1.1368631638307194</v>
      </c>
      <c r="AS49" s="101">
        <f t="shared" ca="1" si="51"/>
        <v>-0.53380395062895458</v>
      </c>
      <c r="AT49" s="101">
        <f t="shared" ca="1" si="27"/>
        <v>1.519580608153237E-2</v>
      </c>
      <c r="AU49" s="103">
        <f t="shared" ca="1" si="52"/>
        <v>35.242758078752303</v>
      </c>
      <c r="AV49" s="103">
        <f t="shared" ca="1" si="53"/>
        <v>-16.547922469497593</v>
      </c>
      <c r="AW49" s="103">
        <f t="shared" ca="1" si="54"/>
        <v>0.47106998852750348</v>
      </c>
      <c r="AY49" s="78">
        <f t="shared" si="28"/>
        <v>31</v>
      </c>
      <c r="AZ49" s="303">
        <f t="shared" si="55"/>
        <v>3.266</v>
      </c>
      <c r="BA49" s="75">
        <f t="shared" si="29"/>
        <v>100.006</v>
      </c>
      <c r="BB49" s="102">
        <f t="shared" si="30"/>
        <v>101.246</v>
      </c>
      <c r="BC49" s="101">
        <f t="shared" ca="1" si="31"/>
        <v>0.24887377418315693</v>
      </c>
      <c r="BD49" s="101">
        <f t="shared" ca="1" si="32"/>
        <v>-0.20591449231602213</v>
      </c>
      <c r="BE49" s="101">
        <f t="shared" ca="1" si="33"/>
        <v>1.1452005094019668E-2</v>
      </c>
      <c r="BF49" s="103">
        <f t="shared" ca="1" si="56"/>
        <v>7.7150869996778644</v>
      </c>
      <c r="BG49" s="103">
        <f t="shared" ca="1" si="57"/>
        <v>-6.3833492617966856</v>
      </c>
      <c r="BH49" s="103">
        <f t="shared" ca="1" si="58"/>
        <v>0.35501215791460972</v>
      </c>
      <c r="BJ49" s="78">
        <f t="shared" si="34"/>
        <v>31</v>
      </c>
      <c r="BK49" s="303">
        <f t="shared" si="59"/>
        <v>3.266</v>
      </c>
      <c r="BL49" s="75">
        <f t="shared" si="35"/>
        <v>100.006</v>
      </c>
      <c r="BM49" s="102">
        <f t="shared" si="36"/>
        <v>101.246</v>
      </c>
      <c r="BN49" s="101">
        <f t="shared" ca="1" si="37"/>
        <v>0.24887377418315693</v>
      </c>
      <c r="BO49" s="101">
        <f t="shared" ca="1" si="38"/>
        <v>-0.20591449231602213</v>
      </c>
      <c r="BP49" s="101">
        <f t="shared" ca="1" si="39"/>
        <v>1.1452005094019668E-2</v>
      </c>
      <c r="BQ49" s="103">
        <f t="shared" ca="1" si="60"/>
        <v>7.7150869996778644</v>
      </c>
      <c r="BR49" s="103">
        <f t="shared" ca="1" si="61"/>
        <v>-6.3833492617966856</v>
      </c>
      <c r="BS49" s="103">
        <f t="shared" ca="1" si="62"/>
        <v>0.35501215791460972</v>
      </c>
      <c r="BU49" s="78">
        <f t="shared" si="40"/>
        <v>31</v>
      </c>
      <c r="BV49" s="303">
        <f t="shared" si="63"/>
        <v>3.266</v>
      </c>
      <c r="BW49" s="75">
        <f t="shared" si="41"/>
        <v>100.006</v>
      </c>
      <c r="BX49" s="102">
        <f t="shared" si="42"/>
        <v>101.246</v>
      </c>
      <c r="BY49" s="101">
        <f t="shared" ca="1" si="43"/>
        <v>0.24515749549121413</v>
      </c>
      <c r="BZ49" s="101">
        <f t="shared" ca="1" si="44"/>
        <v>-0.20366310920187508</v>
      </c>
      <c r="CA49" s="101">
        <f t="shared" ca="1" si="45"/>
        <v>1.1380320362273322E-2</v>
      </c>
      <c r="CB49" s="103">
        <f t="shared" ca="1" si="64"/>
        <v>7.599882360227638</v>
      </c>
      <c r="CC49" s="103">
        <f t="shared" ca="1" si="65"/>
        <v>-6.3135563852581278</v>
      </c>
      <c r="CD49" s="103">
        <f t="shared" ca="1" si="66"/>
        <v>0.35278993123047298</v>
      </c>
    </row>
    <row r="50" spans="1:82" x14ac:dyDescent="0.2">
      <c r="A50" s="96">
        <f t="shared" si="46"/>
        <v>37865</v>
      </c>
      <c r="B50" s="97">
        <f t="shared" si="47"/>
        <v>3.2290000000000001</v>
      </c>
      <c r="C50" s="77">
        <f t="shared" si="48"/>
        <v>0.4</v>
      </c>
      <c r="D50" s="97">
        <f t="shared" si="1"/>
        <v>0</v>
      </c>
      <c r="E50" s="100">
        <f t="shared" si="2"/>
        <v>1</v>
      </c>
      <c r="F50" s="99">
        <f t="shared" ca="1" si="3"/>
        <v>600</v>
      </c>
      <c r="G50" s="77">
        <f t="shared" si="4"/>
        <v>0.41271000000000002</v>
      </c>
      <c r="H50" s="77">
        <f>IF(B$16=1,_xll.xCalcSkew(A50,I50-AO50,b)/100,0)</f>
        <v>1.2709999999999999E-2</v>
      </c>
      <c r="I50" s="98">
        <f t="shared" si="5"/>
        <v>4</v>
      </c>
      <c r="K50" s="97">
        <f t="shared" si="6"/>
        <v>3.2500000000000001E-2</v>
      </c>
      <c r="L50" s="100">
        <f t="shared" si="7"/>
        <v>1</v>
      </c>
      <c r="M50" s="99">
        <f t="shared" ca="1" si="8"/>
        <v>601</v>
      </c>
      <c r="N50" s="175">
        <f t="shared" si="9"/>
        <v>0.39245400000000003</v>
      </c>
      <c r="O50" s="77">
        <f>IF(D$16=1,_xll.xCalcSkew($A50,P50-AZ50,b)/100,0)</f>
        <v>-7.5460000000000015E-3</v>
      </c>
      <c r="P50" s="98">
        <f t="shared" si="10"/>
        <v>2.5</v>
      </c>
      <c r="R50" s="97">
        <f t="shared" si="11"/>
        <v>3.2500000000000001E-2</v>
      </c>
      <c r="S50" s="100">
        <f t="shared" si="12"/>
        <v>1</v>
      </c>
      <c r="T50" s="99">
        <f t="shared" ca="1" si="13"/>
        <v>601</v>
      </c>
      <c r="U50" s="175">
        <f t="shared" si="14"/>
        <v>0.39245400000000003</v>
      </c>
      <c r="V50" s="77">
        <f>IF(F$16=1,_xll.xCalcSkew($A50,W50-BK50,b)/100,0)</f>
        <v>-7.5460000000000015E-3</v>
      </c>
      <c r="W50" s="98">
        <f t="shared" si="15"/>
        <v>2.5</v>
      </c>
      <c r="X50" s="99"/>
      <c r="Y50" s="97">
        <f t="shared" si="16"/>
        <v>3.2500000000000001E-2</v>
      </c>
      <c r="Z50" s="100">
        <f t="shared" si="17"/>
        <v>1</v>
      </c>
      <c r="AA50" s="99">
        <f t="shared" ca="1" si="18"/>
        <v>601</v>
      </c>
      <c r="AB50" s="77">
        <f t="shared" si="19"/>
        <v>0.39241400000000004</v>
      </c>
      <c r="AC50" s="77">
        <f>IF(H$16=1,_xll.xCalcSkew($A50,AD50-BV50,b)/100,0)</f>
        <v>-7.5860000000000007E-3</v>
      </c>
      <c r="AD50" s="98">
        <f t="shared" si="20"/>
        <v>2.4900000000000002</v>
      </c>
      <c r="AF50" s="99">
        <f t="shared" ca="1" si="21"/>
        <v>601</v>
      </c>
      <c r="AG50" s="99">
        <f t="shared" ca="1" si="22"/>
        <v>600</v>
      </c>
      <c r="AH50" s="77">
        <f t="shared" si="67"/>
        <v>3.1172188637070199E-2</v>
      </c>
      <c r="AI50" s="154">
        <f t="shared" si="0"/>
        <v>30</v>
      </c>
      <c r="AJ50" s="101"/>
      <c r="AK50" s="101"/>
      <c r="AL50" s="101"/>
      <c r="AM50" s="101"/>
      <c r="AN50" s="78">
        <f t="shared" si="49"/>
        <v>30</v>
      </c>
      <c r="AO50" s="303">
        <f t="shared" si="50"/>
        <v>3.2290000000000001</v>
      </c>
      <c r="AP50" s="75">
        <f t="shared" si="24"/>
        <v>96.87</v>
      </c>
      <c r="AQ50" s="102">
        <f t="shared" si="25"/>
        <v>96.87</v>
      </c>
      <c r="AR50" s="101">
        <f t="shared" ca="1" si="26"/>
        <v>1.1390527611900592</v>
      </c>
      <c r="AS50" s="101">
        <f t="shared" ca="1" si="51"/>
        <v>-0.5279481941362123</v>
      </c>
      <c r="AT50" s="101">
        <f t="shared" ca="1" si="27"/>
        <v>1.5554751267258693E-2</v>
      </c>
      <c r="AU50" s="103">
        <f t="shared" ca="1" si="52"/>
        <v>34.171582835701777</v>
      </c>
      <c r="AV50" s="103">
        <f t="shared" ca="1" si="53"/>
        <v>-15.838445824086369</v>
      </c>
      <c r="AW50" s="103">
        <f t="shared" ca="1" si="54"/>
        <v>0.46664253801776079</v>
      </c>
      <c r="AY50" s="78">
        <f t="shared" si="28"/>
        <v>30</v>
      </c>
      <c r="AZ50" s="303">
        <f t="shared" si="55"/>
        <v>3.2615000000000003</v>
      </c>
      <c r="BA50" s="75">
        <f t="shared" si="29"/>
        <v>96.87</v>
      </c>
      <c r="BB50" s="102">
        <f t="shared" si="30"/>
        <v>97.845000000000013</v>
      </c>
      <c r="BC50" s="101">
        <f t="shared" ca="1" si="31"/>
        <v>0.25438457454998986</v>
      </c>
      <c r="BD50" s="101">
        <f t="shared" ca="1" si="32"/>
        <v>-0.20686188079739221</v>
      </c>
      <c r="BE50" s="101">
        <f t="shared" ca="1" si="33"/>
        <v>1.1733749180873998E-2</v>
      </c>
      <c r="BF50" s="103">
        <f t="shared" ca="1" si="56"/>
        <v>7.6315372364996961</v>
      </c>
      <c r="BG50" s="103">
        <f t="shared" ca="1" si="57"/>
        <v>-6.205856423921766</v>
      </c>
      <c r="BH50" s="103">
        <f t="shared" ca="1" si="58"/>
        <v>0.35201247542621994</v>
      </c>
      <c r="BJ50" s="78">
        <f t="shared" si="34"/>
        <v>30</v>
      </c>
      <c r="BK50" s="303">
        <f t="shared" si="59"/>
        <v>3.2615000000000003</v>
      </c>
      <c r="BL50" s="75">
        <f t="shared" si="35"/>
        <v>96.87</v>
      </c>
      <c r="BM50" s="102">
        <f t="shared" si="36"/>
        <v>97.845000000000013</v>
      </c>
      <c r="BN50" s="101">
        <f t="shared" ca="1" si="37"/>
        <v>0.25438457454998986</v>
      </c>
      <c r="BO50" s="101">
        <f t="shared" ca="1" si="38"/>
        <v>-0.20686188079739221</v>
      </c>
      <c r="BP50" s="101">
        <f t="shared" ca="1" si="39"/>
        <v>1.1733749180873998E-2</v>
      </c>
      <c r="BQ50" s="103">
        <f t="shared" ca="1" si="60"/>
        <v>7.6315372364996961</v>
      </c>
      <c r="BR50" s="103">
        <f t="shared" ca="1" si="61"/>
        <v>-6.205856423921766</v>
      </c>
      <c r="BS50" s="103">
        <f t="shared" ca="1" si="62"/>
        <v>0.35201247542621994</v>
      </c>
      <c r="BU50" s="78">
        <f t="shared" si="40"/>
        <v>30</v>
      </c>
      <c r="BV50" s="303">
        <f t="shared" si="63"/>
        <v>3.2615000000000003</v>
      </c>
      <c r="BW50" s="75">
        <f t="shared" si="41"/>
        <v>96.87</v>
      </c>
      <c r="BX50" s="102">
        <f t="shared" si="42"/>
        <v>97.845000000000013</v>
      </c>
      <c r="BY50" s="101">
        <f t="shared" ca="1" si="43"/>
        <v>0.25063629317178759</v>
      </c>
      <c r="BZ50" s="101">
        <f t="shared" ca="1" si="44"/>
        <v>-0.20463524247372195</v>
      </c>
      <c r="CA50" s="101">
        <f t="shared" ca="1" si="45"/>
        <v>1.1661760782949449E-2</v>
      </c>
      <c r="CB50" s="103">
        <f t="shared" ca="1" si="64"/>
        <v>7.5190887951536283</v>
      </c>
      <c r="CC50" s="103">
        <f t="shared" ca="1" si="65"/>
        <v>-6.139057274211658</v>
      </c>
      <c r="CD50" s="103">
        <f t="shared" ca="1" si="66"/>
        <v>0.34985282348848346</v>
      </c>
    </row>
    <row r="51" spans="1:82" x14ac:dyDescent="0.2">
      <c r="A51" s="96">
        <f t="shared" si="46"/>
        <v>37895</v>
      </c>
      <c r="B51" s="97">
        <f t="shared" si="47"/>
        <v>3.2669999999999999</v>
      </c>
      <c r="C51" s="77">
        <f t="shared" si="48"/>
        <v>0.4</v>
      </c>
      <c r="D51" s="97">
        <f t="shared" si="1"/>
        <v>0</v>
      </c>
      <c r="E51" s="100">
        <f t="shared" si="2"/>
        <v>1</v>
      </c>
      <c r="F51" s="99">
        <f t="shared" ca="1" si="3"/>
        <v>630</v>
      </c>
      <c r="G51" s="77">
        <f t="shared" si="4"/>
        <v>0.41233000000000003</v>
      </c>
      <c r="H51" s="77">
        <f>IF(B$16=1,_xll.xCalcSkew(A51,I51-AO51,b)/100,0)</f>
        <v>1.2330000000000001E-2</v>
      </c>
      <c r="I51" s="98">
        <f t="shared" si="5"/>
        <v>4</v>
      </c>
      <c r="K51" s="97">
        <f t="shared" si="6"/>
        <v>2.2499999999999999E-2</v>
      </c>
      <c r="L51" s="100">
        <f t="shared" si="7"/>
        <v>1</v>
      </c>
      <c r="M51" s="99">
        <f t="shared" ca="1" si="8"/>
        <v>631</v>
      </c>
      <c r="N51" s="175">
        <f t="shared" si="9"/>
        <v>0.39234200000000002</v>
      </c>
      <c r="O51" s="77">
        <f>IF(D$16=1,_xll.xCalcSkew($A51,P51-AZ51,b)/100,0)</f>
        <v>-7.657999999999999E-3</v>
      </c>
      <c r="P51" s="98">
        <f t="shared" si="10"/>
        <v>2.5</v>
      </c>
      <c r="R51" s="97">
        <f t="shared" si="11"/>
        <v>2.2499999999999999E-2</v>
      </c>
      <c r="S51" s="100">
        <f t="shared" si="12"/>
        <v>1</v>
      </c>
      <c r="T51" s="99">
        <f t="shared" ca="1" si="13"/>
        <v>631</v>
      </c>
      <c r="U51" s="175">
        <f t="shared" si="14"/>
        <v>0.39234200000000002</v>
      </c>
      <c r="V51" s="77">
        <f>IF(F$16=1,_xll.xCalcSkew($A51,W51-BK51,b)/100,0)</f>
        <v>-7.657999999999999E-3</v>
      </c>
      <c r="W51" s="98">
        <f t="shared" si="15"/>
        <v>2.5</v>
      </c>
      <c r="X51" s="99"/>
      <c r="Y51" s="97">
        <f t="shared" si="16"/>
        <v>2.2499999999999999E-2</v>
      </c>
      <c r="Z51" s="100">
        <f t="shared" si="17"/>
        <v>1</v>
      </c>
      <c r="AA51" s="99">
        <f t="shared" ca="1" si="18"/>
        <v>631</v>
      </c>
      <c r="AB51" s="77">
        <f t="shared" si="19"/>
        <v>0.39230200000000004</v>
      </c>
      <c r="AC51" s="77">
        <f>IF(H$16=1,_xll.xCalcSkew($A51,AD51-BV51,b)/100,0)</f>
        <v>-7.6979999999999982E-3</v>
      </c>
      <c r="AD51" s="98">
        <f t="shared" si="20"/>
        <v>2.4900000000000002</v>
      </c>
      <c r="AF51" s="99">
        <f t="shared" ca="1" si="21"/>
        <v>631</v>
      </c>
      <c r="AG51" s="99">
        <f t="shared" ca="1" si="22"/>
        <v>630</v>
      </c>
      <c r="AH51" s="77">
        <f t="shared" si="67"/>
        <v>3.1942240182241101E-2</v>
      </c>
      <c r="AI51" s="154">
        <f t="shared" si="0"/>
        <v>31</v>
      </c>
      <c r="AJ51" s="101"/>
      <c r="AK51" s="101"/>
      <c r="AL51" s="101"/>
      <c r="AM51" s="101"/>
      <c r="AN51" s="78">
        <f t="shared" si="49"/>
        <v>31</v>
      </c>
      <c r="AO51" s="303">
        <f t="shared" si="50"/>
        <v>3.2669999999999999</v>
      </c>
      <c r="AP51" s="75">
        <f t="shared" si="24"/>
        <v>101.277</v>
      </c>
      <c r="AQ51" s="102">
        <f t="shared" si="25"/>
        <v>101.277</v>
      </c>
      <c r="AR51" s="101">
        <f t="shared" ca="1" si="26"/>
        <v>1.1302104350633113</v>
      </c>
      <c r="AS51" s="101">
        <f t="shared" ca="1" si="51"/>
        <v>-0.5119312338336528</v>
      </c>
      <c r="AT51" s="101">
        <f t="shared" ca="1" si="27"/>
        <v>1.6131464223349212E-2</v>
      </c>
      <c r="AU51" s="103">
        <f t="shared" ca="1" si="52"/>
        <v>35.036523486962651</v>
      </c>
      <c r="AV51" s="103">
        <f t="shared" ca="1" si="53"/>
        <v>-15.869868248843236</v>
      </c>
      <c r="AW51" s="103">
        <f t="shared" ca="1" si="54"/>
        <v>0.50007539092382558</v>
      </c>
      <c r="AY51" s="78">
        <f t="shared" si="28"/>
        <v>31</v>
      </c>
      <c r="AZ51" s="303">
        <f t="shared" si="55"/>
        <v>3.2894999999999999</v>
      </c>
      <c r="BA51" s="75">
        <f t="shared" si="29"/>
        <v>101.277</v>
      </c>
      <c r="BB51" s="102">
        <f t="shared" si="30"/>
        <v>101.97449999999999</v>
      </c>
      <c r="BC51" s="101">
        <f t="shared" ca="1" si="31"/>
        <v>0.25881488959059928</v>
      </c>
      <c r="BD51" s="101">
        <f t="shared" ca="1" si="32"/>
        <v>-0.20324269831388561</v>
      </c>
      <c r="BE51" s="101">
        <f t="shared" ca="1" si="33"/>
        <v>1.1983474891417378E-2</v>
      </c>
      <c r="BF51" s="103">
        <f t="shared" ca="1" si="56"/>
        <v>8.0232615773085776</v>
      </c>
      <c r="BG51" s="103">
        <f t="shared" ca="1" si="57"/>
        <v>-6.3005236477304543</v>
      </c>
      <c r="BH51" s="103">
        <f t="shared" ca="1" si="58"/>
        <v>0.37148772163393873</v>
      </c>
      <c r="BJ51" s="78">
        <f t="shared" si="34"/>
        <v>31</v>
      </c>
      <c r="BK51" s="303">
        <f t="shared" si="59"/>
        <v>3.2894999999999999</v>
      </c>
      <c r="BL51" s="75">
        <f t="shared" si="35"/>
        <v>101.277</v>
      </c>
      <c r="BM51" s="102">
        <f t="shared" si="36"/>
        <v>101.97449999999999</v>
      </c>
      <c r="BN51" s="101">
        <f t="shared" ca="1" si="37"/>
        <v>0.25881488959059928</v>
      </c>
      <c r="BO51" s="101">
        <f t="shared" ca="1" si="38"/>
        <v>-0.20324269831388561</v>
      </c>
      <c r="BP51" s="101">
        <f t="shared" ca="1" si="39"/>
        <v>1.1983474891417378E-2</v>
      </c>
      <c r="BQ51" s="103">
        <f t="shared" ca="1" si="60"/>
        <v>8.0232615773085776</v>
      </c>
      <c r="BR51" s="103">
        <f t="shared" ca="1" si="61"/>
        <v>-6.3005236477304543</v>
      </c>
      <c r="BS51" s="103">
        <f t="shared" ca="1" si="62"/>
        <v>0.37148772163393873</v>
      </c>
      <c r="BU51" s="78">
        <f t="shared" si="40"/>
        <v>31</v>
      </c>
      <c r="BV51" s="303">
        <f t="shared" si="63"/>
        <v>3.2894999999999999</v>
      </c>
      <c r="BW51" s="75">
        <f t="shared" si="41"/>
        <v>101.277</v>
      </c>
      <c r="BX51" s="102">
        <f t="shared" si="42"/>
        <v>101.97449999999999</v>
      </c>
      <c r="BY51" s="101">
        <f t="shared" ca="1" si="43"/>
        <v>0.25507195535302896</v>
      </c>
      <c r="BZ51" s="101">
        <f t="shared" ca="1" si="44"/>
        <v>-0.20109443668914401</v>
      </c>
      <c r="CA51" s="101">
        <f t="shared" ca="1" si="45"/>
        <v>1.191076940581004E-2</v>
      </c>
      <c r="CB51" s="103">
        <f t="shared" ca="1" si="64"/>
        <v>7.9072306159438979</v>
      </c>
      <c r="CC51" s="103">
        <f t="shared" ca="1" si="65"/>
        <v>-6.2339275373634644</v>
      </c>
      <c r="CD51" s="103">
        <f t="shared" ca="1" si="66"/>
        <v>0.36923385158011124</v>
      </c>
    </row>
    <row r="52" spans="1:82" x14ac:dyDescent="0.2">
      <c r="A52" s="96">
        <f t="shared" si="46"/>
        <v>37926</v>
      </c>
      <c r="B52" s="97">
        <f t="shared" si="47"/>
        <v>3.4119999999999999</v>
      </c>
      <c r="C52" s="77">
        <f t="shared" si="48"/>
        <v>0.39800000000000002</v>
      </c>
      <c r="D52" s="97">
        <f t="shared" si="1"/>
        <v>0</v>
      </c>
      <c r="E52" s="100">
        <f t="shared" si="2"/>
        <v>1</v>
      </c>
      <c r="F52" s="99">
        <f t="shared" ca="1" si="3"/>
        <v>663</v>
      </c>
      <c r="G52" s="77">
        <f t="shared" si="4"/>
        <v>0.40888000000000002</v>
      </c>
      <c r="H52" s="77">
        <f>IF(B$16=1,_xll.xCalcSkew(A52,I52-AO52,b)/100,0)</f>
        <v>1.0880000000000001E-2</v>
      </c>
      <c r="I52" s="98">
        <f t="shared" si="5"/>
        <v>4</v>
      </c>
      <c r="K52" s="97">
        <f t="shared" si="6"/>
        <v>-2.5000000000000001E-2</v>
      </c>
      <c r="L52" s="100">
        <f t="shared" si="7"/>
        <v>1</v>
      </c>
      <c r="M52" s="99">
        <f t="shared" ca="1" si="8"/>
        <v>664</v>
      </c>
      <c r="N52" s="175">
        <f t="shared" si="9"/>
        <v>0.38995200000000002</v>
      </c>
      <c r="O52" s="77">
        <f>IF(D$16=1,_xll.xCalcSkew($A52,P52-AZ52,b)/100,0)</f>
        <v>-8.0479999999999996E-3</v>
      </c>
      <c r="P52" s="98">
        <f t="shared" si="10"/>
        <v>2.5</v>
      </c>
      <c r="R52" s="97">
        <f t="shared" si="11"/>
        <v>-2.5000000000000001E-2</v>
      </c>
      <c r="S52" s="100">
        <f t="shared" si="12"/>
        <v>1</v>
      </c>
      <c r="T52" s="99">
        <f t="shared" ca="1" si="13"/>
        <v>664</v>
      </c>
      <c r="U52" s="175">
        <f t="shared" si="14"/>
        <v>0.38995200000000002</v>
      </c>
      <c r="V52" s="77">
        <f>IF(F$16=1,_xll.xCalcSkew($A52,W52-BK52,b)/100,0)</f>
        <v>-8.0479999999999996E-3</v>
      </c>
      <c r="W52" s="98">
        <f t="shared" si="15"/>
        <v>2.5</v>
      </c>
      <c r="X52" s="99"/>
      <c r="Y52" s="97">
        <f t="shared" si="16"/>
        <v>-2.5000000000000001E-2</v>
      </c>
      <c r="Z52" s="100">
        <f t="shared" si="17"/>
        <v>1</v>
      </c>
      <c r="AA52" s="99">
        <f t="shared" ca="1" si="18"/>
        <v>664</v>
      </c>
      <c r="AB52" s="77">
        <f t="shared" si="19"/>
        <v>0.38991200000000004</v>
      </c>
      <c r="AC52" s="77">
        <f>IF(H$16=1,_xll.xCalcSkew($A52,AD52-BV52,b)/100,0)</f>
        <v>-8.0879999999999997E-3</v>
      </c>
      <c r="AD52" s="98">
        <f t="shared" si="20"/>
        <v>2.4900000000000002</v>
      </c>
      <c r="AF52" s="99">
        <f t="shared" ca="1" si="21"/>
        <v>664</v>
      </c>
      <c r="AG52" s="99">
        <f t="shared" ca="1" si="22"/>
        <v>663</v>
      </c>
      <c r="AH52" s="77">
        <f t="shared" si="67"/>
        <v>3.2701454698897098E-2</v>
      </c>
      <c r="AI52" s="154">
        <f t="shared" si="0"/>
        <v>30</v>
      </c>
      <c r="AJ52" s="101"/>
      <c r="AK52" s="101"/>
      <c r="AL52" s="101"/>
      <c r="AM52" s="101"/>
      <c r="AN52" s="78">
        <f t="shared" si="49"/>
        <v>30</v>
      </c>
      <c r="AO52" s="303">
        <f t="shared" si="50"/>
        <v>3.4119999999999999</v>
      </c>
      <c r="AP52" s="75">
        <f t="shared" si="24"/>
        <v>102.36</v>
      </c>
      <c r="AQ52" s="102">
        <f t="shared" si="25"/>
        <v>102.36</v>
      </c>
      <c r="AR52" s="101">
        <f t="shared" ca="1" si="26"/>
        <v>1.0656787166998281</v>
      </c>
      <c r="AS52" s="101">
        <f t="shared" ca="1" si="51"/>
        <v>-0.47605010686397004</v>
      </c>
      <c r="AT52" s="101">
        <f t="shared" ca="1" si="27"/>
        <v>1.7287243887131876E-2</v>
      </c>
      <c r="AU52" s="103">
        <f t="shared" ca="1" si="52"/>
        <v>31.970361500994841</v>
      </c>
      <c r="AV52" s="103">
        <f t="shared" ca="1" si="53"/>
        <v>-14.281503205919101</v>
      </c>
      <c r="AW52" s="103">
        <f t="shared" ca="1" si="54"/>
        <v>0.51861731661395627</v>
      </c>
      <c r="AY52" s="78">
        <f t="shared" si="28"/>
        <v>30</v>
      </c>
      <c r="AZ52" s="303">
        <f t="shared" si="55"/>
        <v>3.387</v>
      </c>
      <c r="BA52" s="75">
        <f t="shared" si="29"/>
        <v>102.36</v>
      </c>
      <c r="BB52" s="102">
        <f t="shared" si="30"/>
        <v>101.61</v>
      </c>
      <c r="BC52" s="101">
        <f t="shared" ca="1" si="31"/>
        <v>0.24773737555190778</v>
      </c>
      <c r="BD52" s="101">
        <f t="shared" ca="1" si="32"/>
        <v>-0.18879479610446498</v>
      </c>
      <c r="BE52" s="101">
        <f t="shared" ca="1" si="33"/>
        <v>1.2103681314620474E-2</v>
      </c>
      <c r="BF52" s="103">
        <f t="shared" ca="1" si="56"/>
        <v>7.4321212665572336</v>
      </c>
      <c r="BG52" s="103">
        <f t="shared" ca="1" si="57"/>
        <v>-5.663843883133949</v>
      </c>
      <c r="BH52" s="103">
        <f t="shared" ca="1" si="58"/>
        <v>0.36311043943861421</v>
      </c>
      <c r="BJ52" s="78">
        <f t="shared" si="34"/>
        <v>30</v>
      </c>
      <c r="BK52" s="303">
        <f t="shared" si="59"/>
        <v>3.387</v>
      </c>
      <c r="BL52" s="75">
        <f t="shared" si="35"/>
        <v>102.36</v>
      </c>
      <c r="BM52" s="102">
        <f t="shared" si="36"/>
        <v>101.61</v>
      </c>
      <c r="BN52" s="101">
        <f t="shared" ca="1" si="37"/>
        <v>0.24773737555190778</v>
      </c>
      <c r="BO52" s="101">
        <f t="shared" ca="1" si="38"/>
        <v>-0.18879479610446498</v>
      </c>
      <c r="BP52" s="101">
        <f t="shared" ca="1" si="39"/>
        <v>1.2103681314620474E-2</v>
      </c>
      <c r="BQ52" s="103">
        <f t="shared" ca="1" si="60"/>
        <v>7.4321212665572336</v>
      </c>
      <c r="BR52" s="103">
        <f t="shared" ca="1" si="61"/>
        <v>-5.663843883133949</v>
      </c>
      <c r="BS52" s="103">
        <f t="shared" ca="1" si="62"/>
        <v>0.36311043943861421</v>
      </c>
      <c r="BU52" s="78">
        <f t="shared" si="40"/>
        <v>30</v>
      </c>
      <c r="BV52" s="303">
        <f t="shared" si="63"/>
        <v>3.387</v>
      </c>
      <c r="BW52" s="75">
        <f t="shared" si="41"/>
        <v>102.36</v>
      </c>
      <c r="BX52" s="102">
        <f t="shared" si="42"/>
        <v>101.61</v>
      </c>
      <c r="BY52" s="101">
        <f t="shared" ca="1" si="43"/>
        <v>0.24415429199328353</v>
      </c>
      <c r="BZ52" s="101">
        <f t="shared" ca="1" si="44"/>
        <v>-0.18678013599457088</v>
      </c>
      <c r="CA52" s="101">
        <f t="shared" ca="1" si="45"/>
        <v>1.2027088757031734E-2</v>
      </c>
      <c r="CB52" s="103">
        <f t="shared" ca="1" si="64"/>
        <v>7.3246287597985056</v>
      </c>
      <c r="CC52" s="103">
        <f t="shared" ca="1" si="65"/>
        <v>-5.6034040798371265</v>
      </c>
      <c r="CD52" s="103">
        <f t="shared" ca="1" si="66"/>
        <v>0.36081266271095203</v>
      </c>
    </row>
    <row r="53" spans="1:82" x14ac:dyDescent="0.2">
      <c r="A53" s="96">
        <f t="shared" si="46"/>
        <v>37956</v>
      </c>
      <c r="B53" s="97">
        <f t="shared" si="47"/>
        <v>3.5510000000000002</v>
      </c>
      <c r="C53" s="77">
        <f t="shared" si="48"/>
        <v>0.39800000000000002</v>
      </c>
      <c r="D53" s="97">
        <f t="shared" si="1"/>
        <v>0</v>
      </c>
      <c r="E53" s="100">
        <f t="shared" si="2"/>
        <v>1</v>
      </c>
      <c r="F53" s="99">
        <f t="shared" ca="1" si="3"/>
        <v>690</v>
      </c>
      <c r="G53" s="77">
        <f t="shared" si="4"/>
        <v>0.40698000000000001</v>
      </c>
      <c r="H53" s="77">
        <f>IF(B$16=1,_xll.xCalcSkew(A53,I53-AO53,b)/100,0)</f>
        <v>8.9799999999999967E-3</v>
      </c>
      <c r="I53" s="98">
        <f t="shared" si="5"/>
        <v>4</v>
      </c>
      <c r="K53" s="97">
        <f t="shared" si="6"/>
        <v>-4.7500000000000001E-2</v>
      </c>
      <c r="L53" s="100">
        <f t="shared" si="7"/>
        <v>1</v>
      </c>
      <c r="M53" s="99">
        <f t="shared" ca="1" si="8"/>
        <v>691</v>
      </c>
      <c r="N53" s="175">
        <f t="shared" si="9"/>
        <v>0.38951400000000003</v>
      </c>
      <c r="O53" s="77">
        <f>IF(D$16=1,_xll.xCalcSkew($A53,P53-AZ53,b)/100,0)</f>
        <v>-8.4859999999999988E-3</v>
      </c>
      <c r="P53" s="98">
        <f t="shared" si="10"/>
        <v>2.5</v>
      </c>
      <c r="R53" s="97">
        <f t="shared" si="11"/>
        <v>-4.7500000000000001E-2</v>
      </c>
      <c r="S53" s="100">
        <f t="shared" si="12"/>
        <v>1</v>
      </c>
      <c r="T53" s="99">
        <f t="shared" ca="1" si="13"/>
        <v>691</v>
      </c>
      <c r="U53" s="175">
        <f t="shared" si="14"/>
        <v>0.38951400000000003</v>
      </c>
      <c r="V53" s="77">
        <f>IF(F$16=1,_xll.xCalcSkew($A53,W53-BK53,b)/100,0)</f>
        <v>-8.4859999999999988E-3</v>
      </c>
      <c r="W53" s="98">
        <f t="shared" si="15"/>
        <v>2.5</v>
      </c>
      <c r="X53" s="99"/>
      <c r="Y53" s="97">
        <f t="shared" si="16"/>
        <v>-4.7500000000000001E-2</v>
      </c>
      <c r="Z53" s="100">
        <f t="shared" si="17"/>
        <v>1</v>
      </c>
      <c r="AA53" s="99">
        <f t="shared" ca="1" si="18"/>
        <v>691</v>
      </c>
      <c r="AB53" s="77">
        <f t="shared" si="19"/>
        <v>0.38955400000000001</v>
      </c>
      <c r="AC53" s="77">
        <f>IF(H$16=1,_xll.xCalcSkew($A53,AD53-BV53,b)/100,0)</f>
        <v>-8.4459999999999986E-3</v>
      </c>
      <c r="AD53" s="98">
        <f t="shared" si="20"/>
        <v>2.4900000000000002</v>
      </c>
      <c r="AF53" s="99">
        <f t="shared" ca="1" si="21"/>
        <v>691</v>
      </c>
      <c r="AG53" s="99">
        <f t="shared" ca="1" si="22"/>
        <v>690</v>
      </c>
      <c r="AH53" s="77">
        <f t="shared" si="67"/>
        <v>3.3436178609494799E-2</v>
      </c>
      <c r="AI53" s="154">
        <f t="shared" si="0"/>
        <v>31</v>
      </c>
      <c r="AJ53" s="101"/>
      <c r="AK53" s="101"/>
      <c r="AL53" s="101"/>
      <c r="AM53" s="101"/>
      <c r="AN53" s="78">
        <f t="shared" si="49"/>
        <v>31</v>
      </c>
      <c r="AO53" s="303">
        <f t="shared" si="50"/>
        <v>3.5510000000000002</v>
      </c>
      <c r="AP53" s="75">
        <f t="shared" si="24"/>
        <v>110.081</v>
      </c>
      <c r="AQ53" s="102">
        <f t="shared" si="25"/>
        <v>110.081</v>
      </c>
      <c r="AR53" s="101">
        <f t="shared" ca="1" si="26"/>
        <v>1.008884469780351</v>
      </c>
      <c r="AS53" s="101">
        <f t="shared" ca="1" si="51"/>
        <v>-0.44430309926148881</v>
      </c>
      <c r="AT53" s="101">
        <f t="shared" ca="1" si="27"/>
        <v>1.8236041134186864E-2</v>
      </c>
      <c r="AU53" s="103">
        <f t="shared" ca="1" si="52"/>
        <v>31.275418563190879</v>
      </c>
      <c r="AV53" s="103">
        <f t="shared" ca="1" si="53"/>
        <v>-13.773396077106153</v>
      </c>
      <c r="AW53" s="103">
        <f t="shared" ca="1" si="54"/>
        <v>0.5653172751597928</v>
      </c>
      <c r="AY53" s="78">
        <f t="shared" si="28"/>
        <v>31</v>
      </c>
      <c r="AZ53" s="303">
        <f t="shared" si="55"/>
        <v>3.5035000000000003</v>
      </c>
      <c r="BA53" s="75">
        <f t="shared" si="29"/>
        <v>110.081</v>
      </c>
      <c r="BB53" s="102">
        <f t="shared" si="30"/>
        <v>108.60850000000001</v>
      </c>
      <c r="BC53" s="101">
        <f t="shared" ca="1" si="31"/>
        <v>0.23458532106405061</v>
      </c>
      <c r="BD53" s="101">
        <f t="shared" ca="1" si="32"/>
        <v>-0.17335834326119229</v>
      </c>
      <c r="BE53" s="101">
        <f t="shared" ca="1" si="33"/>
        <v>1.2114272530068249E-2</v>
      </c>
      <c r="BF53" s="103">
        <f t="shared" ca="1" si="56"/>
        <v>7.2721449529855686</v>
      </c>
      <c r="BG53" s="103">
        <f t="shared" ca="1" si="57"/>
        <v>-5.374108641096961</v>
      </c>
      <c r="BH53" s="103">
        <f t="shared" ca="1" si="58"/>
        <v>0.37554244843211571</v>
      </c>
      <c r="BJ53" s="78">
        <f t="shared" si="34"/>
        <v>31</v>
      </c>
      <c r="BK53" s="303">
        <f t="shared" si="59"/>
        <v>3.5035000000000003</v>
      </c>
      <c r="BL53" s="75">
        <f t="shared" si="35"/>
        <v>110.081</v>
      </c>
      <c r="BM53" s="102">
        <f t="shared" si="36"/>
        <v>108.60850000000001</v>
      </c>
      <c r="BN53" s="101">
        <f t="shared" ca="1" si="37"/>
        <v>0.23458532106405061</v>
      </c>
      <c r="BO53" s="101">
        <f t="shared" ca="1" si="38"/>
        <v>-0.17335834326119229</v>
      </c>
      <c r="BP53" s="101">
        <f t="shared" ca="1" si="39"/>
        <v>1.2114272530068249E-2</v>
      </c>
      <c r="BQ53" s="103">
        <f t="shared" ca="1" si="60"/>
        <v>7.2721449529855686</v>
      </c>
      <c r="BR53" s="103">
        <f t="shared" ca="1" si="61"/>
        <v>-5.374108641096961</v>
      </c>
      <c r="BS53" s="103">
        <f t="shared" ca="1" si="62"/>
        <v>0.37554244843211571</v>
      </c>
      <c r="BU53" s="78">
        <f t="shared" si="40"/>
        <v>31</v>
      </c>
      <c r="BV53" s="303">
        <f t="shared" si="63"/>
        <v>3.5035000000000003</v>
      </c>
      <c r="BW53" s="75">
        <f t="shared" si="41"/>
        <v>110.081</v>
      </c>
      <c r="BX53" s="102">
        <f t="shared" si="42"/>
        <v>108.60850000000001</v>
      </c>
      <c r="BY53" s="101">
        <f t="shared" ca="1" si="43"/>
        <v>0.23127855542366516</v>
      </c>
      <c r="BZ53" s="101">
        <f t="shared" ca="1" si="44"/>
        <v>-0.17150223778618284</v>
      </c>
      <c r="CA53" s="101">
        <f t="shared" ca="1" si="45"/>
        <v>1.2034708496321711E-2</v>
      </c>
      <c r="CB53" s="103">
        <f t="shared" ca="1" si="64"/>
        <v>7.16963521813362</v>
      </c>
      <c r="CC53" s="103">
        <f t="shared" ca="1" si="65"/>
        <v>-5.316569371371668</v>
      </c>
      <c r="CD53" s="103">
        <f t="shared" ca="1" si="66"/>
        <v>0.37307596338597304</v>
      </c>
    </row>
    <row r="54" spans="1:82" x14ac:dyDescent="0.2">
      <c r="A54" s="96">
        <f t="shared" si="46"/>
        <v>37987</v>
      </c>
      <c r="B54" s="97">
        <f t="shared" si="47"/>
        <v>3.57</v>
      </c>
      <c r="C54" s="77">
        <f t="shared" si="48"/>
        <v>0.37</v>
      </c>
      <c r="D54" s="97">
        <f t="shared" si="1"/>
        <v>0</v>
      </c>
      <c r="E54" s="100">
        <f t="shared" si="2"/>
        <v>1</v>
      </c>
      <c r="F54" s="99">
        <f t="shared" ca="1" si="3"/>
        <v>722</v>
      </c>
      <c r="G54" s="77" t="e">
        <f t="shared" si="4"/>
        <v>#DIV/0!</v>
      </c>
      <c r="H54" s="77" t="e">
        <f>IF(B$16=1,_xll.xCalcSkew(A54,I54-AO54,b)/100,0)</f>
        <v>#DIV/0!</v>
      </c>
      <c r="I54" s="98">
        <f t="shared" si="5"/>
        <v>4</v>
      </c>
      <c r="K54" s="97">
        <f t="shared" si="6"/>
        <v>-0.05</v>
      </c>
      <c r="L54" s="100">
        <f t="shared" si="7"/>
        <v>1</v>
      </c>
      <c r="M54" s="99">
        <f t="shared" ca="1" si="8"/>
        <v>725</v>
      </c>
      <c r="N54" s="175" t="e">
        <f t="shared" si="9"/>
        <v>#DIV/0!</v>
      </c>
      <c r="O54" s="77" t="e">
        <f>IF(D$16=1,_xll.xCalcSkew($A54,P54-AZ54,b)/100,0)</f>
        <v>#DIV/0!</v>
      </c>
      <c r="P54" s="98">
        <f t="shared" si="10"/>
        <v>2.5</v>
      </c>
      <c r="R54" s="97">
        <f t="shared" si="11"/>
        <v>-0.05</v>
      </c>
      <c r="S54" s="100">
        <f t="shared" si="12"/>
        <v>1</v>
      </c>
      <c r="T54" s="99">
        <f t="shared" ca="1" si="13"/>
        <v>725</v>
      </c>
      <c r="U54" s="175" t="e">
        <f t="shared" si="14"/>
        <v>#DIV/0!</v>
      </c>
      <c r="V54" s="77" t="e">
        <f>IF(F$16=1,_xll.xCalcSkew($A54,W54-BK54,b)/100,0)</f>
        <v>#DIV/0!</v>
      </c>
      <c r="W54" s="98">
        <f t="shared" si="15"/>
        <v>2.5</v>
      </c>
      <c r="X54" s="99"/>
      <c r="Y54" s="97">
        <f t="shared" si="16"/>
        <v>-0.05</v>
      </c>
      <c r="Z54" s="100">
        <f t="shared" si="17"/>
        <v>1</v>
      </c>
      <c r="AA54" s="99">
        <f t="shared" ca="1" si="18"/>
        <v>725</v>
      </c>
      <c r="AB54" s="77" t="e">
        <f t="shared" si="19"/>
        <v>#DIV/0!</v>
      </c>
      <c r="AC54" s="77" t="e">
        <f>IF(H$16=1,_xll.xCalcSkew($A54,AD54-BV54,b)/100,0)</f>
        <v>#DIV/0!</v>
      </c>
      <c r="AD54" s="98">
        <f t="shared" si="20"/>
        <v>2.4900000000000002</v>
      </c>
      <c r="AF54" s="99">
        <f t="shared" ca="1" si="21"/>
        <v>725</v>
      </c>
      <c r="AG54" s="99">
        <f t="shared" ca="1" si="22"/>
        <v>722</v>
      </c>
      <c r="AH54" s="77">
        <f t="shared" si="67"/>
        <v>3.4638956672782897E-2</v>
      </c>
      <c r="AI54" s="154">
        <f t="shared" si="0"/>
        <v>31</v>
      </c>
      <c r="AJ54" s="101"/>
      <c r="AK54" s="101"/>
      <c r="AL54" s="101"/>
      <c r="AM54" s="101"/>
      <c r="AN54" s="78">
        <f t="shared" si="49"/>
        <v>0</v>
      </c>
      <c r="AO54" s="303" t="e">
        <f t="shared" si="50"/>
        <v>#DIV/0!</v>
      </c>
      <c r="AP54" s="75">
        <f t="shared" si="24"/>
        <v>0</v>
      </c>
      <c r="AQ54" s="102">
        <f t="shared" si="25"/>
        <v>0</v>
      </c>
      <c r="AR54" s="101">
        <f t="shared" si="26"/>
        <v>0</v>
      </c>
      <c r="AS54" s="101">
        <f t="shared" si="51"/>
        <v>0</v>
      </c>
      <c r="AT54" s="101">
        <f t="shared" si="27"/>
        <v>0</v>
      </c>
      <c r="AU54" s="103">
        <f t="shared" si="52"/>
        <v>0</v>
      </c>
      <c r="AV54" s="103">
        <f t="shared" si="53"/>
        <v>0</v>
      </c>
      <c r="AW54" s="103">
        <f t="shared" si="54"/>
        <v>0</v>
      </c>
      <c r="AY54" s="78">
        <f t="shared" si="28"/>
        <v>0</v>
      </c>
      <c r="AZ54" s="303" t="e">
        <f t="shared" si="55"/>
        <v>#DIV/0!</v>
      </c>
      <c r="BA54" s="75">
        <f t="shared" si="29"/>
        <v>0</v>
      </c>
      <c r="BB54" s="102">
        <f t="shared" si="30"/>
        <v>0</v>
      </c>
      <c r="BC54" s="101">
        <f t="shared" si="31"/>
        <v>0</v>
      </c>
      <c r="BD54" s="101">
        <f t="shared" si="32"/>
        <v>0</v>
      </c>
      <c r="BE54" s="101">
        <f t="shared" si="33"/>
        <v>0</v>
      </c>
      <c r="BF54" s="103">
        <f t="shared" si="56"/>
        <v>0</v>
      </c>
      <c r="BG54" s="103">
        <f t="shared" si="57"/>
        <v>0</v>
      </c>
      <c r="BH54" s="103">
        <f t="shared" si="58"/>
        <v>0</v>
      </c>
      <c r="BJ54" s="78">
        <f t="shared" si="34"/>
        <v>0</v>
      </c>
      <c r="BK54" s="303" t="e">
        <f t="shared" si="59"/>
        <v>#DIV/0!</v>
      </c>
      <c r="BL54" s="75">
        <f t="shared" si="35"/>
        <v>0</v>
      </c>
      <c r="BM54" s="102">
        <f t="shared" si="36"/>
        <v>0</v>
      </c>
      <c r="BN54" s="101">
        <f t="shared" si="37"/>
        <v>0</v>
      </c>
      <c r="BO54" s="101">
        <f t="shared" si="38"/>
        <v>0</v>
      </c>
      <c r="BP54" s="101">
        <f t="shared" si="39"/>
        <v>0</v>
      </c>
      <c r="BQ54" s="103">
        <f t="shared" si="60"/>
        <v>0</v>
      </c>
      <c r="BR54" s="103">
        <f t="shared" si="61"/>
        <v>0</v>
      </c>
      <c r="BS54" s="103">
        <f t="shared" si="62"/>
        <v>0</v>
      </c>
      <c r="BU54" s="78">
        <f t="shared" si="40"/>
        <v>0</v>
      </c>
      <c r="BV54" s="303" t="e">
        <f t="shared" si="63"/>
        <v>#DIV/0!</v>
      </c>
      <c r="BW54" s="75">
        <f t="shared" si="41"/>
        <v>0</v>
      </c>
      <c r="BX54" s="102">
        <f t="shared" si="42"/>
        <v>0</v>
      </c>
      <c r="BY54" s="101">
        <f t="shared" si="43"/>
        <v>0</v>
      </c>
      <c r="BZ54" s="101">
        <f t="shared" si="44"/>
        <v>0</v>
      </c>
      <c r="CA54" s="101">
        <f t="shared" si="45"/>
        <v>0</v>
      </c>
      <c r="CB54" s="103">
        <f t="shared" si="64"/>
        <v>0</v>
      </c>
      <c r="CC54" s="103">
        <f t="shared" si="65"/>
        <v>0</v>
      </c>
      <c r="CD54" s="103">
        <f t="shared" si="66"/>
        <v>0</v>
      </c>
    </row>
    <row r="55" spans="1:82" x14ac:dyDescent="0.2">
      <c r="A55" s="96">
        <f t="shared" si="46"/>
        <v>38018</v>
      </c>
      <c r="B55" s="97">
        <f t="shared" si="47"/>
        <v>3.4849999999999999</v>
      </c>
      <c r="C55" s="77">
        <f t="shared" si="48"/>
        <v>0.36499999999999999</v>
      </c>
      <c r="D55" s="97">
        <f t="shared" si="1"/>
        <v>0</v>
      </c>
      <c r="E55" s="100">
        <f t="shared" si="2"/>
        <v>1</v>
      </c>
      <c r="F55" s="99">
        <f t="shared" ca="1" si="3"/>
        <v>754</v>
      </c>
      <c r="G55" s="77" t="e">
        <f t="shared" si="4"/>
        <v>#DIV/0!</v>
      </c>
      <c r="H55" s="77" t="e">
        <f>IF(B$16=1,_xll.xCalcSkew(A55,I55-AO55,b)/100,0)</f>
        <v>#DIV/0!</v>
      </c>
      <c r="I55" s="98">
        <f t="shared" si="5"/>
        <v>4</v>
      </c>
      <c r="K55" s="97">
        <f t="shared" si="6"/>
        <v>-3.2500000000000001E-2</v>
      </c>
      <c r="L55" s="100">
        <f t="shared" si="7"/>
        <v>1</v>
      </c>
      <c r="M55" s="99">
        <f t="shared" ca="1" si="8"/>
        <v>755</v>
      </c>
      <c r="N55" s="175" t="e">
        <f t="shared" si="9"/>
        <v>#DIV/0!</v>
      </c>
      <c r="O55" s="77" t="e">
        <f>IF(D$16=1,_xll.xCalcSkew($A55,P55-AZ55,b)/100,0)</f>
        <v>#DIV/0!</v>
      </c>
      <c r="P55" s="98">
        <f t="shared" si="10"/>
        <v>2.5</v>
      </c>
      <c r="R55" s="97">
        <f t="shared" si="11"/>
        <v>-3.2500000000000001E-2</v>
      </c>
      <c r="S55" s="100">
        <f t="shared" si="12"/>
        <v>1</v>
      </c>
      <c r="T55" s="99">
        <f t="shared" ca="1" si="13"/>
        <v>755</v>
      </c>
      <c r="U55" s="175" t="e">
        <f t="shared" si="14"/>
        <v>#DIV/0!</v>
      </c>
      <c r="V55" s="77" t="e">
        <f>IF(F$16=1,_xll.xCalcSkew($A55,W55-BK55,b)/100,0)</f>
        <v>#DIV/0!</v>
      </c>
      <c r="W55" s="98">
        <f t="shared" si="15"/>
        <v>2.5</v>
      </c>
      <c r="X55" s="99"/>
      <c r="Y55" s="97">
        <f t="shared" si="16"/>
        <v>-3.2500000000000001E-2</v>
      </c>
      <c r="Z55" s="100">
        <f t="shared" si="17"/>
        <v>1</v>
      </c>
      <c r="AA55" s="99">
        <f t="shared" ca="1" si="18"/>
        <v>755</v>
      </c>
      <c r="AB55" s="77" t="e">
        <f t="shared" si="19"/>
        <v>#DIV/0!</v>
      </c>
      <c r="AC55" s="77" t="e">
        <f>IF(H$16=1,_xll.xCalcSkew($A55,AD55-BV55,b)/100,0)</f>
        <v>#DIV/0!</v>
      </c>
      <c r="AD55" s="98">
        <f t="shared" si="20"/>
        <v>2.4900000000000002</v>
      </c>
      <c r="AF55" s="99">
        <f t="shared" ca="1" si="21"/>
        <v>755</v>
      </c>
      <c r="AG55" s="99">
        <f t="shared" ca="1" si="22"/>
        <v>754</v>
      </c>
      <c r="AH55" s="77">
        <f t="shared" si="67"/>
        <v>3.5468569142181203E-2</v>
      </c>
      <c r="AI55" s="154">
        <f t="shared" si="0"/>
        <v>29</v>
      </c>
      <c r="AJ55" s="101"/>
      <c r="AK55" s="101"/>
      <c r="AL55" s="101"/>
      <c r="AM55" s="101"/>
      <c r="AN55" s="78">
        <f t="shared" si="49"/>
        <v>0</v>
      </c>
      <c r="AO55" s="303" t="e">
        <f t="shared" si="50"/>
        <v>#DIV/0!</v>
      </c>
      <c r="AP55" s="75">
        <f t="shared" si="24"/>
        <v>0</v>
      </c>
      <c r="AQ55" s="102">
        <f t="shared" si="25"/>
        <v>0</v>
      </c>
      <c r="AR55" s="101">
        <f t="shared" si="26"/>
        <v>0</v>
      </c>
      <c r="AS55" s="101">
        <f t="shared" si="51"/>
        <v>0</v>
      </c>
      <c r="AT55" s="101">
        <f t="shared" si="27"/>
        <v>0</v>
      </c>
      <c r="AU55" s="103">
        <f t="shared" si="52"/>
        <v>0</v>
      </c>
      <c r="AV55" s="103">
        <f t="shared" si="53"/>
        <v>0</v>
      </c>
      <c r="AW55" s="103">
        <f t="shared" si="54"/>
        <v>0</v>
      </c>
      <c r="AY55" s="78">
        <f t="shared" si="28"/>
        <v>0</v>
      </c>
      <c r="AZ55" s="303" t="e">
        <f t="shared" si="55"/>
        <v>#DIV/0!</v>
      </c>
      <c r="BA55" s="75">
        <f t="shared" si="29"/>
        <v>0</v>
      </c>
      <c r="BB55" s="102">
        <f t="shared" si="30"/>
        <v>0</v>
      </c>
      <c r="BC55" s="101">
        <f t="shared" si="31"/>
        <v>0</v>
      </c>
      <c r="BD55" s="101">
        <f t="shared" si="32"/>
        <v>0</v>
      </c>
      <c r="BE55" s="101">
        <f t="shared" si="33"/>
        <v>0</v>
      </c>
      <c r="BF55" s="103">
        <f t="shared" si="56"/>
        <v>0</v>
      </c>
      <c r="BG55" s="103">
        <f t="shared" si="57"/>
        <v>0</v>
      </c>
      <c r="BH55" s="103">
        <f t="shared" si="58"/>
        <v>0</v>
      </c>
      <c r="BJ55" s="78">
        <f t="shared" si="34"/>
        <v>0</v>
      </c>
      <c r="BK55" s="303" t="e">
        <f t="shared" si="59"/>
        <v>#DIV/0!</v>
      </c>
      <c r="BL55" s="75">
        <f t="shared" si="35"/>
        <v>0</v>
      </c>
      <c r="BM55" s="102">
        <f t="shared" si="36"/>
        <v>0</v>
      </c>
      <c r="BN55" s="101">
        <f t="shared" si="37"/>
        <v>0</v>
      </c>
      <c r="BO55" s="101">
        <f t="shared" si="38"/>
        <v>0</v>
      </c>
      <c r="BP55" s="101">
        <f t="shared" si="39"/>
        <v>0</v>
      </c>
      <c r="BQ55" s="103">
        <f t="shared" si="60"/>
        <v>0</v>
      </c>
      <c r="BR55" s="103">
        <f t="shared" si="61"/>
        <v>0</v>
      </c>
      <c r="BS55" s="103">
        <f t="shared" si="62"/>
        <v>0</v>
      </c>
      <c r="BU55" s="78">
        <f t="shared" si="40"/>
        <v>0</v>
      </c>
      <c r="BV55" s="303" t="e">
        <f t="shared" si="63"/>
        <v>#DIV/0!</v>
      </c>
      <c r="BW55" s="75">
        <f t="shared" si="41"/>
        <v>0</v>
      </c>
      <c r="BX55" s="102">
        <f t="shared" si="42"/>
        <v>0</v>
      </c>
      <c r="BY55" s="101">
        <f t="shared" si="43"/>
        <v>0</v>
      </c>
      <c r="BZ55" s="101">
        <f t="shared" si="44"/>
        <v>0</v>
      </c>
      <c r="CA55" s="101">
        <f t="shared" si="45"/>
        <v>0</v>
      </c>
      <c r="CB55" s="103">
        <f t="shared" si="64"/>
        <v>0</v>
      </c>
      <c r="CC55" s="103">
        <f t="shared" si="65"/>
        <v>0</v>
      </c>
      <c r="CD55" s="103">
        <f t="shared" si="66"/>
        <v>0</v>
      </c>
    </row>
    <row r="56" spans="1:82" x14ac:dyDescent="0.2">
      <c r="A56" s="96">
        <f t="shared" si="46"/>
        <v>38047</v>
      </c>
      <c r="B56" s="97">
        <f t="shared" si="47"/>
        <v>3.355</v>
      </c>
      <c r="C56" s="77">
        <f t="shared" si="48"/>
        <v>0.35</v>
      </c>
      <c r="D56" s="97">
        <f t="shared" si="1"/>
        <v>0</v>
      </c>
      <c r="E56" s="100">
        <f t="shared" si="2"/>
        <v>1</v>
      </c>
      <c r="F56" s="99">
        <f t="shared" ca="1" si="3"/>
        <v>782</v>
      </c>
      <c r="G56" s="77" t="e">
        <f t="shared" si="4"/>
        <v>#DIV/0!</v>
      </c>
      <c r="H56" s="77" t="e">
        <f>IF(B$16=1,_xll.xCalcSkew(A56,I56-AO56,b)/100,0)</f>
        <v>#DIV/0!</v>
      </c>
      <c r="I56" s="98">
        <f t="shared" si="5"/>
        <v>4</v>
      </c>
      <c r="K56" s="97">
        <f t="shared" si="6"/>
        <v>-0.02</v>
      </c>
      <c r="L56" s="100">
        <f t="shared" si="7"/>
        <v>1</v>
      </c>
      <c r="M56" s="99">
        <f t="shared" ca="1" si="8"/>
        <v>783</v>
      </c>
      <c r="N56" s="175" t="e">
        <f t="shared" si="9"/>
        <v>#DIV/0!</v>
      </c>
      <c r="O56" s="77" t="e">
        <f>IF(D$16=1,_xll.xCalcSkew($A56,P56-AZ56,b)/100,0)</f>
        <v>#DIV/0!</v>
      </c>
      <c r="P56" s="98">
        <f t="shared" si="10"/>
        <v>2.5</v>
      </c>
      <c r="R56" s="97">
        <f t="shared" si="11"/>
        <v>-0.02</v>
      </c>
      <c r="S56" s="100">
        <f t="shared" si="12"/>
        <v>1</v>
      </c>
      <c r="T56" s="99">
        <f t="shared" ca="1" si="13"/>
        <v>783</v>
      </c>
      <c r="U56" s="175" t="e">
        <f t="shared" si="14"/>
        <v>#DIV/0!</v>
      </c>
      <c r="V56" s="77" t="e">
        <f>IF(F$16=1,_xll.xCalcSkew($A56,W56-BK56,b)/100,0)</f>
        <v>#DIV/0!</v>
      </c>
      <c r="W56" s="98">
        <f t="shared" si="15"/>
        <v>2.5</v>
      </c>
      <c r="X56" s="99"/>
      <c r="Y56" s="97">
        <f t="shared" si="16"/>
        <v>-0.02</v>
      </c>
      <c r="Z56" s="100">
        <f t="shared" si="17"/>
        <v>1</v>
      </c>
      <c r="AA56" s="99">
        <f t="shared" ca="1" si="18"/>
        <v>783</v>
      </c>
      <c r="AB56" s="77" t="e">
        <f t="shared" si="19"/>
        <v>#DIV/0!</v>
      </c>
      <c r="AC56" s="77" t="e">
        <f>IF(H$16=1,_xll.xCalcSkew($A56,AD56-BV56,b)/100,0)</f>
        <v>#DIV/0!</v>
      </c>
      <c r="AD56" s="98">
        <f t="shared" si="20"/>
        <v>2.4900000000000002</v>
      </c>
      <c r="AF56" s="99">
        <f t="shared" ca="1" si="21"/>
        <v>783</v>
      </c>
      <c r="AG56" s="99">
        <f t="shared" ca="1" si="22"/>
        <v>782</v>
      </c>
      <c r="AH56" s="77">
        <f t="shared" si="67"/>
        <v>3.6244658435981701E-2</v>
      </c>
      <c r="AI56" s="154">
        <f t="shared" si="0"/>
        <v>31</v>
      </c>
      <c r="AJ56" s="101"/>
      <c r="AK56" s="101"/>
      <c r="AL56" s="101"/>
      <c r="AM56" s="101"/>
      <c r="AN56" s="78">
        <f t="shared" si="49"/>
        <v>0</v>
      </c>
      <c r="AO56" s="303" t="e">
        <f t="shared" si="50"/>
        <v>#DIV/0!</v>
      </c>
      <c r="AP56" s="75">
        <f t="shared" si="24"/>
        <v>0</v>
      </c>
      <c r="AQ56" s="102">
        <f t="shared" si="25"/>
        <v>0</v>
      </c>
      <c r="AR56" s="101">
        <f t="shared" si="26"/>
        <v>0</v>
      </c>
      <c r="AS56" s="101">
        <f t="shared" si="51"/>
        <v>0</v>
      </c>
      <c r="AT56" s="101">
        <f t="shared" si="27"/>
        <v>0</v>
      </c>
      <c r="AU56" s="103">
        <f t="shared" si="52"/>
        <v>0</v>
      </c>
      <c r="AV56" s="103">
        <f t="shared" si="53"/>
        <v>0</v>
      </c>
      <c r="AW56" s="103">
        <f t="shared" si="54"/>
        <v>0</v>
      </c>
      <c r="AY56" s="78">
        <f t="shared" si="28"/>
        <v>0</v>
      </c>
      <c r="AZ56" s="303" t="e">
        <f t="shared" si="55"/>
        <v>#DIV/0!</v>
      </c>
      <c r="BA56" s="75">
        <f t="shared" si="29"/>
        <v>0</v>
      </c>
      <c r="BB56" s="102">
        <f t="shared" si="30"/>
        <v>0</v>
      </c>
      <c r="BC56" s="101">
        <f t="shared" si="31"/>
        <v>0</v>
      </c>
      <c r="BD56" s="101">
        <f t="shared" si="32"/>
        <v>0</v>
      </c>
      <c r="BE56" s="101">
        <f t="shared" si="33"/>
        <v>0</v>
      </c>
      <c r="BF56" s="103">
        <f t="shared" si="56"/>
        <v>0</v>
      </c>
      <c r="BG56" s="103">
        <f t="shared" si="57"/>
        <v>0</v>
      </c>
      <c r="BH56" s="103">
        <f t="shared" si="58"/>
        <v>0</v>
      </c>
      <c r="BJ56" s="78">
        <f t="shared" si="34"/>
        <v>0</v>
      </c>
      <c r="BK56" s="303" t="e">
        <f t="shared" si="59"/>
        <v>#DIV/0!</v>
      </c>
      <c r="BL56" s="75">
        <f t="shared" si="35"/>
        <v>0</v>
      </c>
      <c r="BM56" s="102">
        <f t="shared" si="36"/>
        <v>0</v>
      </c>
      <c r="BN56" s="101">
        <f t="shared" si="37"/>
        <v>0</v>
      </c>
      <c r="BO56" s="101">
        <f t="shared" si="38"/>
        <v>0</v>
      </c>
      <c r="BP56" s="101">
        <f t="shared" si="39"/>
        <v>0</v>
      </c>
      <c r="BQ56" s="103">
        <f t="shared" si="60"/>
        <v>0</v>
      </c>
      <c r="BR56" s="103">
        <f t="shared" si="61"/>
        <v>0</v>
      </c>
      <c r="BS56" s="103">
        <f t="shared" si="62"/>
        <v>0</v>
      </c>
      <c r="BU56" s="78">
        <f t="shared" si="40"/>
        <v>0</v>
      </c>
      <c r="BV56" s="303" t="e">
        <f t="shared" si="63"/>
        <v>#DIV/0!</v>
      </c>
      <c r="BW56" s="75">
        <f t="shared" si="41"/>
        <v>0</v>
      </c>
      <c r="BX56" s="102">
        <f t="shared" si="42"/>
        <v>0</v>
      </c>
      <c r="BY56" s="101">
        <f t="shared" si="43"/>
        <v>0</v>
      </c>
      <c r="BZ56" s="101">
        <f t="shared" si="44"/>
        <v>0</v>
      </c>
      <c r="CA56" s="101">
        <f t="shared" si="45"/>
        <v>0</v>
      </c>
      <c r="CB56" s="103">
        <f t="shared" si="64"/>
        <v>0</v>
      </c>
      <c r="CC56" s="103">
        <f t="shared" si="65"/>
        <v>0</v>
      </c>
      <c r="CD56" s="103">
        <f t="shared" si="66"/>
        <v>0</v>
      </c>
    </row>
    <row r="57" spans="1:82" x14ac:dyDescent="0.2">
      <c r="A57" s="96">
        <f t="shared" si="46"/>
        <v>38078</v>
      </c>
      <c r="B57" s="97">
        <f t="shared" si="47"/>
        <v>3.17</v>
      </c>
      <c r="C57" s="77">
        <f t="shared" si="48"/>
        <v>0.32</v>
      </c>
      <c r="D57" s="97">
        <f t="shared" si="1"/>
        <v>0</v>
      </c>
      <c r="E57" s="100">
        <f t="shared" si="2"/>
        <v>1</v>
      </c>
      <c r="F57" s="99">
        <f t="shared" ca="1" si="3"/>
        <v>813</v>
      </c>
      <c r="G57" s="77" t="e">
        <f t="shared" si="4"/>
        <v>#DIV/0!</v>
      </c>
      <c r="H57" s="77" t="e">
        <f>IF(B$16=1,_xll.xCalcSkew(A57,I57-AO57,b)/100,0)</f>
        <v>#DIV/0!</v>
      </c>
      <c r="I57" s="98">
        <f t="shared" si="5"/>
        <v>4</v>
      </c>
      <c r="K57" s="97">
        <f t="shared" si="6"/>
        <v>2.5000000000000001E-2</v>
      </c>
      <c r="L57" s="100">
        <f t="shared" si="7"/>
        <v>1</v>
      </c>
      <c r="M57" s="99">
        <f t="shared" ca="1" si="8"/>
        <v>816</v>
      </c>
      <c r="N57" s="175" t="e">
        <f t="shared" si="9"/>
        <v>#DIV/0!</v>
      </c>
      <c r="O57" s="77" t="e">
        <f>IF(D$16=1,_xll.xCalcSkew($A57,P57-AZ57,b)/100,0)</f>
        <v>#DIV/0!</v>
      </c>
      <c r="P57" s="98">
        <f t="shared" si="10"/>
        <v>2.5</v>
      </c>
      <c r="R57" s="97">
        <f t="shared" si="11"/>
        <v>2.5000000000000001E-2</v>
      </c>
      <c r="S57" s="100">
        <f t="shared" si="12"/>
        <v>1</v>
      </c>
      <c r="T57" s="99">
        <f t="shared" ca="1" si="13"/>
        <v>816</v>
      </c>
      <c r="U57" s="175" t="e">
        <f t="shared" si="14"/>
        <v>#DIV/0!</v>
      </c>
      <c r="V57" s="77" t="e">
        <f>IF(F$16=1,_xll.xCalcSkew($A57,W57-BK57,b)/100,0)</f>
        <v>#DIV/0!</v>
      </c>
      <c r="W57" s="98">
        <f t="shared" si="15"/>
        <v>2.5</v>
      </c>
      <c r="X57" s="99"/>
      <c r="Y57" s="97">
        <f t="shared" si="16"/>
        <v>2.5000000000000001E-2</v>
      </c>
      <c r="Z57" s="100">
        <f t="shared" si="17"/>
        <v>1</v>
      </c>
      <c r="AA57" s="99">
        <f t="shared" ca="1" si="18"/>
        <v>816</v>
      </c>
      <c r="AB57" s="77" t="e">
        <f t="shared" si="19"/>
        <v>#DIV/0!</v>
      </c>
      <c r="AC57" s="77" t="e">
        <f>IF(H$16=1,_xll.xCalcSkew($A57,AD57-BV57,b)/100,0)</f>
        <v>#DIV/0!</v>
      </c>
      <c r="AD57" s="98">
        <f t="shared" si="20"/>
        <v>2.4900000000000002</v>
      </c>
      <c r="AF57" s="99">
        <f t="shared" ca="1" si="21"/>
        <v>816</v>
      </c>
      <c r="AG57" s="99">
        <f t="shared" ca="1" si="22"/>
        <v>813</v>
      </c>
      <c r="AH57" s="77">
        <f t="shared" si="67"/>
        <v>3.7021069033523098E-2</v>
      </c>
      <c r="AI57" s="154">
        <f t="shared" si="0"/>
        <v>30</v>
      </c>
      <c r="AJ57" s="101"/>
      <c r="AK57" s="101"/>
      <c r="AL57" s="101"/>
      <c r="AM57" s="101"/>
      <c r="AN57" s="78">
        <f t="shared" si="49"/>
        <v>0</v>
      </c>
      <c r="AO57" s="303" t="e">
        <f t="shared" si="50"/>
        <v>#DIV/0!</v>
      </c>
      <c r="AP57" s="75">
        <f t="shared" si="24"/>
        <v>0</v>
      </c>
      <c r="AQ57" s="102">
        <f t="shared" si="25"/>
        <v>0</v>
      </c>
      <c r="AR57" s="101">
        <f t="shared" si="26"/>
        <v>0</v>
      </c>
      <c r="AS57" s="101">
        <f t="shared" si="51"/>
        <v>0</v>
      </c>
      <c r="AT57" s="101">
        <f t="shared" si="27"/>
        <v>0</v>
      </c>
      <c r="AU57" s="103">
        <f t="shared" si="52"/>
        <v>0</v>
      </c>
      <c r="AV57" s="103">
        <f t="shared" si="53"/>
        <v>0</v>
      </c>
      <c r="AW57" s="103">
        <f t="shared" si="54"/>
        <v>0</v>
      </c>
      <c r="AY57" s="78">
        <f t="shared" si="28"/>
        <v>0</v>
      </c>
      <c r="AZ57" s="303" t="e">
        <f t="shared" si="55"/>
        <v>#DIV/0!</v>
      </c>
      <c r="BA57" s="75">
        <f t="shared" si="29"/>
        <v>0</v>
      </c>
      <c r="BB57" s="102">
        <f t="shared" si="30"/>
        <v>0</v>
      </c>
      <c r="BC57" s="101">
        <f t="shared" si="31"/>
        <v>0</v>
      </c>
      <c r="BD57" s="101">
        <f t="shared" si="32"/>
        <v>0</v>
      </c>
      <c r="BE57" s="101">
        <f t="shared" si="33"/>
        <v>0</v>
      </c>
      <c r="BF57" s="103">
        <f t="shared" si="56"/>
        <v>0</v>
      </c>
      <c r="BG57" s="103">
        <f t="shared" si="57"/>
        <v>0</v>
      </c>
      <c r="BH57" s="103">
        <f t="shared" si="58"/>
        <v>0</v>
      </c>
      <c r="BJ57" s="78">
        <f t="shared" si="34"/>
        <v>0</v>
      </c>
      <c r="BK57" s="303" t="e">
        <f t="shared" si="59"/>
        <v>#DIV/0!</v>
      </c>
      <c r="BL57" s="75">
        <f t="shared" si="35"/>
        <v>0</v>
      </c>
      <c r="BM57" s="102">
        <f t="shared" si="36"/>
        <v>0</v>
      </c>
      <c r="BN57" s="101">
        <f t="shared" si="37"/>
        <v>0</v>
      </c>
      <c r="BO57" s="101">
        <f t="shared" si="38"/>
        <v>0</v>
      </c>
      <c r="BP57" s="101">
        <f t="shared" si="39"/>
        <v>0</v>
      </c>
      <c r="BQ57" s="103">
        <f t="shared" si="60"/>
        <v>0</v>
      </c>
      <c r="BR57" s="103">
        <f t="shared" si="61"/>
        <v>0</v>
      </c>
      <c r="BS57" s="103">
        <f t="shared" si="62"/>
        <v>0</v>
      </c>
      <c r="BU57" s="78">
        <f t="shared" si="40"/>
        <v>0</v>
      </c>
      <c r="BV57" s="303" t="e">
        <f t="shared" si="63"/>
        <v>#DIV/0!</v>
      </c>
      <c r="BW57" s="75">
        <f t="shared" si="41"/>
        <v>0</v>
      </c>
      <c r="BX57" s="102">
        <f t="shared" si="42"/>
        <v>0</v>
      </c>
      <c r="BY57" s="101">
        <f t="shared" si="43"/>
        <v>0</v>
      </c>
      <c r="BZ57" s="101">
        <f t="shared" si="44"/>
        <v>0</v>
      </c>
      <c r="CA57" s="101">
        <f t="shared" si="45"/>
        <v>0</v>
      </c>
      <c r="CB57" s="103">
        <f t="shared" si="64"/>
        <v>0</v>
      </c>
      <c r="CC57" s="103">
        <f t="shared" si="65"/>
        <v>0</v>
      </c>
      <c r="CD57" s="103">
        <f t="shared" si="66"/>
        <v>0</v>
      </c>
    </row>
    <row r="58" spans="1:82" x14ac:dyDescent="0.2">
      <c r="A58" s="96">
        <f t="shared" si="46"/>
        <v>38108</v>
      </c>
      <c r="B58" s="97">
        <f t="shared" si="47"/>
        <v>3.165</v>
      </c>
      <c r="C58" s="77">
        <f t="shared" si="48"/>
        <v>0.315</v>
      </c>
      <c r="D58" s="97">
        <f t="shared" si="1"/>
        <v>0</v>
      </c>
      <c r="E58" s="100">
        <f t="shared" si="2"/>
        <v>1</v>
      </c>
      <c r="F58" s="99">
        <f t="shared" ca="1" si="3"/>
        <v>845</v>
      </c>
      <c r="G58" s="77" t="e">
        <f t="shared" si="4"/>
        <v>#DIV/0!</v>
      </c>
      <c r="H58" s="77" t="e">
        <f>IF(B$16=1,_xll.xCalcSkew(A58,I58-AO58,b)/100,0)</f>
        <v>#DIV/0!</v>
      </c>
      <c r="I58" s="98">
        <f t="shared" si="5"/>
        <v>4</v>
      </c>
      <c r="K58" s="97">
        <f t="shared" si="6"/>
        <v>2.5000000000000001E-2</v>
      </c>
      <c r="L58" s="100">
        <f t="shared" si="7"/>
        <v>1</v>
      </c>
      <c r="M58" s="99">
        <f t="shared" ca="1" si="8"/>
        <v>846</v>
      </c>
      <c r="N58" s="175" t="e">
        <f t="shared" si="9"/>
        <v>#DIV/0!</v>
      </c>
      <c r="O58" s="77" t="e">
        <f>IF(D$16=1,_xll.xCalcSkew($A58,P58-AZ58,b)/100,0)</f>
        <v>#DIV/0!</v>
      </c>
      <c r="P58" s="98">
        <f t="shared" si="10"/>
        <v>2.5</v>
      </c>
      <c r="R58" s="97">
        <f t="shared" si="11"/>
        <v>2.5000000000000001E-2</v>
      </c>
      <c r="S58" s="100">
        <f t="shared" si="12"/>
        <v>1</v>
      </c>
      <c r="T58" s="99">
        <f t="shared" ca="1" si="13"/>
        <v>846</v>
      </c>
      <c r="U58" s="175" t="e">
        <f t="shared" si="14"/>
        <v>#DIV/0!</v>
      </c>
      <c r="V58" s="77" t="e">
        <f>IF(F$16=1,_xll.xCalcSkew($A58,W58-BK58,b)/100,0)</f>
        <v>#DIV/0!</v>
      </c>
      <c r="W58" s="98">
        <f t="shared" si="15"/>
        <v>2.5</v>
      </c>
      <c r="X58" s="99"/>
      <c r="Y58" s="97">
        <f t="shared" si="16"/>
        <v>2.5000000000000001E-2</v>
      </c>
      <c r="Z58" s="100">
        <f t="shared" si="17"/>
        <v>1</v>
      </c>
      <c r="AA58" s="99">
        <f t="shared" ca="1" si="18"/>
        <v>846</v>
      </c>
      <c r="AB58" s="77" t="e">
        <f t="shared" si="19"/>
        <v>#DIV/0!</v>
      </c>
      <c r="AC58" s="77" t="e">
        <f>IF(H$16=1,_xll.xCalcSkew($A58,AD58-BV58,b)/100,0)</f>
        <v>#DIV/0!</v>
      </c>
      <c r="AD58" s="98">
        <f t="shared" si="20"/>
        <v>2.4900000000000002</v>
      </c>
      <c r="AF58" s="99">
        <f t="shared" ca="1" si="21"/>
        <v>846</v>
      </c>
      <c r="AG58" s="99">
        <f t="shared" ca="1" si="22"/>
        <v>845</v>
      </c>
      <c r="AH58" s="77">
        <f t="shared" si="67"/>
        <v>3.7717515784331003E-2</v>
      </c>
      <c r="AI58" s="154">
        <f t="shared" si="0"/>
        <v>31</v>
      </c>
      <c r="AJ58" s="101"/>
      <c r="AK58" s="101"/>
      <c r="AL58" s="101"/>
      <c r="AM58" s="101"/>
      <c r="AN58" s="78">
        <f t="shared" si="49"/>
        <v>0</v>
      </c>
      <c r="AO58" s="303" t="e">
        <f t="shared" si="50"/>
        <v>#DIV/0!</v>
      </c>
      <c r="AP58" s="75">
        <f t="shared" si="24"/>
        <v>0</v>
      </c>
      <c r="AQ58" s="102">
        <f t="shared" si="25"/>
        <v>0</v>
      </c>
      <c r="AR58" s="101">
        <f t="shared" si="26"/>
        <v>0</v>
      </c>
      <c r="AS58" s="101">
        <f t="shared" si="51"/>
        <v>0</v>
      </c>
      <c r="AT58" s="101">
        <f t="shared" si="27"/>
        <v>0</v>
      </c>
      <c r="AU58" s="103">
        <f t="shared" si="52"/>
        <v>0</v>
      </c>
      <c r="AV58" s="103">
        <f t="shared" si="53"/>
        <v>0</v>
      </c>
      <c r="AW58" s="103">
        <f t="shared" si="54"/>
        <v>0</v>
      </c>
      <c r="AY58" s="78">
        <f t="shared" si="28"/>
        <v>0</v>
      </c>
      <c r="AZ58" s="303" t="e">
        <f t="shared" si="55"/>
        <v>#DIV/0!</v>
      </c>
      <c r="BA58" s="75">
        <f t="shared" si="29"/>
        <v>0</v>
      </c>
      <c r="BB58" s="102">
        <f t="shared" si="30"/>
        <v>0</v>
      </c>
      <c r="BC58" s="101">
        <f t="shared" si="31"/>
        <v>0</v>
      </c>
      <c r="BD58" s="101">
        <f t="shared" si="32"/>
        <v>0</v>
      </c>
      <c r="BE58" s="101">
        <f t="shared" si="33"/>
        <v>0</v>
      </c>
      <c r="BF58" s="103">
        <f t="shared" si="56"/>
        <v>0</v>
      </c>
      <c r="BG58" s="103">
        <f t="shared" si="57"/>
        <v>0</v>
      </c>
      <c r="BH58" s="103">
        <f t="shared" si="58"/>
        <v>0</v>
      </c>
      <c r="BJ58" s="78">
        <f t="shared" si="34"/>
        <v>0</v>
      </c>
      <c r="BK58" s="303" t="e">
        <f t="shared" si="59"/>
        <v>#DIV/0!</v>
      </c>
      <c r="BL58" s="75">
        <f t="shared" si="35"/>
        <v>0</v>
      </c>
      <c r="BM58" s="102">
        <f t="shared" si="36"/>
        <v>0</v>
      </c>
      <c r="BN58" s="101">
        <f t="shared" si="37"/>
        <v>0</v>
      </c>
      <c r="BO58" s="101">
        <f t="shared" si="38"/>
        <v>0</v>
      </c>
      <c r="BP58" s="101">
        <f t="shared" si="39"/>
        <v>0</v>
      </c>
      <c r="BQ58" s="103">
        <f t="shared" si="60"/>
        <v>0</v>
      </c>
      <c r="BR58" s="103">
        <f t="shared" si="61"/>
        <v>0</v>
      </c>
      <c r="BS58" s="103">
        <f t="shared" si="62"/>
        <v>0</v>
      </c>
      <c r="BU58" s="78">
        <f t="shared" si="40"/>
        <v>0</v>
      </c>
      <c r="BV58" s="303" t="e">
        <f t="shared" si="63"/>
        <v>#DIV/0!</v>
      </c>
      <c r="BW58" s="75">
        <f t="shared" si="41"/>
        <v>0</v>
      </c>
      <c r="BX58" s="102">
        <f t="shared" si="42"/>
        <v>0</v>
      </c>
      <c r="BY58" s="101">
        <f t="shared" si="43"/>
        <v>0</v>
      </c>
      <c r="BZ58" s="101">
        <f t="shared" si="44"/>
        <v>0</v>
      </c>
      <c r="CA58" s="101">
        <f t="shared" si="45"/>
        <v>0</v>
      </c>
      <c r="CB58" s="103">
        <f t="shared" si="64"/>
        <v>0</v>
      </c>
      <c r="CC58" s="103">
        <f t="shared" si="65"/>
        <v>0</v>
      </c>
      <c r="CD58" s="103">
        <f t="shared" si="66"/>
        <v>0</v>
      </c>
    </row>
    <row r="59" spans="1:82" x14ac:dyDescent="0.2">
      <c r="A59" s="96">
        <f t="shared" si="46"/>
        <v>38139</v>
      </c>
      <c r="B59" s="97">
        <f t="shared" si="47"/>
        <v>3.2</v>
      </c>
      <c r="C59" s="77">
        <f t="shared" si="48"/>
        <v>0.315</v>
      </c>
      <c r="D59" s="97">
        <f t="shared" si="1"/>
        <v>0</v>
      </c>
      <c r="E59" s="100">
        <f t="shared" si="2"/>
        <v>1</v>
      </c>
      <c r="F59" s="99">
        <f t="shared" ca="1" si="3"/>
        <v>873</v>
      </c>
      <c r="G59" s="77" t="e">
        <f t="shared" si="4"/>
        <v>#DIV/0!</v>
      </c>
      <c r="H59" s="77" t="e">
        <f>IF(B$16=1,_xll.xCalcSkew(A59,I59-AO59,b)/100,0)</f>
        <v>#DIV/0!</v>
      </c>
      <c r="I59" s="98">
        <f t="shared" si="5"/>
        <v>4</v>
      </c>
      <c r="K59" s="97">
        <f t="shared" si="6"/>
        <v>0.03</v>
      </c>
      <c r="L59" s="100">
        <f t="shared" si="7"/>
        <v>1</v>
      </c>
      <c r="M59" s="99">
        <f t="shared" ca="1" si="8"/>
        <v>874</v>
      </c>
      <c r="N59" s="175" t="e">
        <f t="shared" si="9"/>
        <v>#DIV/0!</v>
      </c>
      <c r="O59" s="77" t="e">
        <f>IF(D$16=1,_xll.xCalcSkew($A59,P59-AZ59,b)/100,0)</f>
        <v>#DIV/0!</v>
      </c>
      <c r="P59" s="98">
        <f t="shared" si="10"/>
        <v>2.5</v>
      </c>
      <c r="R59" s="97">
        <f t="shared" si="11"/>
        <v>0.03</v>
      </c>
      <c r="S59" s="100">
        <f t="shared" si="12"/>
        <v>1</v>
      </c>
      <c r="T59" s="99">
        <f t="shared" ca="1" si="13"/>
        <v>874</v>
      </c>
      <c r="U59" s="175" t="e">
        <f t="shared" si="14"/>
        <v>#DIV/0!</v>
      </c>
      <c r="V59" s="77" t="e">
        <f>IF(F$16=1,_xll.xCalcSkew($A59,W59-BK59,b)/100,0)</f>
        <v>#DIV/0!</v>
      </c>
      <c r="W59" s="98">
        <f t="shared" si="15"/>
        <v>2.5</v>
      </c>
      <c r="X59" s="99"/>
      <c r="Y59" s="97">
        <f t="shared" si="16"/>
        <v>0.03</v>
      </c>
      <c r="Z59" s="100">
        <f t="shared" si="17"/>
        <v>1</v>
      </c>
      <c r="AA59" s="99">
        <f t="shared" ca="1" si="18"/>
        <v>874</v>
      </c>
      <c r="AB59" s="77" t="e">
        <f t="shared" si="19"/>
        <v>#DIV/0!</v>
      </c>
      <c r="AC59" s="77" t="e">
        <f>IF(H$16=1,_xll.xCalcSkew($A59,AD59-BV59,b)/100,0)</f>
        <v>#DIV/0!</v>
      </c>
      <c r="AD59" s="98">
        <f t="shared" si="20"/>
        <v>2.4900000000000002</v>
      </c>
      <c r="AF59" s="99">
        <f t="shared" ca="1" si="21"/>
        <v>874</v>
      </c>
      <c r="AG59" s="99">
        <f t="shared" ca="1" si="22"/>
        <v>873</v>
      </c>
      <c r="AH59" s="77">
        <f t="shared" si="67"/>
        <v>3.8437177597991E-2</v>
      </c>
      <c r="AI59" s="154">
        <f t="shared" si="0"/>
        <v>30</v>
      </c>
      <c r="AJ59" s="101"/>
      <c r="AK59" s="101"/>
      <c r="AL59" s="101"/>
      <c r="AM59" s="101"/>
      <c r="AN59" s="78">
        <f t="shared" si="49"/>
        <v>0</v>
      </c>
      <c r="AO59" s="303" t="e">
        <f t="shared" si="50"/>
        <v>#DIV/0!</v>
      </c>
      <c r="AP59" s="75">
        <f t="shared" si="24"/>
        <v>0</v>
      </c>
      <c r="AQ59" s="102">
        <f t="shared" si="25"/>
        <v>0</v>
      </c>
      <c r="AR59" s="101">
        <f t="shared" si="26"/>
        <v>0</v>
      </c>
      <c r="AS59" s="101">
        <f t="shared" si="51"/>
        <v>0</v>
      </c>
      <c r="AT59" s="101">
        <f t="shared" si="27"/>
        <v>0</v>
      </c>
      <c r="AU59" s="103">
        <f t="shared" si="52"/>
        <v>0</v>
      </c>
      <c r="AV59" s="103">
        <f t="shared" si="53"/>
        <v>0</v>
      </c>
      <c r="AW59" s="103">
        <f t="shared" si="54"/>
        <v>0</v>
      </c>
      <c r="AY59" s="78">
        <f t="shared" si="28"/>
        <v>0</v>
      </c>
      <c r="AZ59" s="303" t="e">
        <f t="shared" si="55"/>
        <v>#DIV/0!</v>
      </c>
      <c r="BA59" s="75">
        <f t="shared" si="29"/>
        <v>0</v>
      </c>
      <c r="BB59" s="102">
        <f t="shared" si="30"/>
        <v>0</v>
      </c>
      <c r="BC59" s="101">
        <f t="shared" si="31"/>
        <v>0</v>
      </c>
      <c r="BD59" s="101">
        <f t="shared" si="32"/>
        <v>0</v>
      </c>
      <c r="BE59" s="101">
        <f t="shared" si="33"/>
        <v>0</v>
      </c>
      <c r="BF59" s="103">
        <f t="shared" si="56"/>
        <v>0</v>
      </c>
      <c r="BG59" s="103">
        <f t="shared" si="57"/>
        <v>0</v>
      </c>
      <c r="BH59" s="103">
        <f t="shared" si="58"/>
        <v>0</v>
      </c>
      <c r="BJ59" s="78">
        <f t="shared" si="34"/>
        <v>0</v>
      </c>
      <c r="BK59" s="303" t="e">
        <f t="shared" si="59"/>
        <v>#DIV/0!</v>
      </c>
      <c r="BL59" s="75">
        <f t="shared" si="35"/>
        <v>0</v>
      </c>
      <c r="BM59" s="102">
        <f t="shared" si="36"/>
        <v>0</v>
      </c>
      <c r="BN59" s="101">
        <f t="shared" si="37"/>
        <v>0</v>
      </c>
      <c r="BO59" s="101">
        <f t="shared" si="38"/>
        <v>0</v>
      </c>
      <c r="BP59" s="101">
        <f t="shared" si="39"/>
        <v>0</v>
      </c>
      <c r="BQ59" s="103">
        <f t="shared" si="60"/>
        <v>0</v>
      </c>
      <c r="BR59" s="103">
        <f t="shared" si="61"/>
        <v>0</v>
      </c>
      <c r="BS59" s="103">
        <f t="shared" si="62"/>
        <v>0</v>
      </c>
      <c r="BU59" s="78">
        <f t="shared" si="40"/>
        <v>0</v>
      </c>
      <c r="BV59" s="303" t="e">
        <f t="shared" si="63"/>
        <v>#DIV/0!</v>
      </c>
      <c r="BW59" s="75">
        <f t="shared" si="41"/>
        <v>0</v>
      </c>
      <c r="BX59" s="102">
        <f t="shared" si="42"/>
        <v>0</v>
      </c>
      <c r="BY59" s="101">
        <f t="shared" si="43"/>
        <v>0</v>
      </c>
      <c r="BZ59" s="101">
        <f t="shared" si="44"/>
        <v>0</v>
      </c>
      <c r="CA59" s="101">
        <f t="shared" si="45"/>
        <v>0</v>
      </c>
      <c r="CB59" s="103">
        <f t="shared" si="64"/>
        <v>0</v>
      </c>
      <c r="CC59" s="103">
        <f t="shared" si="65"/>
        <v>0</v>
      </c>
      <c r="CD59" s="103">
        <f t="shared" si="66"/>
        <v>0</v>
      </c>
    </row>
    <row r="60" spans="1:82" x14ac:dyDescent="0.2">
      <c r="A60" s="96">
        <f t="shared" si="46"/>
        <v>38169</v>
      </c>
      <c r="B60" s="97">
        <f t="shared" si="47"/>
        <v>3.24</v>
      </c>
      <c r="C60" s="77">
        <f t="shared" si="48"/>
        <v>0.315</v>
      </c>
      <c r="D60" s="97">
        <f t="shared" si="1"/>
        <v>0</v>
      </c>
      <c r="E60" s="100">
        <f t="shared" si="2"/>
        <v>1</v>
      </c>
      <c r="F60" s="99">
        <f t="shared" ca="1" si="3"/>
        <v>904</v>
      </c>
      <c r="G60" s="77" t="e">
        <f t="shared" si="4"/>
        <v>#DIV/0!</v>
      </c>
      <c r="H60" s="77" t="e">
        <f>IF(B$16=1,_xll.xCalcSkew(A60,I60-AO60,b)/100,0)</f>
        <v>#DIV/0!</v>
      </c>
      <c r="I60" s="98">
        <f t="shared" si="5"/>
        <v>4</v>
      </c>
      <c r="K60" s="97">
        <f t="shared" si="6"/>
        <v>3.2500000000000001E-2</v>
      </c>
      <c r="L60" s="100">
        <f t="shared" si="7"/>
        <v>1</v>
      </c>
      <c r="M60" s="99">
        <f t="shared" ca="1" si="8"/>
        <v>907</v>
      </c>
      <c r="N60" s="175" t="e">
        <f t="shared" si="9"/>
        <v>#DIV/0!</v>
      </c>
      <c r="O60" s="77" t="e">
        <f>IF(D$16=1,_xll.xCalcSkew($A60,P60-AZ60,b)/100,0)</f>
        <v>#DIV/0!</v>
      </c>
      <c r="P60" s="98">
        <f t="shared" si="10"/>
        <v>2.5</v>
      </c>
      <c r="R60" s="97">
        <f t="shared" si="11"/>
        <v>3.2500000000000001E-2</v>
      </c>
      <c r="S60" s="100">
        <f t="shared" si="12"/>
        <v>1</v>
      </c>
      <c r="T60" s="99">
        <f t="shared" ca="1" si="13"/>
        <v>907</v>
      </c>
      <c r="U60" s="175" t="e">
        <f t="shared" si="14"/>
        <v>#DIV/0!</v>
      </c>
      <c r="V60" s="77" t="e">
        <f>IF(F$16=1,_xll.xCalcSkew($A60,W60-BK60,b)/100,0)</f>
        <v>#DIV/0!</v>
      </c>
      <c r="W60" s="98">
        <f t="shared" si="15"/>
        <v>2.5</v>
      </c>
      <c r="X60" s="99"/>
      <c r="Y60" s="97">
        <f t="shared" si="16"/>
        <v>3.2500000000000001E-2</v>
      </c>
      <c r="Z60" s="100">
        <f t="shared" si="17"/>
        <v>1</v>
      </c>
      <c r="AA60" s="99">
        <f t="shared" ca="1" si="18"/>
        <v>907</v>
      </c>
      <c r="AB60" s="77" t="e">
        <f t="shared" si="19"/>
        <v>#DIV/0!</v>
      </c>
      <c r="AC60" s="77" t="e">
        <f>IF(H$16=1,_xll.xCalcSkew($A60,AD60-BV60,b)/100,0)</f>
        <v>#DIV/0!</v>
      </c>
      <c r="AD60" s="98">
        <f t="shared" si="20"/>
        <v>2.4900000000000002</v>
      </c>
      <c r="AF60" s="99">
        <f t="shared" ca="1" si="21"/>
        <v>907</v>
      </c>
      <c r="AG60" s="99">
        <f t="shared" ca="1" si="22"/>
        <v>904</v>
      </c>
      <c r="AH60" s="77">
        <f t="shared" si="67"/>
        <v>3.9098228026385802E-2</v>
      </c>
      <c r="AI60" s="154">
        <f t="shared" si="0"/>
        <v>31</v>
      </c>
      <c r="AJ60" s="101"/>
      <c r="AK60" s="101"/>
      <c r="AL60" s="101"/>
      <c r="AM60" s="101"/>
      <c r="AN60" s="78">
        <f t="shared" si="49"/>
        <v>0</v>
      </c>
      <c r="AO60" s="303" t="e">
        <f t="shared" si="50"/>
        <v>#DIV/0!</v>
      </c>
      <c r="AP60" s="75">
        <f t="shared" si="24"/>
        <v>0</v>
      </c>
      <c r="AQ60" s="102">
        <f t="shared" si="25"/>
        <v>0</v>
      </c>
      <c r="AR60" s="101">
        <f t="shared" si="26"/>
        <v>0</v>
      </c>
      <c r="AS60" s="101">
        <f t="shared" si="51"/>
        <v>0</v>
      </c>
      <c r="AT60" s="101">
        <f t="shared" si="27"/>
        <v>0</v>
      </c>
      <c r="AU60" s="103">
        <f t="shared" si="52"/>
        <v>0</v>
      </c>
      <c r="AV60" s="103">
        <f t="shared" si="53"/>
        <v>0</v>
      </c>
      <c r="AW60" s="103">
        <f t="shared" si="54"/>
        <v>0</v>
      </c>
      <c r="AY60" s="78">
        <f t="shared" si="28"/>
        <v>0</v>
      </c>
      <c r="AZ60" s="303" t="e">
        <f t="shared" si="55"/>
        <v>#DIV/0!</v>
      </c>
      <c r="BA60" s="75">
        <f t="shared" si="29"/>
        <v>0</v>
      </c>
      <c r="BB60" s="102">
        <f t="shared" si="30"/>
        <v>0</v>
      </c>
      <c r="BC60" s="101">
        <f t="shared" si="31"/>
        <v>0</v>
      </c>
      <c r="BD60" s="101">
        <f t="shared" si="32"/>
        <v>0</v>
      </c>
      <c r="BE60" s="101">
        <f t="shared" si="33"/>
        <v>0</v>
      </c>
      <c r="BF60" s="103">
        <f t="shared" si="56"/>
        <v>0</v>
      </c>
      <c r="BG60" s="103">
        <f t="shared" si="57"/>
        <v>0</v>
      </c>
      <c r="BH60" s="103">
        <f t="shared" si="58"/>
        <v>0</v>
      </c>
      <c r="BJ60" s="78">
        <f t="shared" si="34"/>
        <v>0</v>
      </c>
      <c r="BK60" s="303" t="e">
        <f t="shared" si="59"/>
        <v>#DIV/0!</v>
      </c>
      <c r="BL60" s="75">
        <f t="shared" si="35"/>
        <v>0</v>
      </c>
      <c r="BM60" s="102">
        <f t="shared" si="36"/>
        <v>0</v>
      </c>
      <c r="BN60" s="101">
        <f t="shared" si="37"/>
        <v>0</v>
      </c>
      <c r="BO60" s="101">
        <f t="shared" si="38"/>
        <v>0</v>
      </c>
      <c r="BP60" s="101">
        <f t="shared" si="39"/>
        <v>0</v>
      </c>
      <c r="BQ60" s="103">
        <f t="shared" si="60"/>
        <v>0</v>
      </c>
      <c r="BR60" s="103">
        <f t="shared" si="61"/>
        <v>0</v>
      </c>
      <c r="BS60" s="103">
        <f t="shared" si="62"/>
        <v>0</v>
      </c>
      <c r="BU60" s="78">
        <f t="shared" si="40"/>
        <v>0</v>
      </c>
      <c r="BV60" s="303" t="e">
        <f t="shared" si="63"/>
        <v>#DIV/0!</v>
      </c>
      <c r="BW60" s="75">
        <f t="shared" si="41"/>
        <v>0</v>
      </c>
      <c r="BX60" s="102">
        <f t="shared" si="42"/>
        <v>0</v>
      </c>
      <c r="BY60" s="101">
        <f t="shared" si="43"/>
        <v>0</v>
      </c>
      <c r="BZ60" s="101">
        <f t="shared" si="44"/>
        <v>0</v>
      </c>
      <c r="CA60" s="101">
        <f t="shared" si="45"/>
        <v>0</v>
      </c>
      <c r="CB60" s="103">
        <f t="shared" si="64"/>
        <v>0</v>
      </c>
      <c r="CC60" s="103">
        <f t="shared" si="65"/>
        <v>0</v>
      </c>
      <c r="CD60" s="103">
        <f t="shared" si="66"/>
        <v>0</v>
      </c>
    </row>
    <row r="61" spans="1:82" x14ac:dyDescent="0.2">
      <c r="A61" s="96">
        <f t="shared" si="46"/>
        <v>38200</v>
      </c>
      <c r="B61" s="97">
        <f t="shared" si="47"/>
        <v>3.28</v>
      </c>
      <c r="C61" s="77">
        <f t="shared" si="48"/>
        <v>0.315</v>
      </c>
      <c r="D61" s="97">
        <f t="shared" si="1"/>
        <v>0</v>
      </c>
      <c r="E61" s="100">
        <f t="shared" si="2"/>
        <v>1</v>
      </c>
      <c r="F61" s="99">
        <f t="shared" ca="1" si="3"/>
        <v>936</v>
      </c>
      <c r="G61" s="77" t="e">
        <f t="shared" si="4"/>
        <v>#DIV/0!</v>
      </c>
      <c r="H61" s="77" t="e">
        <f>IF(B$16=1,_xll.xCalcSkew(A61,I61-AO61,b)/100,0)</f>
        <v>#DIV/0!</v>
      </c>
      <c r="I61" s="98">
        <f t="shared" si="5"/>
        <v>4</v>
      </c>
      <c r="K61" s="97">
        <f t="shared" si="6"/>
        <v>3.5000000000000003E-2</v>
      </c>
      <c r="L61" s="100">
        <f t="shared" si="7"/>
        <v>1</v>
      </c>
      <c r="M61" s="99">
        <f t="shared" ca="1" si="8"/>
        <v>937</v>
      </c>
      <c r="N61" s="175" t="e">
        <f t="shared" si="9"/>
        <v>#DIV/0!</v>
      </c>
      <c r="O61" s="77" t="e">
        <f>IF(D$16=1,_xll.xCalcSkew($A61,P61-AZ61,b)/100,0)</f>
        <v>#DIV/0!</v>
      </c>
      <c r="P61" s="98">
        <f t="shared" si="10"/>
        <v>2.5</v>
      </c>
      <c r="R61" s="97">
        <f t="shared" si="11"/>
        <v>3.5000000000000003E-2</v>
      </c>
      <c r="S61" s="100">
        <f t="shared" si="12"/>
        <v>1</v>
      </c>
      <c r="T61" s="99">
        <f t="shared" ca="1" si="13"/>
        <v>937</v>
      </c>
      <c r="U61" s="175" t="e">
        <f t="shared" si="14"/>
        <v>#DIV/0!</v>
      </c>
      <c r="V61" s="77" t="e">
        <f>IF(F$16=1,_xll.xCalcSkew($A61,W61-BK61,b)/100,0)</f>
        <v>#DIV/0!</v>
      </c>
      <c r="W61" s="98">
        <f t="shared" si="15"/>
        <v>2.5</v>
      </c>
      <c r="X61" s="99"/>
      <c r="Y61" s="97">
        <f t="shared" si="16"/>
        <v>3.5000000000000003E-2</v>
      </c>
      <c r="Z61" s="100">
        <f t="shared" si="17"/>
        <v>1</v>
      </c>
      <c r="AA61" s="99">
        <f t="shared" ca="1" si="18"/>
        <v>937</v>
      </c>
      <c r="AB61" s="77" t="e">
        <f t="shared" si="19"/>
        <v>#DIV/0!</v>
      </c>
      <c r="AC61" s="77" t="e">
        <f>IF(H$16=1,_xll.xCalcSkew($A61,AD61-BV61,b)/100,0)</f>
        <v>#DIV/0!</v>
      </c>
      <c r="AD61" s="98">
        <f t="shared" si="20"/>
        <v>2.4900000000000002</v>
      </c>
      <c r="AF61" s="99">
        <f t="shared" ca="1" si="21"/>
        <v>937</v>
      </c>
      <c r="AG61" s="99">
        <f t="shared" ca="1" si="22"/>
        <v>936</v>
      </c>
      <c r="AH61" s="77">
        <f t="shared" si="67"/>
        <v>3.9742489332663701E-2</v>
      </c>
      <c r="AI61" s="154">
        <f t="shared" si="0"/>
        <v>31</v>
      </c>
      <c r="AJ61" s="101"/>
      <c r="AK61" s="101"/>
      <c r="AL61" s="101"/>
      <c r="AM61" s="101"/>
      <c r="AN61" s="78">
        <f t="shared" si="49"/>
        <v>0</v>
      </c>
      <c r="AO61" s="303" t="e">
        <f t="shared" si="50"/>
        <v>#DIV/0!</v>
      </c>
      <c r="AP61" s="75">
        <f t="shared" si="24"/>
        <v>0</v>
      </c>
      <c r="AQ61" s="102">
        <f t="shared" si="25"/>
        <v>0</v>
      </c>
      <c r="AR61" s="101">
        <f t="shared" si="26"/>
        <v>0</v>
      </c>
      <c r="AS61" s="101">
        <f t="shared" si="51"/>
        <v>0</v>
      </c>
      <c r="AT61" s="101">
        <f t="shared" si="27"/>
        <v>0</v>
      </c>
      <c r="AU61" s="103">
        <f t="shared" si="52"/>
        <v>0</v>
      </c>
      <c r="AV61" s="103">
        <f t="shared" si="53"/>
        <v>0</v>
      </c>
      <c r="AW61" s="103">
        <f t="shared" si="54"/>
        <v>0</v>
      </c>
      <c r="AY61" s="78">
        <f t="shared" si="28"/>
        <v>0</v>
      </c>
      <c r="AZ61" s="303" t="e">
        <f t="shared" si="55"/>
        <v>#DIV/0!</v>
      </c>
      <c r="BA61" s="75">
        <f t="shared" si="29"/>
        <v>0</v>
      </c>
      <c r="BB61" s="102">
        <f t="shared" si="30"/>
        <v>0</v>
      </c>
      <c r="BC61" s="101">
        <f t="shared" si="31"/>
        <v>0</v>
      </c>
      <c r="BD61" s="101">
        <f t="shared" si="32"/>
        <v>0</v>
      </c>
      <c r="BE61" s="101">
        <f t="shared" si="33"/>
        <v>0</v>
      </c>
      <c r="BF61" s="103">
        <f t="shared" si="56"/>
        <v>0</v>
      </c>
      <c r="BG61" s="103">
        <f t="shared" si="57"/>
        <v>0</v>
      </c>
      <c r="BH61" s="103">
        <f t="shared" si="58"/>
        <v>0</v>
      </c>
      <c r="BJ61" s="78">
        <f t="shared" si="34"/>
        <v>0</v>
      </c>
      <c r="BK61" s="303" t="e">
        <f t="shared" si="59"/>
        <v>#DIV/0!</v>
      </c>
      <c r="BL61" s="75">
        <f t="shared" si="35"/>
        <v>0</v>
      </c>
      <c r="BM61" s="102">
        <f t="shared" si="36"/>
        <v>0</v>
      </c>
      <c r="BN61" s="101">
        <f t="shared" si="37"/>
        <v>0</v>
      </c>
      <c r="BO61" s="101">
        <f t="shared" si="38"/>
        <v>0</v>
      </c>
      <c r="BP61" s="101">
        <f t="shared" si="39"/>
        <v>0</v>
      </c>
      <c r="BQ61" s="103">
        <f t="shared" si="60"/>
        <v>0</v>
      </c>
      <c r="BR61" s="103">
        <f t="shared" si="61"/>
        <v>0</v>
      </c>
      <c r="BS61" s="103">
        <f t="shared" si="62"/>
        <v>0</v>
      </c>
      <c r="BU61" s="78">
        <f t="shared" si="40"/>
        <v>0</v>
      </c>
      <c r="BV61" s="303" t="e">
        <f t="shared" si="63"/>
        <v>#DIV/0!</v>
      </c>
      <c r="BW61" s="75">
        <f t="shared" si="41"/>
        <v>0</v>
      </c>
      <c r="BX61" s="102">
        <f t="shared" si="42"/>
        <v>0</v>
      </c>
      <c r="BY61" s="101">
        <f t="shared" si="43"/>
        <v>0</v>
      </c>
      <c r="BZ61" s="101">
        <f t="shared" si="44"/>
        <v>0</v>
      </c>
      <c r="CA61" s="101">
        <f t="shared" si="45"/>
        <v>0</v>
      </c>
      <c r="CB61" s="103">
        <f t="shared" si="64"/>
        <v>0</v>
      </c>
      <c r="CC61" s="103">
        <f t="shared" si="65"/>
        <v>0</v>
      </c>
      <c r="CD61" s="103">
        <f t="shared" si="66"/>
        <v>0</v>
      </c>
    </row>
    <row r="62" spans="1:82" x14ac:dyDescent="0.2">
      <c r="A62" s="96">
        <f t="shared" si="46"/>
        <v>38231</v>
      </c>
      <c r="B62" s="97">
        <f t="shared" si="47"/>
        <v>3.2749999999999999</v>
      </c>
      <c r="C62" s="77">
        <f t="shared" si="48"/>
        <v>0.315</v>
      </c>
      <c r="D62" s="97">
        <f t="shared" si="1"/>
        <v>0</v>
      </c>
      <c r="E62" s="100">
        <f t="shared" si="2"/>
        <v>1</v>
      </c>
      <c r="F62" s="99">
        <f t="shared" ca="1" si="3"/>
        <v>966</v>
      </c>
      <c r="G62" s="77" t="e">
        <f t="shared" si="4"/>
        <v>#DIV/0!</v>
      </c>
      <c r="H62" s="77" t="e">
        <f>IF(B$16=1,_xll.xCalcSkew(A62,I62-AO62,b)/100,0)</f>
        <v>#DIV/0!</v>
      </c>
      <c r="I62" s="98">
        <f t="shared" si="5"/>
        <v>4</v>
      </c>
      <c r="K62" s="97">
        <f t="shared" si="6"/>
        <v>2.75E-2</v>
      </c>
      <c r="L62" s="100">
        <f t="shared" si="7"/>
        <v>1</v>
      </c>
      <c r="M62" s="99">
        <f t="shared" ca="1" si="8"/>
        <v>967</v>
      </c>
      <c r="N62" s="175" t="e">
        <f t="shared" si="9"/>
        <v>#DIV/0!</v>
      </c>
      <c r="O62" s="77" t="e">
        <f>IF(D$16=1,_xll.xCalcSkew($A62,P62-AZ62,b)/100,0)</f>
        <v>#DIV/0!</v>
      </c>
      <c r="P62" s="98">
        <f t="shared" si="10"/>
        <v>2.5</v>
      </c>
      <c r="R62" s="97">
        <f t="shared" si="11"/>
        <v>2.75E-2</v>
      </c>
      <c r="S62" s="100">
        <f t="shared" si="12"/>
        <v>1</v>
      </c>
      <c r="T62" s="99">
        <f t="shared" ca="1" si="13"/>
        <v>967</v>
      </c>
      <c r="U62" s="175" t="e">
        <f t="shared" si="14"/>
        <v>#DIV/0!</v>
      </c>
      <c r="V62" s="77" t="e">
        <f>IF(F$16=1,_xll.xCalcSkew($A62,W62-BK62,b)/100,0)</f>
        <v>#DIV/0!</v>
      </c>
      <c r="W62" s="98">
        <f t="shared" si="15"/>
        <v>2.5</v>
      </c>
      <c r="X62" s="99"/>
      <c r="Y62" s="97">
        <f t="shared" si="16"/>
        <v>2.75E-2</v>
      </c>
      <c r="Z62" s="100">
        <f t="shared" si="17"/>
        <v>1</v>
      </c>
      <c r="AA62" s="99">
        <f t="shared" ca="1" si="18"/>
        <v>967</v>
      </c>
      <c r="AB62" s="77" t="e">
        <f t="shared" si="19"/>
        <v>#DIV/0!</v>
      </c>
      <c r="AC62" s="77" t="e">
        <f>IF(H$16=1,_xll.xCalcSkew($A62,AD62-BV62,b)/100,0)</f>
        <v>#DIV/0!</v>
      </c>
      <c r="AD62" s="98">
        <f t="shared" si="20"/>
        <v>2.4900000000000002</v>
      </c>
      <c r="AF62" s="99">
        <f t="shared" ca="1" si="21"/>
        <v>967</v>
      </c>
      <c r="AG62" s="99">
        <f t="shared" ca="1" si="22"/>
        <v>966</v>
      </c>
      <c r="AH62" s="77">
        <f t="shared" si="67"/>
        <v>4.0386750778223797E-2</v>
      </c>
      <c r="AI62" s="154">
        <f t="shared" si="0"/>
        <v>30</v>
      </c>
      <c r="AJ62" s="101"/>
      <c r="AK62" s="101"/>
      <c r="AL62" s="101"/>
      <c r="AM62" s="101"/>
      <c r="AN62" s="78">
        <f t="shared" si="49"/>
        <v>0</v>
      </c>
      <c r="AO62" s="303" t="e">
        <f t="shared" si="50"/>
        <v>#DIV/0!</v>
      </c>
      <c r="AP62" s="75">
        <f t="shared" si="24"/>
        <v>0</v>
      </c>
      <c r="AQ62" s="102">
        <f t="shared" si="25"/>
        <v>0</v>
      </c>
      <c r="AR62" s="101">
        <f t="shared" si="26"/>
        <v>0</v>
      </c>
      <c r="AS62" s="101">
        <f t="shared" si="51"/>
        <v>0</v>
      </c>
      <c r="AT62" s="101">
        <f t="shared" si="27"/>
        <v>0</v>
      </c>
      <c r="AU62" s="103">
        <f t="shared" si="52"/>
        <v>0</v>
      </c>
      <c r="AV62" s="103">
        <f t="shared" si="53"/>
        <v>0</v>
      </c>
      <c r="AW62" s="103">
        <f t="shared" si="54"/>
        <v>0</v>
      </c>
      <c r="AY62" s="78">
        <f t="shared" si="28"/>
        <v>0</v>
      </c>
      <c r="AZ62" s="303" t="e">
        <f t="shared" si="55"/>
        <v>#DIV/0!</v>
      </c>
      <c r="BA62" s="75">
        <f t="shared" si="29"/>
        <v>0</v>
      </c>
      <c r="BB62" s="102">
        <f t="shared" si="30"/>
        <v>0</v>
      </c>
      <c r="BC62" s="101">
        <f t="shared" si="31"/>
        <v>0</v>
      </c>
      <c r="BD62" s="101">
        <f t="shared" si="32"/>
        <v>0</v>
      </c>
      <c r="BE62" s="101">
        <f t="shared" si="33"/>
        <v>0</v>
      </c>
      <c r="BF62" s="103">
        <f t="shared" si="56"/>
        <v>0</v>
      </c>
      <c r="BG62" s="103">
        <f t="shared" si="57"/>
        <v>0</v>
      </c>
      <c r="BH62" s="103">
        <f t="shared" si="58"/>
        <v>0</v>
      </c>
      <c r="BJ62" s="78">
        <f t="shared" si="34"/>
        <v>0</v>
      </c>
      <c r="BK62" s="303" t="e">
        <f t="shared" si="59"/>
        <v>#DIV/0!</v>
      </c>
      <c r="BL62" s="75">
        <f t="shared" si="35"/>
        <v>0</v>
      </c>
      <c r="BM62" s="102">
        <f t="shared" si="36"/>
        <v>0</v>
      </c>
      <c r="BN62" s="101">
        <f t="shared" si="37"/>
        <v>0</v>
      </c>
      <c r="BO62" s="101">
        <f t="shared" si="38"/>
        <v>0</v>
      </c>
      <c r="BP62" s="101">
        <f t="shared" si="39"/>
        <v>0</v>
      </c>
      <c r="BQ62" s="103">
        <f t="shared" si="60"/>
        <v>0</v>
      </c>
      <c r="BR62" s="103">
        <f t="shared" si="61"/>
        <v>0</v>
      </c>
      <c r="BS62" s="103">
        <f t="shared" si="62"/>
        <v>0</v>
      </c>
      <c r="BU62" s="78">
        <f t="shared" si="40"/>
        <v>0</v>
      </c>
      <c r="BV62" s="303" t="e">
        <f t="shared" si="63"/>
        <v>#DIV/0!</v>
      </c>
      <c r="BW62" s="75">
        <f t="shared" si="41"/>
        <v>0</v>
      </c>
      <c r="BX62" s="102">
        <f t="shared" si="42"/>
        <v>0</v>
      </c>
      <c r="BY62" s="101">
        <f t="shared" si="43"/>
        <v>0</v>
      </c>
      <c r="BZ62" s="101">
        <f t="shared" si="44"/>
        <v>0</v>
      </c>
      <c r="CA62" s="101">
        <f t="shared" si="45"/>
        <v>0</v>
      </c>
      <c r="CB62" s="103">
        <f t="shared" si="64"/>
        <v>0</v>
      </c>
      <c r="CC62" s="103">
        <f t="shared" si="65"/>
        <v>0</v>
      </c>
      <c r="CD62" s="103">
        <f t="shared" si="66"/>
        <v>0</v>
      </c>
    </row>
    <row r="63" spans="1:82" x14ac:dyDescent="0.2">
      <c r="A63" s="96">
        <f t="shared" si="46"/>
        <v>38261</v>
      </c>
      <c r="B63" s="97">
        <f t="shared" si="47"/>
        <v>3.3</v>
      </c>
      <c r="C63" s="77">
        <f t="shared" si="48"/>
        <v>0.315</v>
      </c>
      <c r="D63" s="97">
        <f t="shared" si="1"/>
        <v>0</v>
      </c>
      <c r="E63" s="100">
        <f t="shared" si="2"/>
        <v>1</v>
      </c>
      <c r="F63" s="99">
        <f t="shared" ca="1" si="3"/>
        <v>998</v>
      </c>
      <c r="G63" s="77" t="e">
        <f t="shared" si="4"/>
        <v>#DIV/0!</v>
      </c>
      <c r="H63" s="77" t="e">
        <f>IF(B$16=1,_xll.xCalcSkew(A63,I63-AO63,b)/100,0)</f>
        <v>#DIV/0!</v>
      </c>
      <c r="I63" s="98">
        <f t="shared" ref="I63:I94" si="68">IF($B$19=4,$AO63,$B$18)</f>
        <v>4</v>
      </c>
      <c r="K63" s="97">
        <f t="shared" si="6"/>
        <v>1.7500000000000002E-2</v>
      </c>
      <c r="L63" s="100">
        <f t="shared" si="7"/>
        <v>1</v>
      </c>
      <c r="M63" s="99">
        <f t="shared" ca="1" si="8"/>
        <v>999</v>
      </c>
      <c r="N63" s="175" t="e">
        <f t="shared" si="9"/>
        <v>#DIV/0!</v>
      </c>
      <c r="O63" s="77" t="e">
        <f>IF(D$16=1,_xll.xCalcSkew($A63,P63-AZ63,b)/100,0)</f>
        <v>#DIV/0!</v>
      </c>
      <c r="P63" s="98">
        <f t="shared" ref="P63:P94" si="69">IF($D$19=4,$AZ63,$D$18)</f>
        <v>2.5</v>
      </c>
      <c r="R63" s="97">
        <f t="shared" si="11"/>
        <v>1.7500000000000002E-2</v>
      </c>
      <c r="S63" s="100">
        <f t="shared" si="12"/>
        <v>1</v>
      </c>
      <c r="T63" s="99">
        <f t="shared" ca="1" si="13"/>
        <v>999</v>
      </c>
      <c r="U63" s="175" t="e">
        <f t="shared" si="14"/>
        <v>#DIV/0!</v>
      </c>
      <c r="V63" s="77" t="e">
        <f>IF(F$16=1,_xll.xCalcSkew($A63,W63-BK63,b)/100,0)</f>
        <v>#DIV/0!</v>
      </c>
      <c r="W63" s="98">
        <f t="shared" ref="W63:W94" si="70">IF($F$19=4,$BK63,$F$18)</f>
        <v>2.5</v>
      </c>
      <c r="X63" s="99"/>
      <c r="Y63" s="97">
        <f t="shared" si="16"/>
        <v>1.7500000000000002E-2</v>
      </c>
      <c r="Z63" s="100">
        <f t="shared" si="17"/>
        <v>1</v>
      </c>
      <c r="AA63" s="99">
        <f t="shared" ca="1" si="18"/>
        <v>999</v>
      </c>
      <c r="AB63" s="77" t="e">
        <f t="shared" si="19"/>
        <v>#DIV/0!</v>
      </c>
      <c r="AC63" s="77" t="e">
        <f>IF(H$16=1,_xll.xCalcSkew($A63,AD63-BV63,b)/100,0)</f>
        <v>#DIV/0!</v>
      </c>
      <c r="AD63" s="98">
        <f t="shared" ref="AD63:AD94" si="71">IF($H$19=4,$BV63,$H$18)</f>
        <v>2.4900000000000002</v>
      </c>
      <c r="AF63" s="99">
        <f t="shared" ca="1" si="21"/>
        <v>999</v>
      </c>
      <c r="AG63" s="99">
        <f t="shared" ca="1" si="22"/>
        <v>998</v>
      </c>
      <c r="AH63" s="77">
        <f t="shared" si="67"/>
        <v>4.0975446534947203E-2</v>
      </c>
      <c r="AI63" s="154">
        <f t="shared" si="0"/>
        <v>31</v>
      </c>
      <c r="AJ63" s="101"/>
      <c r="AK63" s="101"/>
      <c r="AL63" s="101"/>
      <c r="AM63" s="101"/>
      <c r="AN63" s="78">
        <f t="shared" si="49"/>
        <v>0</v>
      </c>
      <c r="AO63" s="303" t="e">
        <f t="shared" si="50"/>
        <v>#DIV/0!</v>
      </c>
      <c r="AP63" s="75">
        <f t="shared" ref="AP63:AP94" si="72">AN63*($B63+B$13)</f>
        <v>0</v>
      </c>
      <c r="AQ63" s="102">
        <f t="shared" ref="AQ63:AQ94" si="73">IF(ISNUMBER(((AP63/AN63)+B$14+$D63)*AN63),((AP63/AN63)+B$14+$D63)*AN63,0)</f>
        <v>0</v>
      </c>
      <c r="AR63" s="101">
        <f t="shared" si="26"/>
        <v>0</v>
      </c>
      <c r="AS63" s="101">
        <f t="shared" si="51"/>
        <v>0</v>
      </c>
      <c r="AT63" s="101">
        <f t="shared" si="27"/>
        <v>0</v>
      </c>
      <c r="AU63" s="103">
        <f t="shared" si="52"/>
        <v>0</v>
      </c>
      <c r="AV63" s="103">
        <f t="shared" si="53"/>
        <v>0</v>
      </c>
      <c r="AW63" s="103">
        <f t="shared" si="54"/>
        <v>0</v>
      </c>
      <c r="AY63" s="78">
        <f t="shared" si="28"/>
        <v>0</v>
      </c>
      <c r="AZ63" s="303" t="e">
        <f t="shared" si="55"/>
        <v>#DIV/0!</v>
      </c>
      <c r="BA63" s="75">
        <f t="shared" ref="BA63:BA94" si="74">AY63*($B63+D$13)</f>
        <v>0</v>
      </c>
      <c r="BB63" s="102">
        <f t="shared" ref="BB63:BB94" si="75">IF(ISNUMBER(((BA63/AY63)+D$14+$K63)*AY63),((BA63/AY63)+D$14+$K63)*AY63,0)</f>
        <v>0</v>
      </c>
      <c r="BC63" s="101">
        <f t="shared" si="31"/>
        <v>0</v>
      </c>
      <c r="BD63" s="101">
        <f t="shared" si="32"/>
        <v>0</v>
      </c>
      <c r="BE63" s="101">
        <f t="shared" si="33"/>
        <v>0</v>
      </c>
      <c r="BF63" s="103">
        <f t="shared" si="56"/>
        <v>0</v>
      </c>
      <c r="BG63" s="103">
        <f t="shared" si="57"/>
        <v>0</v>
      </c>
      <c r="BH63" s="103">
        <f t="shared" si="58"/>
        <v>0</v>
      </c>
      <c r="BJ63" s="78">
        <f t="shared" si="34"/>
        <v>0</v>
      </c>
      <c r="BK63" s="303" t="e">
        <f t="shared" si="59"/>
        <v>#DIV/0!</v>
      </c>
      <c r="BL63" s="75">
        <f t="shared" ref="BL63:BL94" si="76">BJ63*($B63+F$13)</f>
        <v>0</v>
      </c>
      <c r="BM63" s="102">
        <f t="shared" ref="BM63:BM94" si="77">IF(ISNUMBER(((BL63/BJ63)+F$14+$R63)*BJ63),((BL63/BJ63)+F$14+$R63)*BJ63,0)</f>
        <v>0</v>
      </c>
      <c r="BN63" s="101">
        <f t="shared" si="37"/>
        <v>0</v>
      </c>
      <c r="BO63" s="101">
        <f t="shared" si="38"/>
        <v>0</v>
      </c>
      <c r="BP63" s="101">
        <f t="shared" si="39"/>
        <v>0</v>
      </c>
      <c r="BQ63" s="103">
        <f t="shared" si="60"/>
        <v>0</v>
      </c>
      <c r="BR63" s="103">
        <f t="shared" si="61"/>
        <v>0</v>
      </c>
      <c r="BS63" s="103">
        <f t="shared" si="62"/>
        <v>0</v>
      </c>
      <c r="BU63" s="78">
        <f t="shared" si="40"/>
        <v>0</v>
      </c>
      <c r="BV63" s="303" t="e">
        <f t="shared" si="63"/>
        <v>#DIV/0!</v>
      </c>
      <c r="BW63" s="75">
        <f t="shared" ref="BW63:BW94" si="78">BU63*($B63+H$13)</f>
        <v>0</v>
      </c>
      <c r="BX63" s="102">
        <f t="shared" ref="BX63:BX94" si="79">IF(ISNUMBER(((BW63/BU63)+H$14+$Y63)*BU63),((BW63/BU63)+H$14+$Y63)*BU63,0)</f>
        <v>0</v>
      </c>
      <c r="BY63" s="101">
        <f t="shared" si="43"/>
        <v>0</v>
      </c>
      <c r="BZ63" s="101">
        <f t="shared" si="44"/>
        <v>0</v>
      </c>
      <c r="CA63" s="101">
        <f t="shared" si="45"/>
        <v>0</v>
      </c>
      <c r="CB63" s="103">
        <f t="shared" si="64"/>
        <v>0</v>
      </c>
      <c r="CC63" s="103">
        <f t="shared" si="65"/>
        <v>0</v>
      </c>
      <c r="CD63" s="103">
        <f t="shared" si="66"/>
        <v>0</v>
      </c>
    </row>
    <row r="64" spans="1:82" x14ac:dyDescent="0.2">
      <c r="A64" s="96">
        <f t="shared" si="46"/>
        <v>38292</v>
      </c>
      <c r="B64" s="97">
        <f t="shared" si="47"/>
        <v>3.452</v>
      </c>
      <c r="C64" s="77">
        <f t="shared" si="48"/>
        <v>0.315</v>
      </c>
      <c r="D64" s="97">
        <f t="shared" si="1"/>
        <v>0</v>
      </c>
      <c r="E64" s="100">
        <f t="shared" si="2"/>
        <v>1</v>
      </c>
      <c r="F64" s="99">
        <f t="shared" ca="1" si="3"/>
        <v>1027</v>
      </c>
      <c r="G64" s="77" t="e">
        <f t="shared" si="4"/>
        <v>#DIV/0!</v>
      </c>
      <c r="H64" s="77" t="e">
        <f>IF(B$16=1,_xll.xCalcSkew(A64,I64-AO64,b)/100,0)</f>
        <v>#DIV/0!</v>
      </c>
      <c r="I64" s="98">
        <f t="shared" si="68"/>
        <v>4</v>
      </c>
      <c r="K64" s="97">
        <f t="shared" si="6"/>
        <v>-2.5000000000000001E-2</v>
      </c>
      <c r="L64" s="100">
        <f t="shared" si="7"/>
        <v>1</v>
      </c>
      <c r="M64" s="99">
        <f t="shared" ca="1" si="8"/>
        <v>1028</v>
      </c>
      <c r="N64" s="175" t="e">
        <f t="shared" si="9"/>
        <v>#DIV/0!</v>
      </c>
      <c r="O64" s="77" t="e">
        <f>IF(D$16=1,_xll.xCalcSkew($A64,P64-AZ64,b)/100,0)</f>
        <v>#DIV/0!</v>
      </c>
      <c r="P64" s="98">
        <f t="shared" si="69"/>
        <v>2.5</v>
      </c>
      <c r="R64" s="97">
        <f t="shared" si="11"/>
        <v>-2.5000000000000001E-2</v>
      </c>
      <c r="S64" s="100">
        <f t="shared" si="12"/>
        <v>1</v>
      </c>
      <c r="T64" s="99">
        <f t="shared" ca="1" si="13"/>
        <v>1028</v>
      </c>
      <c r="U64" s="175" t="e">
        <f t="shared" si="14"/>
        <v>#DIV/0!</v>
      </c>
      <c r="V64" s="77" t="e">
        <f>IF(F$16=1,_xll.xCalcSkew($A64,W64-BK64,b)/100,0)</f>
        <v>#DIV/0!</v>
      </c>
      <c r="W64" s="98">
        <f t="shared" si="70"/>
        <v>2.5</v>
      </c>
      <c r="X64" s="99"/>
      <c r="Y64" s="97">
        <f t="shared" si="16"/>
        <v>-2.5000000000000001E-2</v>
      </c>
      <c r="Z64" s="100">
        <f t="shared" si="17"/>
        <v>1</v>
      </c>
      <c r="AA64" s="99">
        <f t="shared" ca="1" si="18"/>
        <v>1028</v>
      </c>
      <c r="AB64" s="77" t="e">
        <f t="shared" si="19"/>
        <v>#DIV/0!</v>
      </c>
      <c r="AC64" s="77" t="e">
        <f>IF(H$16=1,_xll.xCalcSkew($A64,AD64-BV64,b)/100,0)</f>
        <v>#DIV/0!</v>
      </c>
      <c r="AD64" s="98">
        <f t="shared" si="71"/>
        <v>2.4900000000000002</v>
      </c>
      <c r="AF64" s="99">
        <f t="shared" ca="1" si="21"/>
        <v>1028</v>
      </c>
      <c r="AG64" s="99">
        <f t="shared" ca="1" si="22"/>
        <v>1027</v>
      </c>
      <c r="AH64" s="77">
        <f t="shared" si="67"/>
        <v>4.1550342233317203E-2</v>
      </c>
      <c r="AI64" s="154">
        <f t="shared" si="0"/>
        <v>30</v>
      </c>
      <c r="AJ64" s="101"/>
      <c r="AK64" s="101"/>
      <c r="AL64" s="101"/>
      <c r="AM64" s="101"/>
      <c r="AN64" s="78">
        <f t="shared" si="49"/>
        <v>0</v>
      </c>
      <c r="AO64" s="303" t="e">
        <f t="shared" si="50"/>
        <v>#DIV/0!</v>
      </c>
      <c r="AP64" s="75">
        <f t="shared" si="72"/>
        <v>0</v>
      </c>
      <c r="AQ64" s="102">
        <f t="shared" si="73"/>
        <v>0</v>
      </c>
      <c r="AR64" s="101">
        <f t="shared" si="26"/>
        <v>0</v>
      </c>
      <c r="AS64" s="101">
        <f t="shared" si="51"/>
        <v>0</v>
      </c>
      <c r="AT64" s="101">
        <f t="shared" si="27"/>
        <v>0</v>
      </c>
      <c r="AU64" s="103">
        <f t="shared" si="52"/>
        <v>0</v>
      </c>
      <c r="AV64" s="103">
        <f t="shared" si="53"/>
        <v>0</v>
      </c>
      <c r="AW64" s="103">
        <f t="shared" si="54"/>
        <v>0</v>
      </c>
      <c r="AY64" s="78">
        <f t="shared" si="28"/>
        <v>0</v>
      </c>
      <c r="AZ64" s="303" t="e">
        <f t="shared" si="55"/>
        <v>#DIV/0!</v>
      </c>
      <c r="BA64" s="75">
        <f t="shared" si="74"/>
        <v>0</v>
      </c>
      <c r="BB64" s="102">
        <f t="shared" si="75"/>
        <v>0</v>
      </c>
      <c r="BC64" s="101">
        <f t="shared" si="31"/>
        <v>0</v>
      </c>
      <c r="BD64" s="101">
        <f t="shared" si="32"/>
        <v>0</v>
      </c>
      <c r="BE64" s="101">
        <f t="shared" si="33"/>
        <v>0</v>
      </c>
      <c r="BF64" s="103">
        <f t="shared" si="56"/>
        <v>0</v>
      </c>
      <c r="BG64" s="103">
        <f t="shared" si="57"/>
        <v>0</v>
      </c>
      <c r="BH64" s="103">
        <f t="shared" si="58"/>
        <v>0</v>
      </c>
      <c r="BJ64" s="78">
        <f t="shared" si="34"/>
        <v>0</v>
      </c>
      <c r="BK64" s="303" t="e">
        <f t="shared" si="59"/>
        <v>#DIV/0!</v>
      </c>
      <c r="BL64" s="75">
        <f t="shared" si="76"/>
        <v>0</v>
      </c>
      <c r="BM64" s="102">
        <f t="shared" si="77"/>
        <v>0</v>
      </c>
      <c r="BN64" s="101">
        <f t="shared" si="37"/>
        <v>0</v>
      </c>
      <c r="BO64" s="101">
        <f t="shared" si="38"/>
        <v>0</v>
      </c>
      <c r="BP64" s="101">
        <f t="shared" si="39"/>
        <v>0</v>
      </c>
      <c r="BQ64" s="103">
        <f t="shared" si="60"/>
        <v>0</v>
      </c>
      <c r="BR64" s="103">
        <f t="shared" si="61"/>
        <v>0</v>
      </c>
      <c r="BS64" s="103">
        <f t="shared" si="62"/>
        <v>0</v>
      </c>
      <c r="BU64" s="78">
        <f t="shared" si="40"/>
        <v>0</v>
      </c>
      <c r="BV64" s="303" t="e">
        <f t="shared" si="63"/>
        <v>#DIV/0!</v>
      </c>
      <c r="BW64" s="75">
        <f t="shared" si="78"/>
        <v>0</v>
      </c>
      <c r="BX64" s="102">
        <f t="shared" si="79"/>
        <v>0</v>
      </c>
      <c r="BY64" s="101">
        <f t="shared" si="43"/>
        <v>0</v>
      </c>
      <c r="BZ64" s="101">
        <f t="shared" si="44"/>
        <v>0</v>
      </c>
      <c r="CA64" s="101">
        <f t="shared" si="45"/>
        <v>0</v>
      </c>
      <c r="CB64" s="103">
        <f t="shared" si="64"/>
        <v>0</v>
      </c>
      <c r="CC64" s="103">
        <f t="shared" si="65"/>
        <v>0</v>
      </c>
      <c r="CD64" s="103">
        <f t="shared" si="66"/>
        <v>0</v>
      </c>
    </row>
    <row r="65" spans="1:82" x14ac:dyDescent="0.2">
      <c r="A65" s="96">
        <f t="shared" si="46"/>
        <v>38322</v>
      </c>
      <c r="B65" s="97">
        <f t="shared" si="47"/>
        <v>3.5950000000000002</v>
      </c>
      <c r="C65" s="77">
        <f t="shared" si="48"/>
        <v>0.315</v>
      </c>
      <c r="D65" s="97">
        <f t="shared" si="1"/>
        <v>0</v>
      </c>
      <c r="E65" s="100">
        <f t="shared" si="2"/>
        <v>1</v>
      </c>
      <c r="F65" s="99">
        <f t="shared" ca="1" si="3"/>
        <v>1056</v>
      </c>
      <c r="G65" s="77" t="e">
        <f t="shared" si="4"/>
        <v>#DIV/0!</v>
      </c>
      <c r="H65" s="77" t="e">
        <f>IF(B$16=1,_xll.xCalcSkew(A65,I65-AO65,b)/100,0)</f>
        <v>#DIV/0!</v>
      </c>
      <c r="I65" s="98">
        <f t="shared" si="68"/>
        <v>4</v>
      </c>
      <c r="K65" s="97">
        <f t="shared" si="6"/>
        <v>-4.7500000000000001E-2</v>
      </c>
      <c r="L65" s="100">
        <f t="shared" si="7"/>
        <v>1</v>
      </c>
      <c r="M65" s="99">
        <f t="shared" ca="1" si="8"/>
        <v>1058</v>
      </c>
      <c r="N65" s="175" t="e">
        <f t="shared" si="9"/>
        <v>#DIV/0!</v>
      </c>
      <c r="O65" s="77" t="e">
        <f>IF(D$16=1,_xll.xCalcSkew($A65,P65-AZ65,b)/100,0)</f>
        <v>#DIV/0!</v>
      </c>
      <c r="P65" s="98">
        <f t="shared" si="69"/>
        <v>2.5</v>
      </c>
      <c r="R65" s="97">
        <f t="shared" si="11"/>
        <v>-4.7500000000000001E-2</v>
      </c>
      <c r="S65" s="100">
        <f t="shared" si="12"/>
        <v>1</v>
      </c>
      <c r="T65" s="99">
        <f t="shared" ca="1" si="13"/>
        <v>1058</v>
      </c>
      <c r="U65" s="175" t="e">
        <f t="shared" si="14"/>
        <v>#DIV/0!</v>
      </c>
      <c r="V65" s="77" t="e">
        <f>IF(F$16=1,_xll.xCalcSkew($A65,W65-BK65,b)/100,0)</f>
        <v>#DIV/0!</v>
      </c>
      <c r="W65" s="98">
        <f t="shared" si="70"/>
        <v>2.5</v>
      </c>
      <c r="X65" s="99"/>
      <c r="Y65" s="97">
        <f t="shared" si="16"/>
        <v>-4.7500000000000001E-2</v>
      </c>
      <c r="Z65" s="100">
        <f t="shared" si="17"/>
        <v>1</v>
      </c>
      <c r="AA65" s="99">
        <f t="shared" ca="1" si="18"/>
        <v>1058</v>
      </c>
      <c r="AB65" s="77" t="e">
        <f t="shared" si="19"/>
        <v>#DIV/0!</v>
      </c>
      <c r="AC65" s="77" t="e">
        <f>IF(H$16=1,_xll.xCalcSkew($A65,AD65-BV65,b)/100,0)</f>
        <v>#DIV/0!</v>
      </c>
      <c r="AD65" s="98">
        <f t="shared" si="71"/>
        <v>2.4900000000000002</v>
      </c>
      <c r="AF65" s="99">
        <f t="shared" ca="1" si="21"/>
        <v>1058</v>
      </c>
      <c r="AG65" s="99">
        <f t="shared" ca="1" si="22"/>
        <v>1056</v>
      </c>
      <c r="AH65" s="77">
        <f t="shared" si="67"/>
        <v>4.2106693014662501E-2</v>
      </c>
      <c r="AI65" s="154">
        <f t="shared" si="0"/>
        <v>31</v>
      </c>
      <c r="AJ65" s="101"/>
      <c r="AK65" s="101"/>
      <c r="AL65" s="101"/>
      <c r="AM65" s="101"/>
      <c r="AN65" s="78">
        <f t="shared" si="49"/>
        <v>0</v>
      </c>
      <c r="AO65" s="303" t="e">
        <f t="shared" si="50"/>
        <v>#DIV/0!</v>
      </c>
      <c r="AP65" s="75">
        <f t="shared" si="72"/>
        <v>0</v>
      </c>
      <c r="AQ65" s="102">
        <f t="shared" si="73"/>
        <v>0</v>
      </c>
      <c r="AR65" s="101">
        <f t="shared" si="26"/>
        <v>0</v>
      </c>
      <c r="AS65" s="101">
        <f t="shared" si="51"/>
        <v>0</v>
      </c>
      <c r="AT65" s="101">
        <f t="shared" si="27"/>
        <v>0</v>
      </c>
      <c r="AU65" s="103">
        <f t="shared" si="52"/>
        <v>0</v>
      </c>
      <c r="AV65" s="103">
        <f t="shared" si="53"/>
        <v>0</v>
      </c>
      <c r="AW65" s="103">
        <f t="shared" si="54"/>
        <v>0</v>
      </c>
      <c r="AY65" s="78">
        <f t="shared" si="28"/>
        <v>0</v>
      </c>
      <c r="AZ65" s="303" t="e">
        <f t="shared" si="55"/>
        <v>#DIV/0!</v>
      </c>
      <c r="BA65" s="75">
        <f t="shared" si="74"/>
        <v>0</v>
      </c>
      <c r="BB65" s="102">
        <f t="shared" si="75"/>
        <v>0</v>
      </c>
      <c r="BC65" s="101">
        <f t="shared" si="31"/>
        <v>0</v>
      </c>
      <c r="BD65" s="101">
        <f t="shared" si="32"/>
        <v>0</v>
      </c>
      <c r="BE65" s="101">
        <f t="shared" si="33"/>
        <v>0</v>
      </c>
      <c r="BF65" s="103">
        <f t="shared" si="56"/>
        <v>0</v>
      </c>
      <c r="BG65" s="103">
        <f t="shared" si="57"/>
        <v>0</v>
      </c>
      <c r="BH65" s="103">
        <f t="shared" si="58"/>
        <v>0</v>
      </c>
      <c r="BJ65" s="78">
        <f t="shared" si="34"/>
        <v>0</v>
      </c>
      <c r="BK65" s="303" t="e">
        <f t="shared" si="59"/>
        <v>#DIV/0!</v>
      </c>
      <c r="BL65" s="75">
        <f t="shared" si="76"/>
        <v>0</v>
      </c>
      <c r="BM65" s="102">
        <f t="shared" si="77"/>
        <v>0</v>
      </c>
      <c r="BN65" s="101">
        <f t="shared" si="37"/>
        <v>0</v>
      </c>
      <c r="BO65" s="101">
        <f t="shared" si="38"/>
        <v>0</v>
      </c>
      <c r="BP65" s="101">
        <f t="shared" si="39"/>
        <v>0</v>
      </c>
      <c r="BQ65" s="103">
        <f t="shared" si="60"/>
        <v>0</v>
      </c>
      <c r="BR65" s="103">
        <f t="shared" si="61"/>
        <v>0</v>
      </c>
      <c r="BS65" s="103">
        <f t="shared" si="62"/>
        <v>0</v>
      </c>
      <c r="BU65" s="78">
        <f t="shared" si="40"/>
        <v>0</v>
      </c>
      <c r="BV65" s="303" t="e">
        <f t="shared" si="63"/>
        <v>#DIV/0!</v>
      </c>
      <c r="BW65" s="75">
        <f t="shared" si="78"/>
        <v>0</v>
      </c>
      <c r="BX65" s="102">
        <f t="shared" si="79"/>
        <v>0</v>
      </c>
      <c r="BY65" s="101">
        <f t="shared" si="43"/>
        <v>0</v>
      </c>
      <c r="BZ65" s="101">
        <f t="shared" si="44"/>
        <v>0</v>
      </c>
      <c r="CA65" s="101">
        <f t="shared" si="45"/>
        <v>0</v>
      </c>
      <c r="CB65" s="103">
        <f t="shared" si="64"/>
        <v>0</v>
      </c>
      <c r="CC65" s="103">
        <f t="shared" si="65"/>
        <v>0</v>
      </c>
      <c r="CD65" s="103">
        <f t="shared" si="66"/>
        <v>0</v>
      </c>
    </row>
    <row r="66" spans="1:82" x14ac:dyDescent="0.2">
      <c r="A66" s="96">
        <f t="shared" si="46"/>
        <v>38353</v>
      </c>
      <c r="B66" s="97">
        <f t="shared" si="47"/>
        <v>3.6549999999999998</v>
      </c>
      <c r="C66" s="77">
        <f t="shared" si="48"/>
        <v>0.315</v>
      </c>
      <c r="D66" s="97">
        <f t="shared" si="1"/>
        <v>0</v>
      </c>
      <c r="E66" s="100">
        <f t="shared" si="2"/>
        <v>1</v>
      </c>
      <c r="F66" s="99">
        <f t="shared" ca="1" si="3"/>
        <v>1089</v>
      </c>
      <c r="G66" s="77" t="e">
        <f t="shared" si="4"/>
        <v>#DIV/0!</v>
      </c>
      <c r="H66" s="77" t="e">
        <f>IF(B$16=1,_xll.xCalcSkew(A66,I66-AO66,b)/100,0)</f>
        <v>#DIV/0!</v>
      </c>
      <c r="I66" s="98">
        <f t="shared" si="68"/>
        <v>4</v>
      </c>
      <c r="K66" s="97">
        <f t="shared" si="6"/>
        <v>-0.05</v>
      </c>
      <c r="L66" s="100">
        <f t="shared" si="7"/>
        <v>1</v>
      </c>
      <c r="M66" s="99">
        <f t="shared" ca="1" si="8"/>
        <v>1090</v>
      </c>
      <c r="N66" s="175" t="e">
        <f t="shared" si="9"/>
        <v>#DIV/0!</v>
      </c>
      <c r="O66" s="77" t="e">
        <f>IF(D$16=1,_xll.xCalcSkew($A66,P66-AZ66,b)/100,0)</f>
        <v>#DIV/0!</v>
      </c>
      <c r="P66" s="98">
        <f t="shared" si="69"/>
        <v>2.5</v>
      </c>
      <c r="R66" s="97">
        <f t="shared" si="11"/>
        <v>-0.05</v>
      </c>
      <c r="S66" s="100">
        <f t="shared" si="12"/>
        <v>1</v>
      </c>
      <c r="T66" s="99">
        <f t="shared" ca="1" si="13"/>
        <v>1090</v>
      </c>
      <c r="U66" s="175" t="e">
        <f t="shared" si="14"/>
        <v>#DIV/0!</v>
      </c>
      <c r="V66" s="77" t="e">
        <f>IF(F$16=1,_xll.xCalcSkew($A66,W66-BK66,b)/100,0)</f>
        <v>#DIV/0!</v>
      </c>
      <c r="W66" s="98">
        <f t="shared" si="70"/>
        <v>2.5</v>
      </c>
      <c r="X66" s="99"/>
      <c r="Y66" s="97">
        <f t="shared" si="16"/>
        <v>-0.05</v>
      </c>
      <c r="Z66" s="100">
        <f t="shared" si="17"/>
        <v>1</v>
      </c>
      <c r="AA66" s="99">
        <f t="shared" ca="1" si="18"/>
        <v>1090</v>
      </c>
      <c r="AB66" s="77" t="e">
        <f t="shared" si="19"/>
        <v>#DIV/0!</v>
      </c>
      <c r="AC66" s="77" t="e">
        <f>IF(H$16=1,_xll.xCalcSkew($A66,AD66-BV66,b)/100,0)</f>
        <v>#DIV/0!</v>
      </c>
      <c r="AD66" s="98">
        <f t="shared" si="71"/>
        <v>2.4900000000000002</v>
      </c>
      <c r="AF66" s="99">
        <f t="shared" ca="1" si="21"/>
        <v>1090</v>
      </c>
      <c r="AG66" s="99">
        <f t="shared" ca="1" si="22"/>
        <v>1089</v>
      </c>
      <c r="AH66" s="77">
        <f t="shared" si="67"/>
        <v>4.26576899474638E-2</v>
      </c>
      <c r="AI66" s="154">
        <f t="shared" si="0"/>
        <v>31</v>
      </c>
      <c r="AJ66" s="101"/>
      <c r="AK66" s="101"/>
      <c r="AL66" s="101"/>
      <c r="AM66" s="101"/>
      <c r="AN66" s="78">
        <f t="shared" si="49"/>
        <v>0</v>
      </c>
      <c r="AO66" s="303" t="e">
        <f t="shared" si="50"/>
        <v>#DIV/0!</v>
      </c>
      <c r="AP66" s="75">
        <f t="shared" si="72"/>
        <v>0</v>
      </c>
      <c r="AQ66" s="102">
        <f t="shared" si="73"/>
        <v>0</v>
      </c>
      <c r="AR66" s="101">
        <f t="shared" si="26"/>
        <v>0</v>
      </c>
      <c r="AS66" s="101">
        <f t="shared" si="51"/>
        <v>0</v>
      </c>
      <c r="AT66" s="101">
        <f t="shared" si="27"/>
        <v>0</v>
      </c>
      <c r="AU66" s="103">
        <f t="shared" si="52"/>
        <v>0</v>
      </c>
      <c r="AV66" s="103">
        <f t="shared" si="53"/>
        <v>0</v>
      </c>
      <c r="AW66" s="103">
        <f t="shared" si="54"/>
        <v>0</v>
      </c>
      <c r="AY66" s="78">
        <f t="shared" si="28"/>
        <v>0</v>
      </c>
      <c r="AZ66" s="303" t="e">
        <f t="shared" si="55"/>
        <v>#DIV/0!</v>
      </c>
      <c r="BA66" s="75">
        <f t="shared" si="74"/>
        <v>0</v>
      </c>
      <c r="BB66" s="102">
        <f t="shared" si="75"/>
        <v>0</v>
      </c>
      <c r="BC66" s="101">
        <f t="shared" si="31"/>
        <v>0</v>
      </c>
      <c r="BD66" s="101">
        <f t="shared" si="32"/>
        <v>0</v>
      </c>
      <c r="BE66" s="101">
        <f t="shared" si="33"/>
        <v>0</v>
      </c>
      <c r="BF66" s="103">
        <f t="shared" si="56"/>
        <v>0</v>
      </c>
      <c r="BG66" s="103">
        <f t="shared" si="57"/>
        <v>0</v>
      </c>
      <c r="BH66" s="103">
        <f t="shared" si="58"/>
        <v>0</v>
      </c>
      <c r="BJ66" s="78">
        <f t="shared" si="34"/>
        <v>0</v>
      </c>
      <c r="BK66" s="303" t="e">
        <f t="shared" si="59"/>
        <v>#DIV/0!</v>
      </c>
      <c r="BL66" s="75">
        <f t="shared" si="76"/>
        <v>0</v>
      </c>
      <c r="BM66" s="102">
        <f t="shared" si="77"/>
        <v>0</v>
      </c>
      <c r="BN66" s="101">
        <f t="shared" si="37"/>
        <v>0</v>
      </c>
      <c r="BO66" s="101">
        <f t="shared" si="38"/>
        <v>0</v>
      </c>
      <c r="BP66" s="101">
        <f t="shared" si="39"/>
        <v>0</v>
      </c>
      <c r="BQ66" s="103">
        <f t="shared" si="60"/>
        <v>0</v>
      </c>
      <c r="BR66" s="103">
        <f t="shared" si="61"/>
        <v>0</v>
      </c>
      <c r="BS66" s="103">
        <f t="shared" si="62"/>
        <v>0</v>
      </c>
      <c r="BU66" s="78">
        <f t="shared" si="40"/>
        <v>0</v>
      </c>
      <c r="BV66" s="303" t="e">
        <f t="shared" si="63"/>
        <v>#DIV/0!</v>
      </c>
      <c r="BW66" s="75">
        <f t="shared" si="78"/>
        <v>0</v>
      </c>
      <c r="BX66" s="102">
        <f t="shared" si="79"/>
        <v>0</v>
      </c>
      <c r="BY66" s="101">
        <f t="shared" si="43"/>
        <v>0</v>
      </c>
      <c r="BZ66" s="101">
        <f t="shared" si="44"/>
        <v>0</v>
      </c>
      <c r="CA66" s="101">
        <f t="shared" si="45"/>
        <v>0</v>
      </c>
      <c r="CB66" s="103">
        <f t="shared" si="64"/>
        <v>0</v>
      </c>
      <c r="CC66" s="103">
        <f t="shared" si="65"/>
        <v>0</v>
      </c>
      <c r="CD66" s="103">
        <f t="shared" si="66"/>
        <v>0</v>
      </c>
    </row>
    <row r="67" spans="1:82" x14ac:dyDescent="0.2">
      <c r="A67" s="96">
        <f t="shared" si="46"/>
        <v>38384</v>
      </c>
      <c r="B67" s="97">
        <f t="shared" si="47"/>
        <v>3.57</v>
      </c>
      <c r="C67" s="77">
        <f t="shared" si="48"/>
        <v>0.3125</v>
      </c>
      <c r="D67" s="97">
        <f t="shared" si="1"/>
        <v>0</v>
      </c>
      <c r="E67" s="100">
        <f t="shared" si="2"/>
        <v>1</v>
      </c>
      <c r="F67" s="99">
        <f t="shared" ca="1" si="3"/>
        <v>1119</v>
      </c>
      <c r="G67" s="77" t="e">
        <f t="shared" si="4"/>
        <v>#DIV/0!</v>
      </c>
      <c r="H67" s="77" t="e">
        <f>IF(B$16=1,_xll.xCalcSkew(A67,I67-AO67,b)/100,0)</f>
        <v>#DIV/0!</v>
      </c>
      <c r="I67" s="98">
        <f t="shared" si="68"/>
        <v>4</v>
      </c>
      <c r="K67" s="97">
        <f t="shared" si="6"/>
        <v>-3.2500000000000001E-2</v>
      </c>
      <c r="L67" s="100">
        <f t="shared" si="7"/>
        <v>1</v>
      </c>
      <c r="M67" s="99">
        <f t="shared" ca="1" si="8"/>
        <v>1120</v>
      </c>
      <c r="N67" s="175" t="e">
        <f t="shared" si="9"/>
        <v>#DIV/0!</v>
      </c>
      <c r="O67" s="77" t="e">
        <f>IF(D$16=1,_xll.xCalcSkew($A67,P67-AZ67,b)/100,0)</f>
        <v>#DIV/0!</v>
      </c>
      <c r="P67" s="98">
        <f t="shared" si="69"/>
        <v>2.5</v>
      </c>
      <c r="R67" s="97">
        <f t="shared" si="11"/>
        <v>-3.2500000000000001E-2</v>
      </c>
      <c r="S67" s="100">
        <f t="shared" si="12"/>
        <v>1</v>
      </c>
      <c r="T67" s="99">
        <f t="shared" ca="1" si="13"/>
        <v>1120</v>
      </c>
      <c r="U67" s="175" t="e">
        <f t="shared" si="14"/>
        <v>#DIV/0!</v>
      </c>
      <c r="V67" s="77" t="e">
        <f>IF(F$16=1,_xll.xCalcSkew($A67,W67-BK67,b)/100,0)</f>
        <v>#DIV/0!</v>
      </c>
      <c r="W67" s="98">
        <f t="shared" si="70"/>
        <v>2.5</v>
      </c>
      <c r="X67" s="99"/>
      <c r="Y67" s="97">
        <f t="shared" si="16"/>
        <v>-3.2500000000000001E-2</v>
      </c>
      <c r="Z67" s="100">
        <f t="shared" si="17"/>
        <v>1</v>
      </c>
      <c r="AA67" s="99">
        <f t="shared" ca="1" si="18"/>
        <v>1120</v>
      </c>
      <c r="AB67" s="77" t="e">
        <f t="shared" si="19"/>
        <v>#DIV/0!</v>
      </c>
      <c r="AC67" s="77" t="e">
        <f>IF(H$16=1,_xll.xCalcSkew($A67,AD67-BV67,b)/100,0)</f>
        <v>#DIV/0!</v>
      </c>
      <c r="AD67" s="98">
        <f t="shared" si="71"/>
        <v>2.4900000000000002</v>
      </c>
      <c r="AF67" s="99">
        <f t="shared" ca="1" si="21"/>
        <v>1120</v>
      </c>
      <c r="AG67" s="99">
        <f t="shared" ca="1" si="22"/>
        <v>1119</v>
      </c>
      <c r="AH67" s="77">
        <f t="shared" si="67"/>
        <v>4.3189005462617398E-2</v>
      </c>
      <c r="AI67" s="154">
        <f t="shared" si="0"/>
        <v>28</v>
      </c>
      <c r="AJ67" s="101"/>
      <c r="AK67" s="101"/>
      <c r="AL67" s="101"/>
      <c r="AM67" s="101"/>
      <c r="AN67" s="78">
        <f t="shared" si="49"/>
        <v>0</v>
      </c>
      <c r="AO67" s="303" t="e">
        <f t="shared" si="50"/>
        <v>#DIV/0!</v>
      </c>
      <c r="AP67" s="75">
        <f t="shared" si="72"/>
        <v>0</v>
      </c>
      <c r="AQ67" s="102">
        <f t="shared" si="73"/>
        <v>0</v>
      </c>
      <c r="AR67" s="101">
        <f t="shared" si="26"/>
        <v>0</v>
      </c>
      <c r="AS67" s="101">
        <f t="shared" si="51"/>
        <v>0</v>
      </c>
      <c r="AT67" s="101">
        <f t="shared" si="27"/>
        <v>0</v>
      </c>
      <c r="AU67" s="103">
        <f t="shared" si="52"/>
        <v>0</v>
      </c>
      <c r="AV67" s="103">
        <f t="shared" si="53"/>
        <v>0</v>
      </c>
      <c r="AW67" s="103">
        <f t="shared" si="54"/>
        <v>0</v>
      </c>
      <c r="AY67" s="78">
        <f t="shared" si="28"/>
        <v>0</v>
      </c>
      <c r="AZ67" s="303" t="e">
        <f t="shared" si="55"/>
        <v>#DIV/0!</v>
      </c>
      <c r="BA67" s="75">
        <f t="shared" si="74"/>
        <v>0</v>
      </c>
      <c r="BB67" s="102">
        <f t="shared" si="75"/>
        <v>0</v>
      </c>
      <c r="BC67" s="101">
        <f t="shared" si="31"/>
        <v>0</v>
      </c>
      <c r="BD67" s="101">
        <f t="shared" si="32"/>
        <v>0</v>
      </c>
      <c r="BE67" s="101">
        <f t="shared" si="33"/>
        <v>0</v>
      </c>
      <c r="BF67" s="103">
        <f t="shared" si="56"/>
        <v>0</v>
      </c>
      <c r="BG67" s="103">
        <f t="shared" si="57"/>
        <v>0</v>
      </c>
      <c r="BH67" s="103">
        <f t="shared" si="58"/>
        <v>0</v>
      </c>
      <c r="BJ67" s="78">
        <f t="shared" si="34"/>
        <v>0</v>
      </c>
      <c r="BK67" s="303" t="e">
        <f t="shared" si="59"/>
        <v>#DIV/0!</v>
      </c>
      <c r="BL67" s="75">
        <f t="shared" si="76"/>
        <v>0</v>
      </c>
      <c r="BM67" s="102">
        <f t="shared" si="77"/>
        <v>0</v>
      </c>
      <c r="BN67" s="101">
        <f t="shared" si="37"/>
        <v>0</v>
      </c>
      <c r="BO67" s="101">
        <f t="shared" si="38"/>
        <v>0</v>
      </c>
      <c r="BP67" s="101">
        <f t="shared" si="39"/>
        <v>0</v>
      </c>
      <c r="BQ67" s="103">
        <f t="shared" si="60"/>
        <v>0</v>
      </c>
      <c r="BR67" s="103">
        <f t="shared" si="61"/>
        <v>0</v>
      </c>
      <c r="BS67" s="103">
        <f t="shared" si="62"/>
        <v>0</v>
      </c>
      <c r="BU67" s="78">
        <f t="shared" si="40"/>
        <v>0</v>
      </c>
      <c r="BV67" s="303" t="e">
        <f t="shared" si="63"/>
        <v>#DIV/0!</v>
      </c>
      <c r="BW67" s="75">
        <f t="shared" si="78"/>
        <v>0</v>
      </c>
      <c r="BX67" s="102">
        <f t="shared" si="79"/>
        <v>0</v>
      </c>
      <c r="BY67" s="101">
        <f t="shared" si="43"/>
        <v>0</v>
      </c>
      <c r="BZ67" s="101">
        <f t="shared" si="44"/>
        <v>0</v>
      </c>
      <c r="CA67" s="101">
        <f t="shared" si="45"/>
        <v>0</v>
      </c>
      <c r="CB67" s="103">
        <f t="shared" si="64"/>
        <v>0</v>
      </c>
      <c r="CC67" s="103">
        <f t="shared" si="65"/>
        <v>0</v>
      </c>
      <c r="CD67" s="103">
        <f t="shared" si="66"/>
        <v>0</v>
      </c>
    </row>
    <row r="68" spans="1:82" x14ac:dyDescent="0.2">
      <c r="A68" s="96">
        <f t="shared" si="46"/>
        <v>38412</v>
      </c>
      <c r="B68" s="97">
        <f t="shared" si="47"/>
        <v>3.44</v>
      </c>
      <c r="C68" s="77">
        <f t="shared" si="48"/>
        <v>0.30249999999999999</v>
      </c>
      <c r="D68" s="97">
        <f t="shared" si="1"/>
        <v>0</v>
      </c>
      <c r="E68" s="100">
        <f t="shared" si="2"/>
        <v>1</v>
      </c>
      <c r="F68" s="99">
        <f t="shared" ca="1" si="3"/>
        <v>1147</v>
      </c>
      <c r="G68" s="77" t="e">
        <f t="shared" si="4"/>
        <v>#DIV/0!</v>
      </c>
      <c r="H68" s="77" t="e">
        <f>IF(B$16=1,_xll.xCalcSkew(A68,I68-AO68,b)/100,0)</f>
        <v>#DIV/0!</v>
      </c>
      <c r="I68" s="98">
        <f t="shared" si="68"/>
        <v>4</v>
      </c>
      <c r="K68" s="97">
        <f t="shared" si="6"/>
        <v>-0.02</v>
      </c>
      <c r="L68" s="100">
        <f t="shared" si="7"/>
        <v>1</v>
      </c>
      <c r="M68" s="99">
        <f t="shared" ca="1" si="8"/>
        <v>1148</v>
      </c>
      <c r="N68" s="175" t="e">
        <f t="shared" si="9"/>
        <v>#DIV/0!</v>
      </c>
      <c r="O68" s="77" t="e">
        <f>IF(D$16=1,_xll.xCalcSkew($A68,P68-AZ68,b)/100,0)</f>
        <v>#DIV/0!</v>
      </c>
      <c r="P68" s="98">
        <f t="shared" si="69"/>
        <v>2.5</v>
      </c>
      <c r="R68" s="97">
        <f t="shared" si="11"/>
        <v>-0.02</v>
      </c>
      <c r="S68" s="100">
        <f t="shared" si="12"/>
        <v>1</v>
      </c>
      <c r="T68" s="99">
        <f t="shared" ca="1" si="13"/>
        <v>1148</v>
      </c>
      <c r="U68" s="175" t="e">
        <f t="shared" si="14"/>
        <v>#DIV/0!</v>
      </c>
      <c r="V68" s="77" t="e">
        <f>IF(F$16=1,_xll.xCalcSkew($A68,W68-BK68,b)/100,0)</f>
        <v>#DIV/0!</v>
      </c>
      <c r="W68" s="98">
        <f t="shared" si="70"/>
        <v>2.5</v>
      </c>
      <c r="X68" s="99"/>
      <c r="Y68" s="97">
        <f t="shared" si="16"/>
        <v>-0.02</v>
      </c>
      <c r="Z68" s="100">
        <f t="shared" si="17"/>
        <v>1</v>
      </c>
      <c r="AA68" s="99">
        <f t="shared" ca="1" si="18"/>
        <v>1148</v>
      </c>
      <c r="AB68" s="77" t="e">
        <f t="shared" si="19"/>
        <v>#DIV/0!</v>
      </c>
      <c r="AC68" s="77" t="e">
        <f>IF(H$16=1,_xll.xCalcSkew($A68,AD68-BV68,b)/100,0)</f>
        <v>#DIV/0!</v>
      </c>
      <c r="AD68" s="98">
        <f t="shared" si="71"/>
        <v>2.4900000000000002</v>
      </c>
      <c r="AF68" s="99">
        <f t="shared" ca="1" si="21"/>
        <v>1148</v>
      </c>
      <c r="AG68" s="99">
        <f t="shared" ca="1" si="22"/>
        <v>1147</v>
      </c>
      <c r="AH68" s="77">
        <f t="shared" si="67"/>
        <v>4.3668903428556699E-2</v>
      </c>
      <c r="AI68" s="154">
        <f t="shared" si="0"/>
        <v>31</v>
      </c>
      <c r="AJ68" s="101"/>
      <c r="AK68" s="101"/>
      <c r="AL68" s="101"/>
      <c r="AM68" s="101"/>
      <c r="AN68" s="78">
        <f t="shared" si="49"/>
        <v>0</v>
      </c>
      <c r="AO68" s="303" t="e">
        <f t="shared" si="50"/>
        <v>#DIV/0!</v>
      </c>
      <c r="AP68" s="75">
        <f t="shared" si="72"/>
        <v>0</v>
      </c>
      <c r="AQ68" s="102">
        <f t="shared" si="73"/>
        <v>0</v>
      </c>
      <c r="AR68" s="101">
        <f t="shared" si="26"/>
        <v>0</v>
      </c>
      <c r="AS68" s="101">
        <f t="shared" si="51"/>
        <v>0</v>
      </c>
      <c r="AT68" s="101">
        <f t="shared" si="27"/>
        <v>0</v>
      </c>
      <c r="AU68" s="103">
        <f t="shared" si="52"/>
        <v>0</v>
      </c>
      <c r="AV68" s="103">
        <f t="shared" si="53"/>
        <v>0</v>
      </c>
      <c r="AW68" s="103">
        <f t="shared" si="54"/>
        <v>0</v>
      </c>
      <c r="AY68" s="78">
        <f t="shared" si="28"/>
        <v>0</v>
      </c>
      <c r="AZ68" s="303" t="e">
        <f t="shared" si="55"/>
        <v>#DIV/0!</v>
      </c>
      <c r="BA68" s="75">
        <f t="shared" si="74"/>
        <v>0</v>
      </c>
      <c r="BB68" s="102">
        <f t="shared" si="75"/>
        <v>0</v>
      </c>
      <c r="BC68" s="101">
        <f t="shared" si="31"/>
        <v>0</v>
      </c>
      <c r="BD68" s="101">
        <f t="shared" si="32"/>
        <v>0</v>
      </c>
      <c r="BE68" s="101">
        <f t="shared" si="33"/>
        <v>0</v>
      </c>
      <c r="BF68" s="103">
        <f t="shared" si="56"/>
        <v>0</v>
      </c>
      <c r="BG68" s="103">
        <f t="shared" si="57"/>
        <v>0</v>
      </c>
      <c r="BH68" s="103">
        <f t="shared" si="58"/>
        <v>0</v>
      </c>
      <c r="BJ68" s="78">
        <f t="shared" si="34"/>
        <v>0</v>
      </c>
      <c r="BK68" s="303" t="e">
        <f t="shared" si="59"/>
        <v>#DIV/0!</v>
      </c>
      <c r="BL68" s="75">
        <f t="shared" si="76"/>
        <v>0</v>
      </c>
      <c r="BM68" s="102">
        <f t="shared" si="77"/>
        <v>0</v>
      </c>
      <c r="BN68" s="101">
        <f t="shared" si="37"/>
        <v>0</v>
      </c>
      <c r="BO68" s="101">
        <f t="shared" si="38"/>
        <v>0</v>
      </c>
      <c r="BP68" s="101">
        <f t="shared" si="39"/>
        <v>0</v>
      </c>
      <c r="BQ68" s="103">
        <f t="shared" si="60"/>
        <v>0</v>
      </c>
      <c r="BR68" s="103">
        <f t="shared" si="61"/>
        <v>0</v>
      </c>
      <c r="BS68" s="103">
        <f t="shared" si="62"/>
        <v>0</v>
      </c>
      <c r="BU68" s="78">
        <f t="shared" si="40"/>
        <v>0</v>
      </c>
      <c r="BV68" s="303" t="e">
        <f t="shared" si="63"/>
        <v>#DIV/0!</v>
      </c>
      <c r="BW68" s="75">
        <f t="shared" si="78"/>
        <v>0</v>
      </c>
      <c r="BX68" s="102">
        <f t="shared" si="79"/>
        <v>0</v>
      </c>
      <c r="BY68" s="101">
        <f t="shared" si="43"/>
        <v>0</v>
      </c>
      <c r="BZ68" s="101">
        <f t="shared" si="44"/>
        <v>0</v>
      </c>
      <c r="CA68" s="101">
        <f t="shared" si="45"/>
        <v>0</v>
      </c>
      <c r="CB68" s="103">
        <f t="shared" si="64"/>
        <v>0</v>
      </c>
      <c r="CC68" s="103">
        <f t="shared" si="65"/>
        <v>0</v>
      </c>
      <c r="CD68" s="103">
        <f t="shared" si="66"/>
        <v>0</v>
      </c>
    </row>
    <row r="69" spans="1:82" x14ac:dyDescent="0.2">
      <c r="A69" s="96">
        <f t="shared" si="46"/>
        <v>38443</v>
      </c>
      <c r="B69" s="97">
        <f t="shared" si="47"/>
        <v>3.2549999999999999</v>
      </c>
      <c r="C69" s="77">
        <f t="shared" si="48"/>
        <v>0.29249999999999998</v>
      </c>
      <c r="D69" s="97">
        <f t="shared" si="1"/>
        <v>0</v>
      </c>
      <c r="E69" s="100">
        <f t="shared" si="2"/>
        <v>1</v>
      </c>
      <c r="F69" s="99">
        <f t="shared" ca="1" si="3"/>
        <v>1180</v>
      </c>
      <c r="G69" s="77" t="e">
        <f t="shared" si="4"/>
        <v>#DIV/0!</v>
      </c>
      <c r="H69" s="77" t="e">
        <f>IF(B$16=1,_xll.xCalcSkew(A69,I69-AO69,b)/100,0)</f>
        <v>#DIV/0!</v>
      </c>
      <c r="I69" s="98">
        <f t="shared" si="68"/>
        <v>4</v>
      </c>
      <c r="K69" s="97">
        <f t="shared" si="6"/>
        <v>1.7500000000000002E-2</v>
      </c>
      <c r="L69" s="100">
        <f t="shared" si="7"/>
        <v>1</v>
      </c>
      <c r="M69" s="99">
        <f t="shared" ca="1" si="8"/>
        <v>1181</v>
      </c>
      <c r="N69" s="175" t="e">
        <f t="shared" si="9"/>
        <v>#DIV/0!</v>
      </c>
      <c r="O69" s="77" t="e">
        <f>IF(D$16=1,_xll.xCalcSkew($A69,P69-AZ69,b)/100,0)</f>
        <v>#DIV/0!</v>
      </c>
      <c r="P69" s="98">
        <f t="shared" si="69"/>
        <v>2.5</v>
      </c>
      <c r="R69" s="97">
        <f t="shared" si="11"/>
        <v>1.7500000000000002E-2</v>
      </c>
      <c r="S69" s="100">
        <f t="shared" si="12"/>
        <v>1</v>
      </c>
      <c r="T69" s="99">
        <f t="shared" ca="1" si="13"/>
        <v>1181</v>
      </c>
      <c r="U69" s="175" t="e">
        <f t="shared" si="14"/>
        <v>#DIV/0!</v>
      </c>
      <c r="V69" s="77" t="e">
        <f>IF(F$16=1,_xll.xCalcSkew($A69,W69-BK69,b)/100,0)</f>
        <v>#DIV/0!</v>
      </c>
      <c r="W69" s="98">
        <f t="shared" si="70"/>
        <v>2.5</v>
      </c>
      <c r="X69" s="99"/>
      <c r="Y69" s="97">
        <f t="shared" si="16"/>
        <v>1.7500000000000002E-2</v>
      </c>
      <c r="Z69" s="100">
        <f t="shared" si="17"/>
        <v>1</v>
      </c>
      <c r="AA69" s="99">
        <f t="shared" ca="1" si="18"/>
        <v>1181</v>
      </c>
      <c r="AB69" s="77" t="e">
        <f t="shared" si="19"/>
        <v>#DIV/0!</v>
      </c>
      <c r="AC69" s="77" t="e">
        <f>IF(H$16=1,_xll.xCalcSkew($A69,AD69-BV69,b)/100,0)</f>
        <v>#DIV/0!</v>
      </c>
      <c r="AD69" s="98">
        <f t="shared" si="71"/>
        <v>2.4900000000000002</v>
      </c>
      <c r="AF69" s="99">
        <f t="shared" ca="1" si="21"/>
        <v>1181</v>
      </c>
      <c r="AG69" s="99">
        <f t="shared" ca="1" si="22"/>
        <v>1180</v>
      </c>
      <c r="AH69" s="77">
        <f t="shared" si="67"/>
        <v>4.4162985915453798E-2</v>
      </c>
      <c r="AI69" s="154">
        <f t="shared" si="0"/>
        <v>30</v>
      </c>
      <c r="AJ69" s="101"/>
      <c r="AK69" s="101"/>
      <c r="AL69" s="101"/>
      <c r="AM69" s="101"/>
      <c r="AN69" s="78">
        <f t="shared" si="49"/>
        <v>0</v>
      </c>
      <c r="AO69" s="303" t="e">
        <f t="shared" si="50"/>
        <v>#DIV/0!</v>
      </c>
      <c r="AP69" s="75">
        <f t="shared" si="72"/>
        <v>0</v>
      </c>
      <c r="AQ69" s="102">
        <f t="shared" si="73"/>
        <v>0</v>
      </c>
      <c r="AR69" s="101">
        <f t="shared" si="26"/>
        <v>0</v>
      </c>
      <c r="AS69" s="101">
        <f t="shared" si="51"/>
        <v>0</v>
      </c>
      <c r="AT69" s="101">
        <f t="shared" si="27"/>
        <v>0</v>
      </c>
      <c r="AU69" s="103">
        <f t="shared" si="52"/>
        <v>0</v>
      </c>
      <c r="AV69" s="103">
        <f t="shared" si="53"/>
        <v>0</v>
      </c>
      <c r="AW69" s="103">
        <f t="shared" si="54"/>
        <v>0</v>
      </c>
      <c r="AY69" s="78">
        <f t="shared" si="28"/>
        <v>0</v>
      </c>
      <c r="AZ69" s="303" t="e">
        <f t="shared" si="55"/>
        <v>#DIV/0!</v>
      </c>
      <c r="BA69" s="75">
        <f t="shared" si="74"/>
        <v>0</v>
      </c>
      <c r="BB69" s="102">
        <f t="shared" si="75"/>
        <v>0</v>
      </c>
      <c r="BC69" s="101">
        <f t="shared" si="31"/>
        <v>0</v>
      </c>
      <c r="BD69" s="101">
        <f t="shared" si="32"/>
        <v>0</v>
      </c>
      <c r="BE69" s="101">
        <f t="shared" si="33"/>
        <v>0</v>
      </c>
      <c r="BF69" s="103">
        <f t="shared" si="56"/>
        <v>0</v>
      </c>
      <c r="BG69" s="103">
        <f t="shared" si="57"/>
        <v>0</v>
      </c>
      <c r="BH69" s="103">
        <f t="shared" si="58"/>
        <v>0</v>
      </c>
      <c r="BJ69" s="78">
        <f t="shared" si="34"/>
        <v>0</v>
      </c>
      <c r="BK69" s="303" t="e">
        <f t="shared" si="59"/>
        <v>#DIV/0!</v>
      </c>
      <c r="BL69" s="75">
        <f t="shared" si="76"/>
        <v>0</v>
      </c>
      <c r="BM69" s="102">
        <f t="shared" si="77"/>
        <v>0</v>
      </c>
      <c r="BN69" s="101">
        <f t="shared" si="37"/>
        <v>0</v>
      </c>
      <c r="BO69" s="101">
        <f t="shared" si="38"/>
        <v>0</v>
      </c>
      <c r="BP69" s="101">
        <f t="shared" si="39"/>
        <v>0</v>
      </c>
      <c r="BQ69" s="103">
        <f t="shared" si="60"/>
        <v>0</v>
      </c>
      <c r="BR69" s="103">
        <f t="shared" si="61"/>
        <v>0</v>
      </c>
      <c r="BS69" s="103">
        <f t="shared" si="62"/>
        <v>0</v>
      </c>
      <c r="BU69" s="78">
        <f t="shared" si="40"/>
        <v>0</v>
      </c>
      <c r="BV69" s="303" t="e">
        <f t="shared" si="63"/>
        <v>#DIV/0!</v>
      </c>
      <c r="BW69" s="75">
        <f t="shared" si="78"/>
        <v>0</v>
      </c>
      <c r="BX69" s="102">
        <f t="shared" si="79"/>
        <v>0</v>
      </c>
      <c r="BY69" s="101">
        <f t="shared" si="43"/>
        <v>0</v>
      </c>
      <c r="BZ69" s="101">
        <f t="shared" si="44"/>
        <v>0</v>
      </c>
      <c r="CA69" s="101">
        <f t="shared" si="45"/>
        <v>0</v>
      </c>
      <c r="CB69" s="103">
        <f t="shared" si="64"/>
        <v>0</v>
      </c>
      <c r="CC69" s="103">
        <f t="shared" si="65"/>
        <v>0</v>
      </c>
      <c r="CD69" s="103">
        <f t="shared" si="66"/>
        <v>0</v>
      </c>
    </row>
    <row r="70" spans="1:82" x14ac:dyDescent="0.2">
      <c r="A70" s="96">
        <f t="shared" si="46"/>
        <v>38473</v>
      </c>
      <c r="B70" s="97">
        <f t="shared" si="47"/>
        <v>3.25</v>
      </c>
      <c r="C70" s="77">
        <f t="shared" si="48"/>
        <v>0.28499999999999998</v>
      </c>
      <c r="D70" s="97">
        <f t="shared" si="1"/>
        <v>0</v>
      </c>
      <c r="E70" s="100">
        <f t="shared" si="2"/>
        <v>1</v>
      </c>
      <c r="F70" s="99">
        <f t="shared" ca="1" si="3"/>
        <v>1209</v>
      </c>
      <c r="G70" s="77" t="e">
        <f t="shared" si="4"/>
        <v>#DIV/0!</v>
      </c>
      <c r="H70" s="77" t="e">
        <f>IF(B$16=1,_xll.xCalcSkew(A70,I70-AO70,b)/100,0)</f>
        <v>#DIV/0!</v>
      </c>
      <c r="I70" s="98">
        <f t="shared" si="68"/>
        <v>4</v>
      </c>
      <c r="K70" s="97">
        <f t="shared" si="6"/>
        <v>1.7500000000000002E-2</v>
      </c>
      <c r="L70" s="100">
        <f t="shared" si="7"/>
        <v>1</v>
      </c>
      <c r="M70" s="99">
        <f t="shared" ca="1" si="8"/>
        <v>1210</v>
      </c>
      <c r="N70" s="175" t="e">
        <f t="shared" si="9"/>
        <v>#DIV/0!</v>
      </c>
      <c r="O70" s="77" t="e">
        <f>IF(D$16=1,_xll.xCalcSkew($A70,P70-AZ70,b)/100,0)</f>
        <v>#DIV/0!</v>
      </c>
      <c r="P70" s="98">
        <f t="shared" si="69"/>
        <v>2.5</v>
      </c>
      <c r="R70" s="97">
        <f t="shared" si="11"/>
        <v>1.7500000000000002E-2</v>
      </c>
      <c r="S70" s="100">
        <f t="shared" si="12"/>
        <v>1</v>
      </c>
      <c r="T70" s="99">
        <f t="shared" ca="1" si="13"/>
        <v>1210</v>
      </c>
      <c r="U70" s="175" t="e">
        <f t="shared" si="14"/>
        <v>#DIV/0!</v>
      </c>
      <c r="V70" s="77" t="e">
        <f>IF(F$16=1,_xll.xCalcSkew($A70,W70-BK70,b)/100,0)</f>
        <v>#DIV/0!</v>
      </c>
      <c r="W70" s="98">
        <f t="shared" si="70"/>
        <v>2.5</v>
      </c>
      <c r="X70" s="99"/>
      <c r="Y70" s="97">
        <f t="shared" si="16"/>
        <v>1.7500000000000002E-2</v>
      </c>
      <c r="Z70" s="100">
        <f t="shared" si="17"/>
        <v>1</v>
      </c>
      <c r="AA70" s="99">
        <f t="shared" ca="1" si="18"/>
        <v>1210</v>
      </c>
      <c r="AB70" s="77" t="e">
        <f t="shared" si="19"/>
        <v>#DIV/0!</v>
      </c>
      <c r="AC70" s="77" t="e">
        <f>IF(H$16=1,_xll.xCalcSkew($A70,AD70-BV70,b)/100,0)</f>
        <v>#DIV/0!</v>
      </c>
      <c r="AD70" s="98">
        <f t="shared" si="71"/>
        <v>2.4900000000000002</v>
      </c>
      <c r="AF70" s="99">
        <f t="shared" ca="1" si="21"/>
        <v>1210</v>
      </c>
      <c r="AG70" s="99">
        <f t="shared" ca="1" si="22"/>
        <v>1209</v>
      </c>
      <c r="AH70" s="77">
        <f t="shared" si="67"/>
        <v>4.4608713967775299E-2</v>
      </c>
      <c r="AI70" s="154">
        <f t="shared" si="0"/>
        <v>31</v>
      </c>
      <c r="AJ70" s="101"/>
      <c r="AK70" s="101"/>
      <c r="AL70" s="101"/>
      <c r="AM70" s="101"/>
      <c r="AN70" s="78">
        <f t="shared" si="49"/>
        <v>0</v>
      </c>
      <c r="AO70" s="303" t="e">
        <f t="shared" si="50"/>
        <v>#DIV/0!</v>
      </c>
      <c r="AP70" s="75">
        <f t="shared" si="72"/>
        <v>0</v>
      </c>
      <c r="AQ70" s="102">
        <f t="shared" si="73"/>
        <v>0</v>
      </c>
      <c r="AR70" s="101">
        <f t="shared" si="26"/>
        <v>0</v>
      </c>
      <c r="AS70" s="101">
        <f t="shared" si="51"/>
        <v>0</v>
      </c>
      <c r="AT70" s="101">
        <f t="shared" si="27"/>
        <v>0</v>
      </c>
      <c r="AU70" s="103">
        <f t="shared" si="52"/>
        <v>0</v>
      </c>
      <c r="AV70" s="103">
        <f t="shared" si="53"/>
        <v>0</v>
      </c>
      <c r="AW70" s="103">
        <f t="shared" si="54"/>
        <v>0</v>
      </c>
      <c r="AY70" s="78">
        <f t="shared" si="28"/>
        <v>0</v>
      </c>
      <c r="AZ70" s="303" t="e">
        <f t="shared" si="55"/>
        <v>#DIV/0!</v>
      </c>
      <c r="BA70" s="75">
        <f t="shared" si="74"/>
        <v>0</v>
      </c>
      <c r="BB70" s="102">
        <f t="shared" si="75"/>
        <v>0</v>
      </c>
      <c r="BC70" s="101">
        <f t="shared" si="31"/>
        <v>0</v>
      </c>
      <c r="BD70" s="101">
        <f t="shared" si="32"/>
        <v>0</v>
      </c>
      <c r="BE70" s="101">
        <f t="shared" si="33"/>
        <v>0</v>
      </c>
      <c r="BF70" s="103">
        <f t="shared" si="56"/>
        <v>0</v>
      </c>
      <c r="BG70" s="103">
        <f t="shared" si="57"/>
        <v>0</v>
      </c>
      <c r="BH70" s="103">
        <f t="shared" si="58"/>
        <v>0</v>
      </c>
      <c r="BJ70" s="78">
        <f t="shared" si="34"/>
        <v>0</v>
      </c>
      <c r="BK70" s="303" t="e">
        <f t="shared" si="59"/>
        <v>#DIV/0!</v>
      </c>
      <c r="BL70" s="75">
        <f t="shared" si="76"/>
        <v>0</v>
      </c>
      <c r="BM70" s="102">
        <f t="shared" si="77"/>
        <v>0</v>
      </c>
      <c r="BN70" s="101">
        <f t="shared" si="37"/>
        <v>0</v>
      </c>
      <c r="BO70" s="101">
        <f t="shared" si="38"/>
        <v>0</v>
      </c>
      <c r="BP70" s="101">
        <f t="shared" si="39"/>
        <v>0</v>
      </c>
      <c r="BQ70" s="103">
        <f t="shared" si="60"/>
        <v>0</v>
      </c>
      <c r="BR70" s="103">
        <f t="shared" si="61"/>
        <v>0</v>
      </c>
      <c r="BS70" s="103">
        <f t="shared" si="62"/>
        <v>0</v>
      </c>
      <c r="BU70" s="78">
        <f t="shared" si="40"/>
        <v>0</v>
      </c>
      <c r="BV70" s="303" t="e">
        <f t="shared" si="63"/>
        <v>#DIV/0!</v>
      </c>
      <c r="BW70" s="75">
        <f t="shared" si="78"/>
        <v>0</v>
      </c>
      <c r="BX70" s="102">
        <f t="shared" si="79"/>
        <v>0</v>
      </c>
      <c r="BY70" s="101">
        <f t="shared" si="43"/>
        <v>0</v>
      </c>
      <c r="BZ70" s="101">
        <f t="shared" si="44"/>
        <v>0</v>
      </c>
      <c r="CA70" s="101">
        <f t="shared" si="45"/>
        <v>0</v>
      </c>
      <c r="CB70" s="103">
        <f t="shared" si="64"/>
        <v>0</v>
      </c>
      <c r="CC70" s="103">
        <f t="shared" si="65"/>
        <v>0</v>
      </c>
      <c r="CD70" s="103">
        <f t="shared" si="66"/>
        <v>0</v>
      </c>
    </row>
    <row r="71" spans="1:82" x14ac:dyDescent="0.2">
      <c r="A71" s="96">
        <f t="shared" si="46"/>
        <v>38504</v>
      </c>
      <c r="B71" s="97">
        <f t="shared" si="47"/>
        <v>3.2850000000000001</v>
      </c>
      <c r="C71" s="77">
        <f t="shared" si="48"/>
        <v>0.28499999999999998</v>
      </c>
      <c r="D71" s="97">
        <f t="shared" si="1"/>
        <v>0</v>
      </c>
      <c r="E71" s="100">
        <f t="shared" si="2"/>
        <v>1</v>
      </c>
      <c r="F71" s="99">
        <f t="shared" ca="1" si="3"/>
        <v>1238</v>
      </c>
      <c r="G71" s="77" t="e">
        <f t="shared" si="4"/>
        <v>#DIV/0!</v>
      </c>
      <c r="H71" s="77" t="e">
        <f>IF(B$16=1,_xll.xCalcSkew(A71,I71-AO71,b)/100,0)</f>
        <v>#DIV/0!</v>
      </c>
      <c r="I71" s="98">
        <f t="shared" si="68"/>
        <v>4</v>
      </c>
      <c r="K71" s="97">
        <f t="shared" si="6"/>
        <v>2.2499999999999999E-2</v>
      </c>
      <c r="L71" s="100">
        <f t="shared" si="7"/>
        <v>1</v>
      </c>
      <c r="M71" s="99">
        <f t="shared" ca="1" si="8"/>
        <v>1239</v>
      </c>
      <c r="N71" s="175" t="e">
        <f t="shared" si="9"/>
        <v>#DIV/0!</v>
      </c>
      <c r="O71" s="77" t="e">
        <f>IF(D$16=1,_xll.xCalcSkew($A71,P71-AZ71,b)/100,0)</f>
        <v>#DIV/0!</v>
      </c>
      <c r="P71" s="98">
        <f t="shared" si="69"/>
        <v>2.5</v>
      </c>
      <c r="R71" s="97">
        <f t="shared" si="11"/>
        <v>2.2499999999999999E-2</v>
      </c>
      <c r="S71" s="100">
        <f t="shared" si="12"/>
        <v>1</v>
      </c>
      <c r="T71" s="99">
        <f t="shared" ca="1" si="13"/>
        <v>1239</v>
      </c>
      <c r="U71" s="175" t="e">
        <f t="shared" si="14"/>
        <v>#DIV/0!</v>
      </c>
      <c r="V71" s="77" t="e">
        <f>IF(F$16=1,_xll.xCalcSkew($A71,W71-BK71,b)/100,0)</f>
        <v>#DIV/0!</v>
      </c>
      <c r="W71" s="98">
        <f t="shared" si="70"/>
        <v>2.5</v>
      </c>
      <c r="X71" s="99"/>
      <c r="Y71" s="97">
        <f t="shared" si="16"/>
        <v>2.2499999999999999E-2</v>
      </c>
      <c r="Z71" s="100">
        <f t="shared" si="17"/>
        <v>1</v>
      </c>
      <c r="AA71" s="99">
        <f t="shared" ca="1" si="18"/>
        <v>1239</v>
      </c>
      <c r="AB71" s="77" t="e">
        <f t="shared" si="19"/>
        <v>#DIV/0!</v>
      </c>
      <c r="AC71" s="77" t="e">
        <f>IF(H$16=1,_xll.xCalcSkew($A71,AD71-BV71,b)/100,0)</f>
        <v>#DIV/0!</v>
      </c>
      <c r="AD71" s="98">
        <f t="shared" si="71"/>
        <v>2.4900000000000002</v>
      </c>
      <c r="AF71" s="99">
        <f t="shared" ca="1" si="21"/>
        <v>1239</v>
      </c>
      <c r="AG71" s="99">
        <f t="shared" ca="1" si="22"/>
        <v>1238</v>
      </c>
      <c r="AH71" s="77">
        <f t="shared" si="67"/>
        <v>4.5069299691712597E-2</v>
      </c>
      <c r="AI71" s="154">
        <f t="shared" si="0"/>
        <v>30</v>
      </c>
      <c r="AJ71" s="101"/>
      <c r="AK71" s="101"/>
      <c r="AL71" s="101"/>
      <c r="AM71" s="101"/>
      <c r="AN71" s="78">
        <f t="shared" si="49"/>
        <v>0</v>
      </c>
      <c r="AO71" s="303" t="e">
        <f t="shared" si="50"/>
        <v>#DIV/0!</v>
      </c>
      <c r="AP71" s="75">
        <f t="shared" si="72"/>
        <v>0</v>
      </c>
      <c r="AQ71" s="102">
        <f t="shared" si="73"/>
        <v>0</v>
      </c>
      <c r="AR71" s="101">
        <f t="shared" si="26"/>
        <v>0</v>
      </c>
      <c r="AS71" s="101">
        <f t="shared" si="51"/>
        <v>0</v>
      </c>
      <c r="AT71" s="101">
        <f t="shared" si="27"/>
        <v>0</v>
      </c>
      <c r="AU71" s="103">
        <f t="shared" si="52"/>
        <v>0</v>
      </c>
      <c r="AV71" s="103">
        <f t="shared" si="53"/>
        <v>0</v>
      </c>
      <c r="AW71" s="103">
        <f t="shared" si="54"/>
        <v>0</v>
      </c>
      <c r="AY71" s="78">
        <f t="shared" si="28"/>
        <v>0</v>
      </c>
      <c r="AZ71" s="303" t="e">
        <f t="shared" si="55"/>
        <v>#DIV/0!</v>
      </c>
      <c r="BA71" s="75">
        <f t="shared" si="74"/>
        <v>0</v>
      </c>
      <c r="BB71" s="102">
        <f t="shared" si="75"/>
        <v>0</v>
      </c>
      <c r="BC71" s="101">
        <f t="shared" si="31"/>
        <v>0</v>
      </c>
      <c r="BD71" s="101">
        <f t="shared" si="32"/>
        <v>0</v>
      </c>
      <c r="BE71" s="101">
        <f t="shared" si="33"/>
        <v>0</v>
      </c>
      <c r="BF71" s="103">
        <f t="shared" si="56"/>
        <v>0</v>
      </c>
      <c r="BG71" s="103">
        <f t="shared" si="57"/>
        <v>0</v>
      </c>
      <c r="BH71" s="103">
        <f t="shared" si="58"/>
        <v>0</v>
      </c>
      <c r="BJ71" s="78">
        <f t="shared" si="34"/>
        <v>0</v>
      </c>
      <c r="BK71" s="303" t="e">
        <f t="shared" si="59"/>
        <v>#DIV/0!</v>
      </c>
      <c r="BL71" s="75">
        <f t="shared" si="76"/>
        <v>0</v>
      </c>
      <c r="BM71" s="102">
        <f t="shared" si="77"/>
        <v>0</v>
      </c>
      <c r="BN71" s="101">
        <f t="shared" si="37"/>
        <v>0</v>
      </c>
      <c r="BO71" s="101">
        <f t="shared" si="38"/>
        <v>0</v>
      </c>
      <c r="BP71" s="101">
        <f t="shared" si="39"/>
        <v>0</v>
      </c>
      <c r="BQ71" s="103">
        <f t="shared" si="60"/>
        <v>0</v>
      </c>
      <c r="BR71" s="103">
        <f t="shared" si="61"/>
        <v>0</v>
      </c>
      <c r="BS71" s="103">
        <f t="shared" si="62"/>
        <v>0</v>
      </c>
      <c r="BU71" s="78">
        <f t="shared" si="40"/>
        <v>0</v>
      </c>
      <c r="BV71" s="303" t="e">
        <f t="shared" si="63"/>
        <v>#DIV/0!</v>
      </c>
      <c r="BW71" s="75">
        <f t="shared" si="78"/>
        <v>0</v>
      </c>
      <c r="BX71" s="102">
        <f t="shared" si="79"/>
        <v>0</v>
      </c>
      <c r="BY71" s="101">
        <f t="shared" si="43"/>
        <v>0</v>
      </c>
      <c r="BZ71" s="101">
        <f t="shared" si="44"/>
        <v>0</v>
      </c>
      <c r="CA71" s="101">
        <f t="shared" si="45"/>
        <v>0</v>
      </c>
      <c r="CB71" s="103">
        <f t="shared" si="64"/>
        <v>0</v>
      </c>
      <c r="CC71" s="103">
        <f t="shared" si="65"/>
        <v>0</v>
      </c>
      <c r="CD71" s="103">
        <f t="shared" si="66"/>
        <v>0</v>
      </c>
    </row>
    <row r="72" spans="1:82" x14ac:dyDescent="0.2">
      <c r="A72" s="96">
        <f t="shared" si="46"/>
        <v>38534</v>
      </c>
      <c r="B72" s="97">
        <f t="shared" si="47"/>
        <v>3.3250000000000002</v>
      </c>
      <c r="C72" s="77">
        <f t="shared" si="48"/>
        <v>0.28000000000000003</v>
      </c>
      <c r="D72" s="97">
        <f t="shared" si="1"/>
        <v>0</v>
      </c>
      <c r="E72" s="100">
        <f t="shared" si="2"/>
        <v>1</v>
      </c>
      <c r="F72" s="99">
        <f t="shared" ca="1" si="3"/>
        <v>1271</v>
      </c>
      <c r="G72" s="77" t="e">
        <f t="shared" si="4"/>
        <v>#DIV/0!</v>
      </c>
      <c r="H72" s="77" t="e">
        <f>IF(B$16=1,_xll.xCalcSkew(A72,I72-AO72,b)/100,0)</f>
        <v>#DIV/0!</v>
      </c>
      <c r="I72" s="98">
        <f t="shared" si="68"/>
        <v>4</v>
      </c>
      <c r="K72" s="97">
        <f t="shared" si="6"/>
        <v>2.5000000000000001E-2</v>
      </c>
      <c r="L72" s="100">
        <f t="shared" si="7"/>
        <v>1</v>
      </c>
      <c r="M72" s="99">
        <f t="shared" ca="1" si="8"/>
        <v>1272</v>
      </c>
      <c r="N72" s="175" t="e">
        <f t="shared" si="9"/>
        <v>#DIV/0!</v>
      </c>
      <c r="O72" s="77" t="e">
        <f>IF(D$16=1,_xll.xCalcSkew($A72,P72-AZ72,b)/100,0)</f>
        <v>#DIV/0!</v>
      </c>
      <c r="P72" s="98">
        <f t="shared" si="69"/>
        <v>2.5</v>
      </c>
      <c r="R72" s="97">
        <f t="shared" si="11"/>
        <v>2.5000000000000001E-2</v>
      </c>
      <c r="S72" s="100">
        <f t="shared" si="12"/>
        <v>1</v>
      </c>
      <c r="T72" s="99">
        <f t="shared" ca="1" si="13"/>
        <v>1272</v>
      </c>
      <c r="U72" s="175" t="e">
        <f t="shared" si="14"/>
        <v>#DIV/0!</v>
      </c>
      <c r="V72" s="77" t="e">
        <f>IF(F$16=1,_xll.xCalcSkew($A72,W72-BK72,b)/100,0)</f>
        <v>#DIV/0!</v>
      </c>
      <c r="W72" s="98">
        <f t="shared" si="70"/>
        <v>2.5</v>
      </c>
      <c r="X72" s="99"/>
      <c r="Y72" s="97">
        <f t="shared" si="16"/>
        <v>2.5000000000000001E-2</v>
      </c>
      <c r="Z72" s="100">
        <f t="shared" si="17"/>
        <v>1</v>
      </c>
      <c r="AA72" s="99">
        <f t="shared" ca="1" si="18"/>
        <v>1272</v>
      </c>
      <c r="AB72" s="77" t="e">
        <f t="shared" si="19"/>
        <v>#DIV/0!</v>
      </c>
      <c r="AC72" s="77" t="e">
        <f>IF(H$16=1,_xll.xCalcSkew($A72,AD72-BV72,b)/100,0)</f>
        <v>#DIV/0!</v>
      </c>
      <c r="AD72" s="98">
        <f t="shared" si="71"/>
        <v>2.4900000000000002</v>
      </c>
      <c r="AF72" s="99">
        <f t="shared" ca="1" si="21"/>
        <v>1272</v>
      </c>
      <c r="AG72" s="99">
        <f t="shared" ca="1" si="22"/>
        <v>1271</v>
      </c>
      <c r="AH72" s="77">
        <f t="shared" si="67"/>
        <v>4.54931128840683E-2</v>
      </c>
      <c r="AI72" s="154">
        <f t="shared" si="0"/>
        <v>31</v>
      </c>
      <c r="AJ72" s="101"/>
      <c r="AK72" s="101"/>
      <c r="AL72" s="101"/>
      <c r="AM72" s="101"/>
      <c r="AN72" s="78">
        <f t="shared" si="49"/>
        <v>0</v>
      </c>
      <c r="AO72" s="303" t="e">
        <f t="shared" si="50"/>
        <v>#DIV/0!</v>
      </c>
      <c r="AP72" s="75">
        <f t="shared" si="72"/>
        <v>0</v>
      </c>
      <c r="AQ72" s="102">
        <f t="shared" si="73"/>
        <v>0</v>
      </c>
      <c r="AR72" s="101">
        <f t="shared" si="26"/>
        <v>0</v>
      </c>
      <c r="AS72" s="101">
        <f t="shared" si="51"/>
        <v>0</v>
      </c>
      <c r="AT72" s="101">
        <f t="shared" si="27"/>
        <v>0</v>
      </c>
      <c r="AU72" s="103">
        <f t="shared" si="52"/>
        <v>0</v>
      </c>
      <c r="AV72" s="103">
        <f t="shared" si="53"/>
        <v>0</v>
      </c>
      <c r="AW72" s="103">
        <f t="shared" si="54"/>
        <v>0</v>
      </c>
      <c r="AY72" s="78">
        <f t="shared" si="28"/>
        <v>0</v>
      </c>
      <c r="AZ72" s="303" t="e">
        <f t="shared" si="55"/>
        <v>#DIV/0!</v>
      </c>
      <c r="BA72" s="75">
        <f t="shared" si="74"/>
        <v>0</v>
      </c>
      <c r="BB72" s="102">
        <f t="shared" si="75"/>
        <v>0</v>
      </c>
      <c r="BC72" s="101">
        <f t="shared" si="31"/>
        <v>0</v>
      </c>
      <c r="BD72" s="101">
        <f t="shared" si="32"/>
        <v>0</v>
      </c>
      <c r="BE72" s="101">
        <f t="shared" si="33"/>
        <v>0</v>
      </c>
      <c r="BF72" s="103">
        <f t="shared" si="56"/>
        <v>0</v>
      </c>
      <c r="BG72" s="103">
        <f t="shared" si="57"/>
        <v>0</v>
      </c>
      <c r="BH72" s="103">
        <f t="shared" si="58"/>
        <v>0</v>
      </c>
      <c r="BJ72" s="78">
        <f t="shared" si="34"/>
        <v>0</v>
      </c>
      <c r="BK72" s="303" t="e">
        <f t="shared" si="59"/>
        <v>#DIV/0!</v>
      </c>
      <c r="BL72" s="75">
        <f t="shared" si="76"/>
        <v>0</v>
      </c>
      <c r="BM72" s="102">
        <f t="shared" si="77"/>
        <v>0</v>
      </c>
      <c r="BN72" s="101">
        <f t="shared" si="37"/>
        <v>0</v>
      </c>
      <c r="BO72" s="101">
        <f t="shared" si="38"/>
        <v>0</v>
      </c>
      <c r="BP72" s="101">
        <f t="shared" si="39"/>
        <v>0</v>
      </c>
      <c r="BQ72" s="103">
        <f t="shared" si="60"/>
        <v>0</v>
      </c>
      <c r="BR72" s="103">
        <f t="shared" si="61"/>
        <v>0</v>
      </c>
      <c r="BS72" s="103">
        <f t="shared" si="62"/>
        <v>0</v>
      </c>
      <c r="BU72" s="78">
        <f t="shared" si="40"/>
        <v>0</v>
      </c>
      <c r="BV72" s="303" t="e">
        <f t="shared" si="63"/>
        <v>#DIV/0!</v>
      </c>
      <c r="BW72" s="75">
        <f t="shared" si="78"/>
        <v>0</v>
      </c>
      <c r="BX72" s="102">
        <f t="shared" si="79"/>
        <v>0</v>
      </c>
      <c r="BY72" s="101">
        <f t="shared" si="43"/>
        <v>0</v>
      </c>
      <c r="BZ72" s="101">
        <f t="shared" si="44"/>
        <v>0</v>
      </c>
      <c r="CA72" s="101">
        <f t="shared" si="45"/>
        <v>0</v>
      </c>
      <c r="CB72" s="103">
        <f t="shared" si="64"/>
        <v>0</v>
      </c>
      <c r="CC72" s="103">
        <f t="shared" si="65"/>
        <v>0</v>
      </c>
      <c r="CD72" s="103">
        <f t="shared" si="66"/>
        <v>0</v>
      </c>
    </row>
    <row r="73" spans="1:82" x14ac:dyDescent="0.2">
      <c r="A73" s="96">
        <f t="shared" si="46"/>
        <v>38565</v>
      </c>
      <c r="B73" s="97">
        <f t="shared" si="47"/>
        <v>3.3650000000000002</v>
      </c>
      <c r="C73" s="77">
        <f t="shared" si="48"/>
        <v>0.28000000000000003</v>
      </c>
      <c r="D73" s="97">
        <f t="shared" si="1"/>
        <v>0</v>
      </c>
      <c r="E73" s="100">
        <f t="shared" si="2"/>
        <v>1</v>
      </c>
      <c r="F73" s="99">
        <f t="shared" ca="1" si="3"/>
        <v>1300</v>
      </c>
      <c r="G73" s="77" t="e">
        <f t="shared" si="4"/>
        <v>#DIV/0!</v>
      </c>
      <c r="H73" s="77" t="e">
        <f>IF(B$16=1,_xll.xCalcSkew(A73,I73-AO73,b)/100,0)</f>
        <v>#DIV/0!</v>
      </c>
      <c r="I73" s="98">
        <f t="shared" si="68"/>
        <v>4</v>
      </c>
      <c r="K73" s="97">
        <f t="shared" si="6"/>
        <v>2.75E-2</v>
      </c>
      <c r="L73" s="100">
        <f t="shared" si="7"/>
        <v>1</v>
      </c>
      <c r="M73" s="99">
        <f t="shared" ca="1" si="8"/>
        <v>1301</v>
      </c>
      <c r="N73" s="175" t="e">
        <f t="shared" si="9"/>
        <v>#DIV/0!</v>
      </c>
      <c r="O73" s="77" t="e">
        <f>IF(D$16=1,_xll.xCalcSkew($A73,P73-AZ73,b)/100,0)</f>
        <v>#DIV/0!</v>
      </c>
      <c r="P73" s="98">
        <f t="shared" si="69"/>
        <v>2.5</v>
      </c>
      <c r="R73" s="97">
        <f t="shared" si="11"/>
        <v>2.75E-2</v>
      </c>
      <c r="S73" s="100">
        <f t="shared" si="12"/>
        <v>1</v>
      </c>
      <c r="T73" s="99">
        <f t="shared" ca="1" si="13"/>
        <v>1301</v>
      </c>
      <c r="U73" s="175" t="e">
        <f t="shared" si="14"/>
        <v>#DIV/0!</v>
      </c>
      <c r="V73" s="77" t="e">
        <f>IF(F$16=1,_xll.xCalcSkew($A73,W73-BK73,b)/100,0)</f>
        <v>#DIV/0!</v>
      </c>
      <c r="W73" s="98">
        <f t="shared" si="70"/>
        <v>2.5</v>
      </c>
      <c r="X73" s="99"/>
      <c r="Y73" s="97">
        <f t="shared" si="16"/>
        <v>2.75E-2</v>
      </c>
      <c r="Z73" s="100">
        <f t="shared" si="17"/>
        <v>1</v>
      </c>
      <c r="AA73" s="99">
        <f t="shared" ca="1" si="18"/>
        <v>1301</v>
      </c>
      <c r="AB73" s="77" t="e">
        <f t="shared" si="19"/>
        <v>#DIV/0!</v>
      </c>
      <c r="AC73" s="77" t="e">
        <f>IF(H$16=1,_xll.xCalcSkew($A73,AD73-BV73,b)/100,0)</f>
        <v>#DIV/0!</v>
      </c>
      <c r="AD73" s="98">
        <f t="shared" si="71"/>
        <v>2.4900000000000002</v>
      </c>
      <c r="AF73" s="99">
        <f t="shared" ca="1" si="21"/>
        <v>1301</v>
      </c>
      <c r="AG73" s="99">
        <f t="shared" ca="1" si="22"/>
        <v>1300</v>
      </c>
      <c r="AH73" s="77">
        <f t="shared" si="67"/>
        <v>4.5909969215756997E-2</v>
      </c>
      <c r="AI73" s="154">
        <f t="shared" si="0"/>
        <v>31</v>
      </c>
      <c r="AJ73" s="101"/>
      <c r="AK73" s="101"/>
      <c r="AL73" s="101"/>
      <c r="AM73" s="101"/>
      <c r="AN73" s="78">
        <f t="shared" si="49"/>
        <v>0</v>
      </c>
      <c r="AO73" s="303" t="e">
        <f t="shared" si="50"/>
        <v>#DIV/0!</v>
      </c>
      <c r="AP73" s="75">
        <f t="shared" si="72"/>
        <v>0</v>
      </c>
      <c r="AQ73" s="102">
        <f t="shared" si="73"/>
        <v>0</v>
      </c>
      <c r="AR73" s="101">
        <f t="shared" si="26"/>
        <v>0</v>
      </c>
      <c r="AS73" s="101">
        <f t="shared" si="51"/>
        <v>0</v>
      </c>
      <c r="AT73" s="101">
        <f t="shared" si="27"/>
        <v>0</v>
      </c>
      <c r="AU73" s="103">
        <f t="shared" si="52"/>
        <v>0</v>
      </c>
      <c r="AV73" s="103">
        <f t="shared" si="53"/>
        <v>0</v>
      </c>
      <c r="AW73" s="103">
        <f t="shared" si="54"/>
        <v>0</v>
      </c>
      <c r="AY73" s="78">
        <f t="shared" si="28"/>
        <v>0</v>
      </c>
      <c r="AZ73" s="303" t="e">
        <f t="shared" si="55"/>
        <v>#DIV/0!</v>
      </c>
      <c r="BA73" s="75">
        <f t="shared" si="74"/>
        <v>0</v>
      </c>
      <c r="BB73" s="102">
        <f t="shared" si="75"/>
        <v>0</v>
      </c>
      <c r="BC73" s="101">
        <f t="shared" si="31"/>
        <v>0</v>
      </c>
      <c r="BD73" s="101">
        <f t="shared" si="32"/>
        <v>0</v>
      </c>
      <c r="BE73" s="101">
        <f t="shared" si="33"/>
        <v>0</v>
      </c>
      <c r="BF73" s="103">
        <f t="shared" si="56"/>
        <v>0</v>
      </c>
      <c r="BG73" s="103">
        <f t="shared" si="57"/>
        <v>0</v>
      </c>
      <c r="BH73" s="103">
        <f t="shared" si="58"/>
        <v>0</v>
      </c>
      <c r="BJ73" s="78">
        <f t="shared" si="34"/>
        <v>0</v>
      </c>
      <c r="BK73" s="303" t="e">
        <f t="shared" si="59"/>
        <v>#DIV/0!</v>
      </c>
      <c r="BL73" s="75">
        <f t="shared" si="76"/>
        <v>0</v>
      </c>
      <c r="BM73" s="102">
        <f t="shared" si="77"/>
        <v>0</v>
      </c>
      <c r="BN73" s="101">
        <f t="shared" si="37"/>
        <v>0</v>
      </c>
      <c r="BO73" s="101">
        <f t="shared" si="38"/>
        <v>0</v>
      </c>
      <c r="BP73" s="101">
        <f t="shared" si="39"/>
        <v>0</v>
      </c>
      <c r="BQ73" s="103">
        <f t="shared" si="60"/>
        <v>0</v>
      </c>
      <c r="BR73" s="103">
        <f t="shared" si="61"/>
        <v>0</v>
      </c>
      <c r="BS73" s="103">
        <f t="shared" si="62"/>
        <v>0</v>
      </c>
      <c r="BU73" s="78">
        <f t="shared" si="40"/>
        <v>0</v>
      </c>
      <c r="BV73" s="303" t="e">
        <f t="shared" si="63"/>
        <v>#DIV/0!</v>
      </c>
      <c r="BW73" s="75">
        <f t="shared" si="78"/>
        <v>0</v>
      </c>
      <c r="BX73" s="102">
        <f t="shared" si="79"/>
        <v>0</v>
      </c>
      <c r="BY73" s="101">
        <f t="shared" si="43"/>
        <v>0</v>
      </c>
      <c r="BZ73" s="101">
        <f t="shared" si="44"/>
        <v>0</v>
      </c>
      <c r="CA73" s="101">
        <f t="shared" si="45"/>
        <v>0</v>
      </c>
      <c r="CB73" s="103">
        <f t="shared" si="64"/>
        <v>0</v>
      </c>
      <c r="CC73" s="103">
        <f t="shared" si="65"/>
        <v>0</v>
      </c>
      <c r="CD73" s="103">
        <f t="shared" si="66"/>
        <v>0</v>
      </c>
    </row>
    <row r="74" spans="1:82" x14ac:dyDescent="0.2">
      <c r="A74" s="96">
        <f t="shared" si="46"/>
        <v>38596</v>
      </c>
      <c r="B74" s="97">
        <f t="shared" si="47"/>
        <v>3.36</v>
      </c>
      <c r="C74" s="77">
        <f t="shared" si="48"/>
        <v>0.28000000000000003</v>
      </c>
      <c r="D74" s="97">
        <f t="shared" si="1"/>
        <v>0</v>
      </c>
      <c r="E74" s="100">
        <f t="shared" si="2"/>
        <v>1</v>
      </c>
      <c r="F74" s="99">
        <f t="shared" ca="1" si="3"/>
        <v>1331</v>
      </c>
      <c r="G74" s="77" t="e">
        <f t="shared" si="4"/>
        <v>#DIV/0!</v>
      </c>
      <c r="H74" s="77" t="e">
        <f>IF(B$16=1,_xll.xCalcSkew(A74,I74-AO74,b)/100,0)</f>
        <v>#DIV/0!</v>
      </c>
      <c r="I74" s="98">
        <f t="shared" si="68"/>
        <v>4</v>
      </c>
      <c r="K74" s="97">
        <f t="shared" si="6"/>
        <v>0.02</v>
      </c>
      <c r="L74" s="100">
        <f t="shared" si="7"/>
        <v>1</v>
      </c>
      <c r="M74" s="99">
        <f t="shared" ca="1" si="8"/>
        <v>1334</v>
      </c>
      <c r="N74" s="175" t="e">
        <f t="shared" si="9"/>
        <v>#DIV/0!</v>
      </c>
      <c r="O74" s="77" t="e">
        <f>IF(D$16=1,_xll.xCalcSkew($A74,P74-AZ74,b)/100,0)</f>
        <v>#DIV/0!</v>
      </c>
      <c r="P74" s="98">
        <f t="shared" si="69"/>
        <v>2.5</v>
      </c>
      <c r="R74" s="97">
        <f t="shared" si="11"/>
        <v>0.02</v>
      </c>
      <c r="S74" s="100">
        <f t="shared" si="12"/>
        <v>1</v>
      </c>
      <c r="T74" s="99">
        <f t="shared" ca="1" si="13"/>
        <v>1334</v>
      </c>
      <c r="U74" s="175" t="e">
        <f t="shared" si="14"/>
        <v>#DIV/0!</v>
      </c>
      <c r="V74" s="77" t="e">
        <f>IF(F$16=1,_xll.xCalcSkew($A74,W74-BK74,b)/100,0)</f>
        <v>#DIV/0!</v>
      </c>
      <c r="W74" s="98">
        <f t="shared" si="70"/>
        <v>2.5</v>
      </c>
      <c r="X74" s="99"/>
      <c r="Y74" s="97">
        <f t="shared" si="16"/>
        <v>0.02</v>
      </c>
      <c r="Z74" s="100">
        <f t="shared" si="17"/>
        <v>1</v>
      </c>
      <c r="AA74" s="99">
        <f t="shared" ca="1" si="18"/>
        <v>1334</v>
      </c>
      <c r="AB74" s="77" t="e">
        <f t="shared" si="19"/>
        <v>#DIV/0!</v>
      </c>
      <c r="AC74" s="77" t="e">
        <f>IF(H$16=1,_xll.xCalcSkew($A74,AD74-BV74,b)/100,0)</f>
        <v>#DIV/0!</v>
      </c>
      <c r="AD74" s="98">
        <f t="shared" si="71"/>
        <v>2.4900000000000002</v>
      </c>
      <c r="AF74" s="99">
        <f t="shared" ca="1" si="21"/>
        <v>1334</v>
      </c>
      <c r="AG74" s="99">
        <f t="shared" ca="1" si="22"/>
        <v>1331</v>
      </c>
      <c r="AH74" s="77">
        <f t="shared" si="67"/>
        <v>4.6326825605579998E-2</v>
      </c>
      <c r="AI74" s="154">
        <f t="shared" si="0"/>
        <v>30</v>
      </c>
      <c r="AJ74" s="101"/>
      <c r="AK74" s="101"/>
      <c r="AL74" s="101"/>
      <c r="AM74" s="101"/>
      <c r="AN74" s="78">
        <f t="shared" si="49"/>
        <v>0</v>
      </c>
      <c r="AO74" s="303" t="e">
        <f t="shared" si="50"/>
        <v>#DIV/0!</v>
      </c>
      <c r="AP74" s="75">
        <f t="shared" si="72"/>
        <v>0</v>
      </c>
      <c r="AQ74" s="102">
        <f t="shared" si="73"/>
        <v>0</v>
      </c>
      <c r="AR74" s="101">
        <f t="shared" si="26"/>
        <v>0</v>
      </c>
      <c r="AS74" s="101">
        <f t="shared" si="51"/>
        <v>0</v>
      </c>
      <c r="AT74" s="101">
        <f t="shared" si="27"/>
        <v>0</v>
      </c>
      <c r="AU74" s="103">
        <f t="shared" si="52"/>
        <v>0</v>
      </c>
      <c r="AV74" s="103">
        <f t="shared" si="53"/>
        <v>0</v>
      </c>
      <c r="AW74" s="103">
        <f t="shared" si="54"/>
        <v>0</v>
      </c>
      <c r="AY74" s="78">
        <f t="shared" si="28"/>
        <v>0</v>
      </c>
      <c r="AZ74" s="303" t="e">
        <f t="shared" si="55"/>
        <v>#DIV/0!</v>
      </c>
      <c r="BA74" s="75">
        <f t="shared" si="74"/>
        <v>0</v>
      </c>
      <c r="BB74" s="102">
        <f t="shared" si="75"/>
        <v>0</v>
      </c>
      <c r="BC74" s="101">
        <f t="shared" si="31"/>
        <v>0</v>
      </c>
      <c r="BD74" s="101">
        <f t="shared" si="32"/>
        <v>0</v>
      </c>
      <c r="BE74" s="101">
        <f t="shared" si="33"/>
        <v>0</v>
      </c>
      <c r="BF74" s="103">
        <f t="shared" si="56"/>
        <v>0</v>
      </c>
      <c r="BG74" s="103">
        <f t="shared" si="57"/>
        <v>0</v>
      </c>
      <c r="BH74" s="103">
        <f t="shared" si="58"/>
        <v>0</v>
      </c>
      <c r="BJ74" s="78">
        <f t="shared" si="34"/>
        <v>0</v>
      </c>
      <c r="BK74" s="303" t="e">
        <f t="shared" si="59"/>
        <v>#DIV/0!</v>
      </c>
      <c r="BL74" s="75">
        <f t="shared" si="76"/>
        <v>0</v>
      </c>
      <c r="BM74" s="102">
        <f t="shared" si="77"/>
        <v>0</v>
      </c>
      <c r="BN74" s="101">
        <f t="shared" si="37"/>
        <v>0</v>
      </c>
      <c r="BO74" s="101">
        <f t="shared" si="38"/>
        <v>0</v>
      </c>
      <c r="BP74" s="101">
        <f t="shared" si="39"/>
        <v>0</v>
      </c>
      <c r="BQ74" s="103">
        <f t="shared" si="60"/>
        <v>0</v>
      </c>
      <c r="BR74" s="103">
        <f t="shared" si="61"/>
        <v>0</v>
      </c>
      <c r="BS74" s="103">
        <f t="shared" si="62"/>
        <v>0</v>
      </c>
      <c r="BU74" s="78">
        <f t="shared" si="40"/>
        <v>0</v>
      </c>
      <c r="BV74" s="303" t="e">
        <f t="shared" si="63"/>
        <v>#DIV/0!</v>
      </c>
      <c r="BW74" s="75">
        <f t="shared" si="78"/>
        <v>0</v>
      </c>
      <c r="BX74" s="102">
        <f t="shared" si="79"/>
        <v>0</v>
      </c>
      <c r="BY74" s="101">
        <f t="shared" si="43"/>
        <v>0</v>
      </c>
      <c r="BZ74" s="101">
        <f t="shared" si="44"/>
        <v>0</v>
      </c>
      <c r="CA74" s="101">
        <f t="shared" si="45"/>
        <v>0</v>
      </c>
      <c r="CB74" s="103">
        <f t="shared" si="64"/>
        <v>0</v>
      </c>
      <c r="CC74" s="103">
        <f t="shared" si="65"/>
        <v>0</v>
      </c>
      <c r="CD74" s="103">
        <f t="shared" si="66"/>
        <v>0</v>
      </c>
    </row>
    <row r="75" spans="1:82" x14ac:dyDescent="0.2">
      <c r="A75" s="96">
        <f t="shared" si="46"/>
        <v>38626</v>
      </c>
      <c r="B75" s="97">
        <f t="shared" si="47"/>
        <v>3.3849999999999998</v>
      </c>
      <c r="C75" s="77">
        <f t="shared" si="48"/>
        <v>0.28000000000000003</v>
      </c>
      <c r="D75" s="97">
        <f t="shared" si="1"/>
        <v>0</v>
      </c>
      <c r="E75" s="100">
        <f t="shared" si="2"/>
        <v>1</v>
      </c>
      <c r="F75" s="99">
        <f t="shared" ca="1" si="3"/>
        <v>1363</v>
      </c>
      <c r="G75" s="77" t="e">
        <f t="shared" si="4"/>
        <v>#DIV/0!</v>
      </c>
      <c r="H75" s="77" t="e">
        <f>IF(B$16=1,_xll.xCalcSkew(A75,I75-AO75,b)/100,0)</f>
        <v>#DIV/0!</v>
      </c>
      <c r="I75" s="98">
        <f t="shared" si="68"/>
        <v>4</v>
      </c>
      <c r="K75" s="97">
        <f t="shared" si="6"/>
        <v>0.01</v>
      </c>
      <c r="L75" s="100">
        <f t="shared" si="7"/>
        <v>1</v>
      </c>
      <c r="M75" s="99">
        <f t="shared" ca="1" si="8"/>
        <v>1364</v>
      </c>
      <c r="N75" s="175" t="e">
        <f t="shared" si="9"/>
        <v>#DIV/0!</v>
      </c>
      <c r="O75" s="77" t="e">
        <f>IF(D$16=1,_xll.xCalcSkew($A75,P75-AZ75,b)/100,0)</f>
        <v>#DIV/0!</v>
      </c>
      <c r="P75" s="98">
        <f t="shared" si="69"/>
        <v>2.5</v>
      </c>
      <c r="R75" s="97">
        <f t="shared" si="11"/>
        <v>0.01</v>
      </c>
      <c r="S75" s="100">
        <f t="shared" si="12"/>
        <v>1</v>
      </c>
      <c r="T75" s="99">
        <f t="shared" ca="1" si="13"/>
        <v>1364</v>
      </c>
      <c r="U75" s="175" t="e">
        <f t="shared" si="14"/>
        <v>#DIV/0!</v>
      </c>
      <c r="V75" s="77" t="e">
        <f>IF(F$16=1,_xll.xCalcSkew($A75,W75-BK75,b)/100,0)</f>
        <v>#DIV/0!</v>
      </c>
      <c r="W75" s="98">
        <f t="shared" si="70"/>
        <v>2.5</v>
      </c>
      <c r="X75" s="99"/>
      <c r="Y75" s="97">
        <f t="shared" si="16"/>
        <v>0.01</v>
      </c>
      <c r="Z75" s="100">
        <f t="shared" si="17"/>
        <v>1</v>
      </c>
      <c r="AA75" s="99">
        <f t="shared" ca="1" si="18"/>
        <v>1364</v>
      </c>
      <c r="AB75" s="77" t="e">
        <f t="shared" si="19"/>
        <v>#DIV/0!</v>
      </c>
      <c r="AC75" s="77" t="e">
        <f>IF(H$16=1,_xll.xCalcSkew($A75,AD75-BV75,b)/100,0)</f>
        <v>#DIV/0!</v>
      </c>
      <c r="AD75" s="98">
        <f t="shared" si="71"/>
        <v>2.4900000000000002</v>
      </c>
      <c r="AF75" s="99">
        <f t="shared" ca="1" si="21"/>
        <v>1364</v>
      </c>
      <c r="AG75" s="99">
        <f t="shared" ca="1" si="22"/>
        <v>1363</v>
      </c>
      <c r="AH75" s="77">
        <f t="shared" si="67"/>
        <v>4.6716549265346498E-2</v>
      </c>
      <c r="AI75" s="154">
        <f t="shared" si="0"/>
        <v>31</v>
      </c>
      <c r="AL75" s="99"/>
      <c r="AM75" s="78"/>
      <c r="AN75" s="78">
        <f t="shared" si="49"/>
        <v>0</v>
      </c>
      <c r="AO75" s="303" t="e">
        <f t="shared" si="50"/>
        <v>#DIV/0!</v>
      </c>
      <c r="AP75" s="75">
        <f t="shared" si="72"/>
        <v>0</v>
      </c>
      <c r="AQ75" s="102">
        <f t="shared" si="73"/>
        <v>0</v>
      </c>
      <c r="AR75" s="101">
        <f t="shared" si="26"/>
        <v>0</v>
      </c>
      <c r="AS75" s="101">
        <f t="shared" si="51"/>
        <v>0</v>
      </c>
      <c r="AT75" s="101">
        <f t="shared" si="27"/>
        <v>0</v>
      </c>
      <c r="AU75" s="103">
        <f t="shared" si="52"/>
        <v>0</v>
      </c>
      <c r="AV75" s="103">
        <f t="shared" si="53"/>
        <v>0</v>
      </c>
      <c r="AW75" s="103">
        <f t="shared" si="54"/>
        <v>0</v>
      </c>
      <c r="AY75" s="78">
        <f t="shared" si="28"/>
        <v>0</v>
      </c>
      <c r="AZ75" s="303" t="e">
        <f t="shared" si="55"/>
        <v>#DIV/0!</v>
      </c>
      <c r="BA75" s="75">
        <f t="shared" si="74"/>
        <v>0</v>
      </c>
      <c r="BB75" s="102">
        <f t="shared" si="75"/>
        <v>0</v>
      </c>
      <c r="BC75" s="101">
        <f t="shared" si="31"/>
        <v>0</v>
      </c>
      <c r="BD75" s="101">
        <f t="shared" si="32"/>
        <v>0</v>
      </c>
      <c r="BE75" s="101">
        <f t="shared" si="33"/>
        <v>0</v>
      </c>
      <c r="BF75" s="103">
        <f t="shared" si="56"/>
        <v>0</v>
      </c>
      <c r="BG75" s="103">
        <f t="shared" si="57"/>
        <v>0</v>
      </c>
      <c r="BH75" s="103">
        <f t="shared" si="58"/>
        <v>0</v>
      </c>
      <c r="BJ75" s="78">
        <f t="shared" si="34"/>
        <v>0</v>
      </c>
      <c r="BK75" s="303" t="e">
        <f t="shared" si="59"/>
        <v>#DIV/0!</v>
      </c>
      <c r="BL75" s="75">
        <f t="shared" si="76"/>
        <v>0</v>
      </c>
      <c r="BM75" s="102">
        <f t="shared" si="77"/>
        <v>0</v>
      </c>
      <c r="BN75" s="101">
        <f t="shared" si="37"/>
        <v>0</v>
      </c>
      <c r="BO75" s="101">
        <f t="shared" si="38"/>
        <v>0</v>
      </c>
      <c r="BP75" s="101">
        <f t="shared" si="39"/>
        <v>0</v>
      </c>
      <c r="BQ75" s="103">
        <f t="shared" si="60"/>
        <v>0</v>
      </c>
      <c r="BR75" s="103">
        <f t="shared" si="61"/>
        <v>0</v>
      </c>
      <c r="BS75" s="103">
        <f t="shared" si="62"/>
        <v>0</v>
      </c>
      <c r="BU75" s="78">
        <f t="shared" si="40"/>
        <v>0</v>
      </c>
      <c r="BV75" s="303" t="e">
        <f t="shared" si="63"/>
        <v>#DIV/0!</v>
      </c>
      <c r="BW75" s="75">
        <f t="shared" si="78"/>
        <v>0</v>
      </c>
      <c r="BX75" s="102">
        <f t="shared" si="79"/>
        <v>0</v>
      </c>
      <c r="BY75" s="101">
        <f t="shared" si="43"/>
        <v>0</v>
      </c>
      <c r="BZ75" s="101">
        <f t="shared" si="44"/>
        <v>0</v>
      </c>
      <c r="CA75" s="101">
        <f t="shared" si="45"/>
        <v>0</v>
      </c>
      <c r="CB75" s="103">
        <f t="shared" si="64"/>
        <v>0</v>
      </c>
      <c r="CC75" s="103">
        <f t="shared" si="65"/>
        <v>0</v>
      </c>
      <c r="CD75" s="103">
        <f t="shared" si="66"/>
        <v>0</v>
      </c>
    </row>
    <row r="76" spans="1:82" x14ac:dyDescent="0.2">
      <c r="A76" s="96">
        <f t="shared" si="46"/>
        <v>38657</v>
      </c>
      <c r="B76" s="97">
        <f t="shared" si="47"/>
        <v>3.5369999999999999</v>
      </c>
      <c r="C76" s="77">
        <f t="shared" si="48"/>
        <v>0.28000000000000003</v>
      </c>
      <c r="D76" s="97">
        <f t="shared" si="1"/>
        <v>0</v>
      </c>
      <c r="E76" s="100">
        <f t="shared" si="2"/>
        <v>1</v>
      </c>
      <c r="F76" s="99">
        <f t="shared" ca="1" si="3"/>
        <v>1392</v>
      </c>
      <c r="G76" s="77" t="e">
        <f t="shared" si="4"/>
        <v>#DIV/0!</v>
      </c>
      <c r="H76" s="77" t="e">
        <f>IF(B$16=1,_xll.xCalcSkew(A76,I76-AO76,b)/100,0)</f>
        <v>#DIV/0!</v>
      </c>
      <c r="I76" s="98">
        <f t="shared" si="68"/>
        <v>4</v>
      </c>
      <c r="K76" s="97">
        <f t="shared" si="6"/>
        <v>-2.2499999999999999E-2</v>
      </c>
      <c r="L76" s="100">
        <f t="shared" si="7"/>
        <v>1</v>
      </c>
      <c r="M76" s="99">
        <f t="shared" ca="1" si="8"/>
        <v>1393</v>
      </c>
      <c r="N76" s="175" t="e">
        <f t="shared" si="9"/>
        <v>#DIV/0!</v>
      </c>
      <c r="O76" s="77" t="e">
        <f>IF(D$16=1,_xll.xCalcSkew($A76,P76-AZ76,b)/100,0)</f>
        <v>#DIV/0!</v>
      </c>
      <c r="P76" s="98">
        <f t="shared" si="69"/>
        <v>2.5</v>
      </c>
      <c r="R76" s="97">
        <f t="shared" si="11"/>
        <v>-2.2499999999999999E-2</v>
      </c>
      <c r="S76" s="100">
        <f t="shared" si="12"/>
        <v>1</v>
      </c>
      <c r="T76" s="99">
        <f t="shared" ca="1" si="13"/>
        <v>1393</v>
      </c>
      <c r="U76" s="175" t="e">
        <f t="shared" si="14"/>
        <v>#DIV/0!</v>
      </c>
      <c r="V76" s="77" t="e">
        <f>IF(F$16=1,_xll.xCalcSkew($A76,W76-BK76,b)/100,0)</f>
        <v>#DIV/0!</v>
      </c>
      <c r="W76" s="98">
        <f t="shared" si="70"/>
        <v>2.5</v>
      </c>
      <c r="X76" s="99"/>
      <c r="Y76" s="97">
        <f t="shared" si="16"/>
        <v>-2.2499999999999999E-2</v>
      </c>
      <c r="Z76" s="100">
        <f t="shared" si="17"/>
        <v>1</v>
      </c>
      <c r="AA76" s="99">
        <f t="shared" ca="1" si="18"/>
        <v>1393</v>
      </c>
      <c r="AB76" s="77" t="e">
        <f t="shared" si="19"/>
        <v>#DIV/0!</v>
      </c>
      <c r="AC76" s="77" t="e">
        <f>IF(H$16=1,_xll.xCalcSkew($A76,AD76-BV76,b)/100,0)</f>
        <v>#DIV/0!</v>
      </c>
      <c r="AD76" s="98">
        <f t="shared" si="71"/>
        <v>2.4900000000000002</v>
      </c>
      <c r="AF76" s="99">
        <f t="shared" ca="1" si="21"/>
        <v>1393</v>
      </c>
      <c r="AG76" s="99">
        <f t="shared" ca="1" si="22"/>
        <v>1392</v>
      </c>
      <c r="AH76" s="77">
        <f t="shared" si="67"/>
        <v>4.70928800068173E-2</v>
      </c>
      <c r="AI76" s="154">
        <f t="shared" si="0"/>
        <v>30</v>
      </c>
      <c r="AL76" s="99"/>
      <c r="AM76" s="78"/>
      <c r="AN76" s="78">
        <f t="shared" si="49"/>
        <v>0</v>
      </c>
      <c r="AO76" s="303" t="e">
        <f t="shared" si="50"/>
        <v>#DIV/0!</v>
      </c>
      <c r="AP76" s="75">
        <f t="shared" si="72"/>
        <v>0</v>
      </c>
      <c r="AQ76" s="102">
        <f t="shared" si="73"/>
        <v>0</v>
      </c>
      <c r="AR76" s="101">
        <f t="shared" si="26"/>
        <v>0</v>
      </c>
      <c r="AS76" s="101">
        <f t="shared" si="51"/>
        <v>0</v>
      </c>
      <c r="AT76" s="101">
        <f t="shared" si="27"/>
        <v>0</v>
      </c>
      <c r="AU76" s="103">
        <f t="shared" si="52"/>
        <v>0</v>
      </c>
      <c r="AV76" s="103">
        <f t="shared" si="53"/>
        <v>0</v>
      </c>
      <c r="AW76" s="103">
        <f t="shared" si="54"/>
        <v>0</v>
      </c>
      <c r="AY76" s="78">
        <f t="shared" si="28"/>
        <v>0</v>
      </c>
      <c r="AZ76" s="303" t="e">
        <f t="shared" si="55"/>
        <v>#DIV/0!</v>
      </c>
      <c r="BA76" s="75">
        <f t="shared" si="74"/>
        <v>0</v>
      </c>
      <c r="BB76" s="102">
        <f t="shared" si="75"/>
        <v>0</v>
      </c>
      <c r="BC76" s="101">
        <f t="shared" si="31"/>
        <v>0</v>
      </c>
      <c r="BD76" s="101">
        <f t="shared" si="32"/>
        <v>0</v>
      </c>
      <c r="BE76" s="101">
        <f t="shared" si="33"/>
        <v>0</v>
      </c>
      <c r="BF76" s="103">
        <f t="shared" si="56"/>
        <v>0</v>
      </c>
      <c r="BG76" s="103">
        <f t="shared" si="57"/>
        <v>0</v>
      </c>
      <c r="BH76" s="103">
        <f t="shared" si="58"/>
        <v>0</v>
      </c>
      <c r="BJ76" s="78">
        <f t="shared" si="34"/>
        <v>0</v>
      </c>
      <c r="BK76" s="303" t="e">
        <f t="shared" si="59"/>
        <v>#DIV/0!</v>
      </c>
      <c r="BL76" s="75">
        <f t="shared" si="76"/>
        <v>0</v>
      </c>
      <c r="BM76" s="102">
        <f t="shared" si="77"/>
        <v>0</v>
      </c>
      <c r="BN76" s="101">
        <f t="shared" si="37"/>
        <v>0</v>
      </c>
      <c r="BO76" s="101">
        <f t="shared" si="38"/>
        <v>0</v>
      </c>
      <c r="BP76" s="101">
        <f t="shared" si="39"/>
        <v>0</v>
      </c>
      <c r="BQ76" s="103">
        <f t="shared" si="60"/>
        <v>0</v>
      </c>
      <c r="BR76" s="103">
        <f t="shared" si="61"/>
        <v>0</v>
      </c>
      <c r="BS76" s="103">
        <f t="shared" si="62"/>
        <v>0</v>
      </c>
      <c r="BU76" s="78">
        <f t="shared" si="40"/>
        <v>0</v>
      </c>
      <c r="BV76" s="303" t="e">
        <f t="shared" si="63"/>
        <v>#DIV/0!</v>
      </c>
      <c r="BW76" s="75">
        <f t="shared" si="78"/>
        <v>0</v>
      </c>
      <c r="BX76" s="102">
        <f t="shared" si="79"/>
        <v>0</v>
      </c>
      <c r="BY76" s="101">
        <f t="shared" si="43"/>
        <v>0</v>
      </c>
      <c r="BZ76" s="101">
        <f t="shared" si="44"/>
        <v>0</v>
      </c>
      <c r="CA76" s="101">
        <f t="shared" si="45"/>
        <v>0</v>
      </c>
      <c r="CB76" s="103">
        <f t="shared" si="64"/>
        <v>0</v>
      </c>
      <c r="CC76" s="103">
        <f t="shared" si="65"/>
        <v>0</v>
      </c>
      <c r="CD76" s="103">
        <f t="shared" si="66"/>
        <v>0</v>
      </c>
    </row>
    <row r="77" spans="1:82" x14ac:dyDescent="0.2">
      <c r="A77" s="96">
        <f t="shared" si="46"/>
        <v>38687</v>
      </c>
      <c r="B77" s="97">
        <f t="shared" si="47"/>
        <v>3.68</v>
      </c>
      <c r="C77" s="77">
        <f t="shared" si="48"/>
        <v>0.28000000000000003</v>
      </c>
      <c r="D77" s="97">
        <f t="shared" si="1"/>
        <v>0</v>
      </c>
      <c r="E77" s="100">
        <f t="shared" si="2"/>
        <v>1</v>
      </c>
      <c r="F77" s="99">
        <f t="shared" ca="1" si="3"/>
        <v>1422</v>
      </c>
      <c r="G77" s="77" t="e">
        <f t="shared" si="4"/>
        <v>#DIV/0!</v>
      </c>
      <c r="H77" s="77" t="e">
        <f>IF(B$16=1,_xll.xCalcSkew(A77,I77-AO77,b)/100,0)</f>
        <v>#DIV/0!</v>
      </c>
      <c r="I77" s="98">
        <f t="shared" si="68"/>
        <v>4</v>
      </c>
      <c r="K77" s="97">
        <f t="shared" si="6"/>
        <v>-4.4999999999999998E-2</v>
      </c>
      <c r="L77" s="100">
        <f t="shared" si="7"/>
        <v>1</v>
      </c>
      <c r="M77" s="99">
        <f t="shared" ca="1" si="8"/>
        <v>1425</v>
      </c>
      <c r="N77" s="175" t="e">
        <f t="shared" si="9"/>
        <v>#DIV/0!</v>
      </c>
      <c r="O77" s="77" t="e">
        <f>IF(D$16=1,_xll.xCalcSkew($A77,P77-AZ77,b)/100,0)</f>
        <v>#DIV/0!</v>
      </c>
      <c r="P77" s="98">
        <f t="shared" si="69"/>
        <v>2.5</v>
      </c>
      <c r="R77" s="97">
        <f t="shared" si="11"/>
        <v>-4.4999999999999998E-2</v>
      </c>
      <c r="S77" s="100">
        <f t="shared" si="12"/>
        <v>1</v>
      </c>
      <c r="T77" s="99">
        <f t="shared" ca="1" si="13"/>
        <v>1425</v>
      </c>
      <c r="U77" s="175" t="e">
        <f t="shared" si="14"/>
        <v>#DIV/0!</v>
      </c>
      <c r="V77" s="77" t="e">
        <f>IF(F$16=1,_xll.xCalcSkew($A77,W77-BK77,b)/100,0)</f>
        <v>#DIV/0!</v>
      </c>
      <c r="W77" s="98">
        <f t="shared" si="70"/>
        <v>2.5</v>
      </c>
      <c r="X77" s="99"/>
      <c r="Y77" s="97">
        <f t="shared" si="16"/>
        <v>-4.4999999999999998E-2</v>
      </c>
      <c r="Z77" s="100">
        <f t="shared" si="17"/>
        <v>1</v>
      </c>
      <c r="AA77" s="99">
        <f t="shared" ca="1" si="18"/>
        <v>1425</v>
      </c>
      <c r="AB77" s="77" t="e">
        <f t="shared" si="19"/>
        <v>#DIV/0!</v>
      </c>
      <c r="AC77" s="77" t="e">
        <f>IF(H$16=1,_xll.xCalcSkew($A77,AD77-BV77,b)/100,0)</f>
        <v>#DIV/0!</v>
      </c>
      <c r="AD77" s="98">
        <f t="shared" si="71"/>
        <v>2.4900000000000002</v>
      </c>
      <c r="AF77" s="99">
        <f t="shared" ca="1" si="21"/>
        <v>1425</v>
      </c>
      <c r="AG77" s="99">
        <f t="shared" ca="1" si="22"/>
        <v>1422</v>
      </c>
      <c r="AH77" s="77">
        <f t="shared" si="67"/>
        <v>4.7457071092037201E-2</v>
      </c>
      <c r="AI77" s="154">
        <f t="shared" si="0"/>
        <v>31</v>
      </c>
      <c r="AL77" s="99"/>
      <c r="AM77" s="78"/>
      <c r="AN77" s="78">
        <f t="shared" si="49"/>
        <v>0</v>
      </c>
      <c r="AO77" s="303" t="e">
        <f t="shared" si="50"/>
        <v>#DIV/0!</v>
      </c>
      <c r="AP77" s="75">
        <f t="shared" si="72"/>
        <v>0</v>
      </c>
      <c r="AQ77" s="102">
        <f t="shared" si="73"/>
        <v>0</v>
      </c>
      <c r="AR77" s="101">
        <f t="shared" si="26"/>
        <v>0</v>
      </c>
      <c r="AS77" s="101">
        <f t="shared" si="51"/>
        <v>0</v>
      </c>
      <c r="AT77" s="101">
        <f t="shared" si="27"/>
        <v>0</v>
      </c>
      <c r="AU77" s="103">
        <f t="shared" si="52"/>
        <v>0</v>
      </c>
      <c r="AV77" s="103">
        <f t="shared" si="53"/>
        <v>0</v>
      </c>
      <c r="AW77" s="103">
        <f t="shared" si="54"/>
        <v>0</v>
      </c>
      <c r="AY77" s="78">
        <f t="shared" si="28"/>
        <v>0</v>
      </c>
      <c r="AZ77" s="303" t="e">
        <f t="shared" si="55"/>
        <v>#DIV/0!</v>
      </c>
      <c r="BA77" s="75">
        <f t="shared" si="74"/>
        <v>0</v>
      </c>
      <c r="BB77" s="102">
        <f t="shared" si="75"/>
        <v>0</v>
      </c>
      <c r="BC77" s="101">
        <f t="shared" si="31"/>
        <v>0</v>
      </c>
      <c r="BD77" s="101">
        <f t="shared" si="32"/>
        <v>0</v>
      </c>
      <c r="BE77" s="101">
        <f t="shared" si="33"/>
        <v>0</v>
      </c>
      <c r="BF77" s="103">
        <f t="shared" si="56"/>
        <v>0</v>
      </c>
      <c r="BG77" s="103">
        <f t="shared" si="57"/>
        <v>0</v>
      </c>
      <c r="BH77" s="103">
        <f t="shared" si="58"/>
        <v>0</v>
      </c>
      <c r="BJ77" s="78">
        <f t="shared" si="34"/>
        <v>0</v>
      </c>
      <c r="BK77" s="303" t="e">
        <f t="shared" si="59"/>
        <v>#DIV/0!</v>
      </c>
      <c r="BL77" s="75">
        <f t="shared" si="76"/>
        <v>0</v>
      </c>
      <c r="BM77" s="102">
        <f t="shared" si="77"/>
        <v>0</v>
      </c>
      <c r="BN77" s="101">
        <f t="shared" si="37"/>
        <v>0</v>
      </c>
      <c r="BO77" s="101">
        <f t="shared" si="38"/>
        <v>0</v>
      </c>
      <c r="BP77" s="101">
        <f t="shared" si="39"/>
        <v>0</v>
      </c>
      <c r="BQ77" s="103">
        <f t="shared" si="60"/>
        <v>0</v>
      </c>
      <c r="BR77" s="103">
        <f t="shared" si="61"/>
        <v>0</v>
      </c>
      <c r="BS77" s="103">
        <f t="shared" si="62"/>
        <v>0</v>
      </c>
      <c r="BU77" s="78">
        <f t="shared" si="40"/>
        <v>0</v>
      </c>
      <c r="BV77" s="303" t="e">
        <f t="shared" si="63"/>
        <v>#DIV/0!</v>
      </c>
      <c r="BW77" s="75">
        <f t="shared" si="78"/>
        <v>0</v>
      </c>
      <c r="BX77" s="102">
        <f t="shared" si="79"/>
        <v>0</v>
      </c>
      <c r="BY77" s="101">
        <f t="shared" si="43"/>
        <v>0</v>
      </c>
      <c r="BZ77" s="101">
        <f t="shared" si="44"/>
        <v>0</v>
      </c>
      <c r="CA77" s="101">
        <f t="shared" si="45"/>
        <v>0</v>
      </c>
      <c r="CB77" s="103">
        <f t="shared" si="64"/>
        <v>0</v>
      </c>
      <c r="CC77" s="103">
        <f t="shared" si="65"/>
        <v>0</v>
      </c>
      <c r="CD77" s="103">
        <f t="shared" si="66"/>
        <v>0</v>
      </c>
    </row>
    <row r="78" spans="1:82" x14ac:dyDescent="0.2">
      <c r="A78" s="96">
        <f t="shared" si="46"/>
        <v>38718</v>
      </c>
      <c r="B78" s="97">
        <f t="shared" si="47"/>
        <v>3.7349999999999999</v>
      </c>
      <c r="C78" s="77">
        <f t="shared" si="48"/>
        <v>0.28499999999999998</v>
      </c>
      <c r="D78" s="97">
        <f t="shared" si="1"/>
        <v>0</v>
      </c>
      <c r="E78" s="100">
        <f t="shared" si="2"/>
        <v>1</v>
      </c>
      <c r="F78" s="99">
        <f t="shared" ca="1" si="3"/>
        <v>1454</v>
      </c>
      <c r="G78" s="77" t="e">
        <f t="shared" si="4"/>
        <v>#DIV/0!</v>
      </c>
      <c r="H78" s="77" t="e">
        <f>IF(B$16=1,_xll.xCalcSkew(A78,I78-AO78,b)/100,0)</f>
        <v>#DIV/0!</v>
      </c>
      <c r="I78" s="98">
        <f t="shared" si="68"/>
        <v>4</v>
      </c>
      <c r="K78" s="97">
        <f t="shared" si="6"/>
        <v>-4.7500000000000001E-2</v>
      </c>
      <c r="L78" s="100">
        <f t="shared" si="7"/>
        <v>1</v>
      </c>
      <c r="M78" s="99">
        <f t="shared" ca="1" si="8"/>
        <v>1455</v>
      </c>
      <c r="N78" s="175" t="e">
        <f t="shared" si="9"/>
        <v>#DIV/0!</v>
      </c>
      <c r="O78" s="77" t="e">
        <f>IF(D$16=1,_xll.xCalcSkew($A78,P78-AZ78,b)/100,0)</f>
        <v>#DIV/0!</v>
      </c>
      <c r="P78" s="98">
        <f t="shared" si="69"/>
        <v>2.5</v>
      </c>
      <c r="R78" s="97">
        <f t="shared" si="11"/>
        <v>-4.7500000000000001E-2</v>
      </c>
      <c r="S78" s="100">
        <f t="shared" si="12"/>
        <v>1</v>
      </c>
      <c r="T78" s="99">
        <f t="shared" ca="1" si="13"/>
        <v>1455</v>
      </c>
      <c r="U78" s="175" t="e">
        <f t="shared" si="14"/>
        <v>#DIV/0!</v>
      </c>
      <c r="V78" s="77" t="e">
        <f>IF(F$16=1,_xll.xCalcSkew($A78,W78-BK78,b)/100,0)</f>
        <v>#DIV/0!</v>
      </c>
      <c r="W78" s="98">
        <f t="shared" si="70"/>
        <v>2.5</v>
      </c>
      <c r="X78" s="99"/>
      <c r="Y78" s="97">
        <f t="shared" si="16"/>
        <v>-4.7500000000000001E-2</v>
      </c>
      <c r="Z78" s="100">
        <f t="shared" si="17"/>
        <v>1</v>
      </c>
      <c r="AA78" s="99">
        <f t="shared" ca="1" si="18"/>
        <v>1455</v>
      </c>
      <c r="AB78" s="77" t="e">
        <f t="shared" si="19"/>
        <v>#DIV/0!</v>
      </c>
      <c r="AC78" s="77" t="e">
        <f>IF(H$16=1,_xll.xCalcSkew($A78,AD78-BV78,b)/100,0)</f>
        <v>#DIV/0!</v>
      </c>
      <c r="AD78" s="98">
        <f t="shared" si="71"/>
        <v>2.4900000000000002</v>
      </c>
      <c r="AF78" s="99">
        <f t="shared" ca="1" si="21"/>
        <v>1455</v>
      </c>
      <c r="AG78" s="99">
        <f t="shared" ca="1" si="22"/>
        <v>1454</v>
      </c>
      <c r="AH78" s="77">
        <f t="shared" si="67"/>
        <v>4.7810067825002203E-2</v>
      </c>
      <c r="AI78" s="154">
        <f t="shared" si="0"/>
        <v>31</v>
      </c>
      <c r="AL78" s="99"/>
      <c r="AM78" s="78"/>
      <c r="AN78" s="78">
        <f t="shared" si="49"/>
        <v>0</v>
      </c>
      <c r="AO78" s="303" t="e">
        <f t="shared" si="50"/>
        <v>#DIV/0!</v>
      </c>
      <c r="AP78" s="75">
        <f t="shared" si="72"/>
        <v>0</v>
      </c>
      <c r="AQ78" s="102">
        <f t="shared" si="73"/>
        <v>0</v>
      </c>
      <c r="AR78" s="101">
        <f t="shared" si="26"/>
        <v>0</v>
      </c>
      <c r="AS78" s="101">
        <f t="shared" si="51"/>
        <v>0</v>
      </c>
      <c r="AT78" s="101">
        <f t="shared" si="27"/>
        <v>0</v>
      </c>
      <c r="AU78" s="103">
        <f t="shared" si="52"/>
        <v>0</v>
      </c>
      <c r="AV78" s="103">
        <f t="shared" si="53"/>
        <v>0</v>
      </c>
      <c r="AW78" s="103">
        <f t="shared" si="54"/>
        <v>0</v>
      </c>
      <c r="AY78" s="78">
        <f t="shared" si="28"/>
        <v>0</v>
      </c>
      <c r="AZ78" s="303" t="e">
        <f t="shared" si="55"/>
        <v>#DIV/0!</v>
      </c>
      <c r="BA78" s="75">
        <f t="shared" si="74"/>
        <v>0</v>
      </c>
      <c r="BB78" s="102">
        <f t="shared" si="75"/>
        <v>0</v>
      </c>
      <c r="BC78" s="101">
        <f t="shared" si="31"/>
        <v>0</v>
      </c>
      <c r="BD78" s="101">
        <f t="shared" si="32"/>
        <v>0</v>
      </c>
      <c r="BE78" s="101">
        <f t="shared" si="33"/>
        <v>0</v>
      </c>
      <c r="BF78" s="103">
        <f t="shared" si="56"/>
        <v>0</v>
      </c>
      <c r="BG78" s="103">
        <f t="shared" si="57"/>
        <v>0</v>
      </c>
      <c r="BH78" s="103">
        <f t="shared" si="58"/>
        <v>0</v>
      </c>
      <c r="BJ78" s="78">
        <f t="shared" si="34"/>
        <v>0</v>
      </c>
      <c r="BK78" s="303" t="e">
        <f t="shared" si="59"/>
        <v>#DIV/0!</v>
      </c>
      <c r="BL78" s="75">
        <f t="shared" si="76"/>
        <v>0</v>
      </c>
      <c r="BM78" s="102">
        <f t="shared" si="77"/>
        <v>0</v>
      </c>
      <c r="BN78" s="101">
        <f t="shared" si="37"/>
        <v>0</v>
      </c>
      <c r="BO78" s="101">
        <f t="shared" si="38"/>
        <v>0</v>
      </c>
      <c r="BP78" s="101">
        <f t="shared" si="39"/>
        <v>0</v>
      </c>
      <c r="BQ78" s="103">
        <f t="shared" si="60"/>
        <v>0</v>
      </c>
      <c r="BR78" s="103">
        <f t="shared" si="61"/>
        <v>0</v>
      </c>
      <c r="BS78" s="103">
        <f t="shared" si="62"/>
        <v>0</v>
      </c>
      <c r="BU78" s="78">
        <f t="shared" si="40"/>
        <v>0</v>
      </c>
      <c r="BV78" s="303" t="e">
        <f t="shared" si="63"/>
        <v>#DIV/0!</v>
      </c>
      <c r="BW78" s="75">
        <f t="shared" si="78"/>
        <v>0</v>
      </c>
      <c r="BX78" s="102">
        <f t="shared" si="79"/>
        <v>0</v>
      </c>
      <c r="BY78" s="101">
        <f t="shared" si="43"/>
        <v>0</v>
      </c>
      <c r="BZ78" s="101">
        <f t="shared" si="44"/>
        <v>0</v>
      </c>
      <c r="CA78" s="101">
        <f t="shared" si="45"/>
        <v>0</v>
      </c>
      <c r="CB78" s="103">
        <f t="shared" si="64"/>
        <v>0</v>
      </c>
      <c r="CC78" s="103">
        <f t="shared" si="65"/>
        <v>0</v>
      </c>
      <c r="CD78" s="103">
        <f t="shared" si="66"/>
        <v>0</v>
      </c>
    </row>
    <row r="79" spans="1:82" x14ac:dyDescent="0.2">
      <c r="A79" s="96">
        <f t="shared" si="46"/>
        <v>38749</v>
      </c>
      <c r="B79" s="97">
        <f t="shared" si="47"/>
        <v>3.65</v>
      </c>
      <c r="C79" s="77">
        <f t="shared" si="48"/>
        <v>0.28000000000000003</v>
      </c>
      <c r="D79" s="97">
        <f t="shared" si="1"/>
        <v>0</v>
      </c>
      <c r="E79" s="100">
        <f t="shared" si="2"/>
        <v>1</v>
      </c>
      <c r="F79" s="99">
        <f t="shared" ca="1" si="3"/>
        <v>1484</v>
      </c>
      <c r="G79" s="77" t="e">
        <f t="shared" si="4"/>
        <v>#DIV/0!</v>
      </c>
      <c r="H79" s="77" t="e">
        <f>IF(B$16=1,_xll.xCalcSkew(A79,I79-AO79,b)/100,0)</f>
        <v>#DIV/0!</v>
      </c>
      <c r="I79" s="98">
        <f t="shared" si="68"/>
        <v>4</v>
      </c>
      <c r="K79" s="97">
        <f t="shared" si="6"/>
        <v>-0.03</v>
      </c>
      <c r="L79" s="100">
        <f t="shared" si="7"/>
        <v>1</v>
      </c>
      <c r="M79" s="99">
        <f t="shared" ca="1" si="8"/>
        <v>1485</v>
      </c>
      <c r="N79" s="175" t="e">
        <f t="shared" si="9"/>
        <v>#DIV/0!</v>
      </c>
      <c r="O79" s="77" t="e">
        <f>IF(D$16=1,_xll.xCalcSkew($A79,P79-AZ79,b)/100,0)</f>
        <v>#DIV/0!</v>
      </c>
      <c r="P79" s="98">
        <f t="shared" si="69"/>
        <v>2.5</v>
      </c>
      <c r="R79" s="97">
        <f t="shared" si="11"/>
        <v>-0.03</v>
      </c>
      <c r="S79" s="100">
        <f t="shared" si="12"/>
        <v>1</v>
      </c>
      <c r="T79" s="99">
        <f t="shared" ca="1" si="13"/>
        <v>1485</v>
      </c>
      <c r="U79" s="175" t="e">
        <f t="shared" si="14"/>
        <v>#DIV/0!</v>
      </c>
      <c r="V79" s="77" t="e">
        <f>IF(F$16=1,_xll.xCalcSkew($A79,W79-BK79,b)/100,0)</f>
        <v>#DIV/0!</v>
      </c>
      <c r="W79" s="98">
        <f t="shared" si="70"/>
        <v>2.5</v>
      </c>
      <c r="X79" s="99"/>
      <c r="Y79" s="97">
        <f t="shared" si="16"/>
        <v>-0.03</v>
      </c>
      <c r="Z79" s="100">
        <f t="shared" si="17"/>
        <v>1</v>
      </c>
      <c r="AA79" s="99">
        <f t="shared" ca="1" si="18"/>
        <v>1485</v>
      </c>
      <c r="AB79" s="77" t="e">
        <f t="shared" si="19"/>
        <v>#DIV/0!</v>
      </c>
      <c r="AC79" s="77" t="e">
        <f>IF(H$16=1,_xll.xCalcSkew($A79,AD79-BV79,b)/100,0)</f>
        <v>#DIV/0!</v>
      </c>
      <c r="AD79" s="98">
        <f t="shared" si="71"/>
        <v>2.4900000000000002</v>
      </c>
      <c r="AF79" s="99">
        <f t="shared" ca="1" si="21"/>
        <v>1485</v>
      </c>
      <c r="AG79" s="99">
        <f t="shared" ca="1" si="22"/>
        <v>1484</v>
      </c>
      <c r="AH79" s="77">
        <f t="shared" si="67"/>
        <v>4.8120638955663403E-2</v>
      </c>
      <c r="AI79" s="154">
        <f t="shared" si="0"/>
        <v>28</v>
      </c>
      <c r="AL79" s="99"/>
      <c r="AM79" s="78"/>
      <c r="AN79" s="78">
        <f t="shared" si="49"/>
        <v>0</v>
      </c>
      <c r="AO79" s="303" t="e">
        <f t="shared" si="50"/>
        <v>#DIV/0!</v>
      </c>
      <c r="AP79" s="75">
        <f t="shared" si="72"/>
        <v>0</v>
      </c>
      <c r="AQ79" s="102">
        <f t="shared" si="73"/>
        <v>0</v>
      </c>
      <c r="AR79" s="101">
        <f t="shared" si="26"/>
        <v>0</v>
      </c>
      <c r="AS79" s="101">
        <f t="shared" si="51"/>
        <v>0</v>
      </c>
      <c r="AT79" s="101">
        <f t="shared" si="27"/>
        <v>0</v>
      </c>
      <c r="AU79" s="103">
        <f t="shared" si="52"/>
        <v>0</v>
      </c>
      <c r="AV79" s="103">
        <f t="shared" si="53"/>
        <v>0</v>
      </c>
      <c r="AW79" s="103">
        <f t="shared" si="54"/>
        <v>0</v>
      </c>
      <c r="AY79" s="78">
        <f t="shared" si="28"/>
        <v>0</v>
      </c>
      <c r="AZ79" s="303" t="e">
        <f t="shared" si="55"/>
        <v>#DIV/0!</v>
      </c>
      <c r="BA79" s="75">
        <f t="shared" si="74"/>
        <v>0</v>
      </c>
      <c r="BB79" s="102">
        <f t="shared" si="75"/>
        <v>0</v>
      </c>
      <c r="BC79" s="101">
        <f t="shared" si="31"/>
        <v>0</v>
      </c>
      <c r="BD79" s="101">
        <f t="shared" si="32"/>
        <v>0</v>
      </c>
      <c r="BE79" s="101">
        <f t="shared" si="33"/>
        <v>0</v>
      </c>
      <c r="BF79" s="103">
        <f t="shared" si="56"/>
        <v>0</v>
      </c>
      <c r="BG79" s="103">
        <f t="shared" si="57"/>
        <v>0</v>
      </c>
      <c r="BH79" s="103">
        <f t="shared" si="58"/>
        <v>0</v>
      </c>
      <c r="BJ79" s="78">
        <f t="shared" si="34"/>
        <v>0</v>
      </c>
      <c r="BK79" s="303" t="e">
        <f t="shared" si="59"/>
        <v>#DIV/0!</v>
      </c>
      <c r="BL79" s="75">
        <f t="shared" si="76"/>
        <v>0</v>
      </c>
      <c r="BM79" s="102">
        <f t="shared" si="77"/>
        <v>0</v>
      </c>
      <c r="BN79" s="101">
        <f t="shared" si="37"/>
        <v>0</v>
      </c>
      <c r="BO79" s="101">
        <f t="shared" si="38"/>
        <v>0</v>
      </c>
      <c r="BP79" s="101">
        <f t="shared" si="39"/>
        <v>0</v>
      </c>
      <c r="BQ79" s="103">
        <f t="shared" si="60"/>
        <v>0</v>
      </c>
      <c r="BR79" s="103">
        <f t="shared" si="61"/>
        <v>0</v>
      </c>
      <c r="BS79" s="103">
        <f t="shared" si="62"/>
        <v>0</v>
      </c>
      <c r="BU79" s="78">
        <f t="shared" si="40"/>
        <v>0</v>
      </c>
      <c r="BV79" s="303" t="e">
        <f t="shared" si="63"/>
        <v>#DIV/0!</v>
      </c>
      <c r="BW79" s="75">
        <f t="shared" si="78"/>
        <v>0</v>
      </c>
      <c r="BX79" s="102">
        <f t="shared" si="79"/>
        <v>0</v>
      </c>
      <c r="BY79" s="101">
        <f t="shared" si="43"/>
        <v>0</v>
      </c>
      <c r="BZ79" s="101">
        <f t="shared" si="44"/>
        <v>0</v>
      </c>
      <c r="CA79" s="101">
        <f t="shared" si="45"/>
        <v>0</v>
      </c>
      <c r="CB79" s="103">
        <f t="shared" si="64"/>
        <v>0</v>
      </c>
      <c r="CC79" s="103">
        <f t="shared" si="65"/>
        <v>0</v>
      </c>
      <c r="CD79" s="103">
        <f t="shared" si="66"/>
        <v>0</v>
      </c>
    </row>
    <row r="80" spans="1:82" x14ac:dyDescent="0.2">
      <c r="A80" s="96">
        <f t="shared" si="46"/>
        <v>38777</v>
      </c>
      <c r="B80" s="97">
        <f t="shared" si="47"/>
        <v>3.52</v>
      </c>
      <c r="C80" s="77">
        <f t="shared" si="48"/>
        <v>0.27</v>
      </c>
      <c r="D80" s="97">
        <f t="shared" si="1"/>
        <v>0</v>
      </c>
      <c r="E80" s="100">
        <f t="shared" si="2"/>
        <v>1</v>
      </c>
      <c r="F80" s="99">
        <f t="shared" ca="1" si="3"/>
        <v>1512</v>
      </c>
      <c r="G80" s="77" t="e">
        <f t="shared" si="4"/>
        <v>#DIV/0!</v>
      </c>
      <c r="H80" s="77" t="e">
        <f>IF(B$16=1,_xll.xCalcSkew(A80,I80-AO80,b)/100,0)</f>
        <v>#DIV/0!</v>
      </c>
      <c r="I80" s="98">
        <f t="shared" si="68"/>
        <v>4</v>
      </c>
      <c r="K80" s="97">
        <f t="shared" si="6"/>
        <v>-1.7500000000000002E-2</v>
      </c>
      <c r="L80" s="100">
        <f t="shared" si="7"/>
        <v>1</v>
      </c>
      <c r="M80" s="99">
        <f t="shared" ca="1" si="8"/>
        <v>1513</v>
      </c>
      <c r="N80" s="175" t="e">
        <f t="shared" si="9"/>
        <v>#DIV/0!</v>
      </c>
      <c r="O80" s="77" t="e">
        <f>IF(D$16=1,_xll.xCalcSkew($A80,P80-AZ80,b)/100,0)</f>
        <v>#DIV/0!</v>
      </c>
      <c r="P80" s="98">
        <f t="shared" si="69"/>
        <v>2.5</v>
      </c>
      <c r="R80" s="97">
        <f t="shared" si="11"/>
        <v>-1.7500000000000002E-2</v>
      </c>
      <c r="S80" s="100">
        <f t="shared" si="12"/>
        <v>1</v>
      </c>
      <c r="T80" s="99">
        <f t="shared" ca="1" si="13"/>
        <v>1513</v>
      </c>
      <c r="U80" s="175" t="e">
        <f t="shared" si="14"/>
        <v>#DIV/0!</v>
      </c>
      <c r="V80" s="77" t="e">
        <f>IF(F$16=1,_xll.xCalcSkew($A80,W80-BK80,b)/100,0)</f>
        <v>#DIV/0!</v>
      </c>
      <c r="W80" s="98">
        <f t="shared" si="70"/>
        <v>2.5</v>
      </c>
      <c r="X80" s="99"/>
      <c r="Y80" s="97">
        <f t="shared" si="16"/>
        <v>-1.7500000000000002E-2</v>
      </c>
      <c r="Z80" s="100">
        <f t="shared" si="17"/>
        <v>1</v>
      </c>
      <c r="AA80" s="99">
        <f t="shared" ca="1" si="18"/>
        <v>1513</v>
      </c>
      <c r="AB80" s="77" t="e">
        <f t="shared" si="19"/>
        <v>#DIV/0!</v>
      </c>
      <c r="AC80" s="77" t="e">
        <f>IF(H$16=1,_xll.xCalcSkew($A80,AD80-BV80,b)/100,0)</f>
        <v>#DIV/0!</v>
      </c>
      <c r="AD80" s="98">
        <f t="shared" si="71"/>
        <v>2.4900000000000002</v>
      </c>
      <c r="AF80" s="99">
        <f t="shared" ca="1" si="21"/>
        <v>1513</v>
      </c>
      <c r="AG80" s="99">
        <f t="shared" ca="1" si="22"/>
        <v>1512</v>
      </c>
      <c r="AH80" s="77">
        <f t="shared" si="67"/>
        <v>4.84011548433219E-2</v>
      </c>
      <c r="AI80" s="154">
        <f t="shared" si="0"/>
        <v>31</v>
      </c>
      <c r="AL80" s="99"/>
      <c r="AM80" s="78"/>
      <c r="AN80" s="78">
        <f t="shared" si="49"/>
        <v>0</v>
      </c>
      <c r="AO80" s="303" t="e">
        <f t="shared" si="50"/>
        <v>#DIV/0!</v>
      </c>
      <c r="AP80" s="75">
        <f t="shared" si="72"/>
        <v>0</v>
      </c>
      <c r="AQ80" s="102">
        <f t="shared" si="73"/>
        <v>0</v>
      </c>
      <c r="AR80" s="101">
        <f t="shared" si="26"/>
        <v>0</v>
      </c>
      <c r="AS80" s="101">
        <f t="shared" si="51"/>
        <v>0</v>
      </c>
      <c r="AT80" s="101">
        <f t="shared" si="27"/>
        <v>0</v>
      </c>
      <c r="AU80" s="103">
        <f t="shared" si="52"/>
        <v>0</v>
      </c>
      <c r="AV80" s="103">
        <f t="shared" si="53"/>
        <v>0</v>
      </c>
      <c r="AW80" s="103">
        <f t="shared" si="54"/>
        <v>0</v>
      </c>
      <c r="AY80" s="78">
        <f t="shared" si="28"/>
        <v>0</v>
      </c>
      <c r="AZ80" s="303" t="e">
        <f t="shared" si="55"/>
        <v>#DIV/0!</v>
      </c>
      <c r="BA80" s="75">
        <f t="shared" si="74"/>
        <v>0</v>
      </c>
      <c r="BB80" s="102">
        <f t="shared" si="75"/>
        <v>0</v>
      </c>
      <c r="BC80" s="101">
        <f t="shared" si="31"/>
        <v>0</v>
      </c>
      <c r="BD80" s="101">
        <f t="shared" si="32"/>
        <v>0</v>
      </c>
      <c r="BE80" s="101">
        <f t="shared" si="33"/>
        <v>0</v>
      </c>
      <c r="BF80" s="103">
        <f t="shared" si="56"/>
        <v>0</v>
      </c>
      <c r="BG80" s="103">
        <f t="shared" si="57"/>
        <v>0</v>
      </c>
      <c r="BH80" s="103">
        <f t="shared" si="58"/>
        <v>0</v>
      </c>
      <c r="BJ80" s="78">
        <f t="shared" si="34"/>
        <v>0</v>
      </c>
      <c r="BK80" s="303" t="e">
        <f t="shared" si="59"/>
        <v>#DIV/0!</v>
      </c>
      <c r="BL80" s="75">
        <f t="shared" si="76"/>
        <v>0</v>
      </c>
      <c r="BM80" s="102">
        <f t="shared" si="77"/>
        <v>0</v>
      </c>
      <c r="BN80" s="101">
        <f t="shared" si="37"/>
        <v>0</v>
      </c>
      <c r="BO80" s="101">
        <f t="shared" si="38"/>
        <v>0</v>
      </c>
      <c r="BP80" s="101">
        <f t="shared" si="39"/>
        <v>0</v>
      </c>
      <c r="BQ80" s="103">
        <f t="shared" si="60"/>
        <v>0</v>
      </c>
      <c r="BR80" s="103">
        <f t="shared" si="61"/>
        <v>0</v>
      </c>
      <c r="BS80" s="103">
        <f t="shared" si="62"/>
        <v>0</v>
      </c>
      <c r="BU80" s="78">
        <f t="shared" si="40"/>
        <v>0</v>
      </c>
      <c r="BV80" s="303" t="e">
        <f t="shared" si="63"/>
        <v>#DIV/0!</v>
      </c>
      <c r="BW80" s="75">
        <f t="shared" si="78"/>
        <v>0</v>
      </c>
      <c r="BX80" s="102">
        <f t="shared" si="79"/>
        <v>0</v>
      </c>
      <c r="BY80" s="101">
        <f t="shared" si="43"/>
        <v>0</v>
      </c>
      <c r="BZ80" s="101">
        <f t="shared" si="44"/>
        <v>0</v>
      </c>
      <c r="CA80" s="101">
        <f t="shared" si="45"/>
        <v>0</v>
      </c>
      <c r="CB80" s="103">
        <f t="shared" si="64"/>
        <v>0</v>
      </c>
      <c r="CC80" s="103">
        <f t="shared" si="65"/>
        <v>0</v>
      </c>
      <c r="CD80" s="103">
        <f t="shared" si="66"/>
        <v>0</v>
      </c>
    </row>
    <row r="81" spans="1:82" x14ac:dyDescent="0.2">
      <c r="A81" s="96">
        <f t="shared" si="46"/>
        <v>38808</v>
      </c>
      <c r="B81" s="97">
        <f t="shared" si="47"/>
        <v>3.335</v>
      </c>
      <c r="C81" s="77">
        <f t="shared" si="48"/>
        <v>0.25</v>
      </c>
      <c r="D81" s="97">
        <f t="shared" si="1"/>
        <v>0</v>
      </c>
      <c r="E81" s="100">
        <f t="shared" si="2"/>
        <v>1</v>
      </c>
      <c r="F81" s="99">
        <f t="shared" ca="1" si="3"/>
        <v>1545</v>
      </c>
      <c r="G81" s="77" t="e">
        <f t="shared" si="4"/>
        <v>#DIV/0!</v>
      </c>
      <c r="H81" s="77" t="e">
        <f>IF(B$16=1,_xll.xCalcSkew(A81,I81-AO81,b)/100,0)</f>
        <v>#DIV/0!</v>
      </c>
      <c r="I81" s="98">
        <f t="shared" si="68"/>
        <v>4</v>
      </c>
      <c r="K81" s="97">
        <f t="shared" si="6"/>
        <v>0.02</v>
      </c>
      <c r="L81" s="100">
        <f t="shared" si="7"/>
        <v>1</v>
      </c>
      <c r="M81" s="99">
        <f t="shared" ca="1" si="8"/>
        <v>1546</v>
      </c>
      <c r="N81" s="175" t="e">
        <f t="shared" si="9"/>
        <v>#DIV/0!</v>
      </c>
      <c r="O81" s="77" t="e">
        <f>IF(D$16=1,_xll.xCalcSkew($A81,P81-AZ81,b)/100,0)</f>
        <v>#DIV/0!</v>
      </c>
      <c r="P81" s="98">
        <f t="shared" si="69"/>
        <v>2.5</v>
      </c>
      <c r="R81" s="97">
        <f t="shared" si="11"/>
        <v>0.02</v>
      </c>
      <c r="S81" s="100">
        <f t="shared" si="12"/>
        <v>1</v>
      </c>
      <c r="T81" s="99">
        <f t="shared" ca="1" si="13"/>
        <v>1546</v>
      </c>
      <c r="U81" s="175" t="e">
        <f t="shared" si="14"/>
        <v>#DIV/0!</v>
      </c>
      <c r="V81" s="77" t="e">
        <f>IF(F$16=1,_xll.xCalcSkew($A81,W81-BK81,b)/100,0)</f>
        <v>#DIV/0!</v>
      </c>
      <c r="W81" s="98">
        <f t="shared" si="70"/>
        <v>2.5</v>
      </c>
      <c r="X81" s="99"/>
      <c r="Y81" s="97">
        <f t="shared" si="16"/>
        <v>0.02</v>
      </c>
      <c r="Z81" s="100">
        <f t="shared" si="17"/>
        <v>1</v>
      </c>
      <c r="AA81" s="99">
        <f t="shared" ca="1" si="18"/>
        <v>1546</v>
      </c>
      <c r="AB81" s="77" t="e">
        <f t="shared" si="19"/>
        <v>#DIV/0!</v>
      </c>
      <c r="AC81" s="77" t="e">
        <f>IF(H$16=1,_xll.xCalcSkew($A81,AD81-BV81,b)/100,0)</f>
        <v>#DIV/0!</v>
      </c>
      <c r="AD81" s="98">
        <f t="shared" si="71"/>
        <v>2.4900000000000002</v>
      </c>
      <c r="AF81" s="99">
        <f t="shared" ca="1" si="21"/>
        <v>1546</v>
      </c>
      <c r="AG81" s="99">
        <f t="shared" ca="1" si="22"/>
        <v>1545</v>
      </c>
      <c r="AH81" s="77">
        <f t="shared" si="67"/>
        <v>4.8711726035327398E-2</v>
      </c>
      <c r="AI81" s="154">
        <f t="shared" si="0"/>
        <v>30</v>
      </c>
      <c r="AL81" s="99"/>
      <c r="AM81" s="78"/>
      <c r="AN81" s="78">
        <f t="shared" si="49"/>
        <v>0</v>
      </c>
      <c r="AO81" s="303" t="e">
        <f t="shared" si="50"/>
        <v>#DIV/0!</v>
      </c>
      <c r="AP81" s="75">
        <f t="shared" si="72"/>
        <v>0</v>
      </c>
      <c r="AQ81" s="102">
        <f t="shared" si="73"/>
        <v>0</v>
      </c>
      <c r="AR81" s="101">
        <f t="shared" si="26"/>
        <v>0</v>
      </c>
      <c r="AS81" s="101">
        <f t="shared" si="51"/>
        <v>0</v>
      </c>
      <c r="AT81" s="101">
        <f t="shared" si="27"/>
        <v>0</v>
      </c>
      <c r="AU81" s="103">
        <f t="shared" si="52"/>
        <v>0</v>
      </c>
      <c r="AV81" s="103">
        <f t="shared" si="53"/>
        <v>0</v>
      </c>
      <c r="AW81" s="103">
        <f t="shared" si="54"/>
        <v>0</v>
      </c>
      <c r="AY81" s="78">
        <f t="shared" si="28"/>
        <v>0</v>
      </c>
      <c r="AZ81" s="303" t="e">
        <f t="shared" si="55"/>
        <v>#DIV/0!</v>
      </c>
      <c r="BA81" s="75">
        <f t="shared" si="74"/>
        <v>0</v>
      </c>
      <c r="BB81" s="102">
        <f t="shared" si="75"/>
        <v>0</v>
      </c>
      <c r="BC81" s="101">
        <f t="shared" si="31"/>
        <v>0</v>
      </c>
      <c r="BD81" s="101">
        <f t="shared" si="32"/>
        <v>0</v>
      </c>
      <c r="BE81" s="101">
        <f t="shared" si="33"/>
        <v>0</v>
      </c>
      <c r="BF81" s="103">
        <f t="shared" si="56"/>
        <v>0</v>
      </c>
      <c r="BG81" s="103">
        <f t="shared" si="57"/>
        <v>0</v>
      </c>
      <c r="BH81" s="103">
        <f t="shared" si="58"/>
        <v>0</v>
      </c>
      <c r="BJ81" s="78">
        <f t="shared" si="34"/>
        <v>0</v>
      </c>
      <c r="BK81" s="303" t="e">
        <f t="shared" si="59"/>
        <v>#DIV/0!</v>
      </c>
      <c r="BL81" s="75">
        <f t="shared" si="76"/>
        <v>0</v>
      </c>
      <c r="BM81" s="102">
        <f t="shared" si="77"/>
        <v>0</v>
      </c>
      <c r="BN81" s="101">
        <f t="shared" si="37"/>
        <v>0</v>
      </c>
      <c r="BO81" s="101">
        <f t="shared" si="38"/>
        <v>0</v>
      </c>
      <c r="BP81" s="101">
        <f t="shared" si="39"/>
        <v>0</v>
      </c>
      <c r="BQ81" s="103">
        <f t="shared" si="60"/>
        <v>0</v>
      </c>
      <c r="BR81" s="103">
        <f t="shared" si="61"/>
        <v>0</v>
      </c>
      <c r="BS81" s="103">
        <f t="shared" si="62"/>
        <v>0</v>
      </c>
      <c r="BU81" s="78">
        <f t="shared" si="40"/>
        <v>0</v>
      </c>
      <c r="BV81" s="303" t="e">
        <f t="shared" si="63"/>
        <v>#DIV/0!</v>
      </c>
      <c r="BW81" s="75">
        <f t="shared" si="78"/>
        <v>0</v>
      </c>
      <c r="BX81" s="102">
        <f t="shared" si="79"/>
        <v>0</v>
      </c>
      <c r="BY81" s="101">
        <f t="shared" si="43"/>
        <v>0</v>
      </c>
      <c r="BZ81" s="101">
        <f t="shared" si="44"/>
        <v>0</v>
      </c>
      <c r="CA81" s="101">
        <f t="shared" si="45"/>
        <v>0</v>
      </c>
      <c r="CB81" s="103">
        <f t="shared" si="64"/>
        <v>0</v>
      </c>
      <c r="CC81" s="103">
        <f t="shared" si="65"/>
        <v>0</v>
      </c>
      <c r="CD81" s="103">
        <f t="shared" si="66"/>
        <v>0</v>
      </c>
    </row>
    <row r="82" spans="1:82" x14ac:dyDescent="0.2">
      <c r="A82" s="96">
        <f t="shared" si="46"/>
        <v>38838</v>
      </c>
      <c r="B82" s="97">
        <f t="shared" si="47"/>
        <v>3.33</v>
      </c>
      <c r="C82" s="77">
        <f t="shared" si="48"/>
        <v>0.245</v>
      </c>
      <c r="D82" s="97">
        <f t="shared" si="1"/>
        <v>0</v>
      </c>
      <c r="E82" s="100">
        <f t="shared" si="2"/>
        <v>1</v>
      </c>
      <c r="F82" s="99">
        <f t="shared" ca="1" si="3"/>
        <v>1573</v>
      </c>
      <c r="G82" s="77" t="e">
        <f t="shared" si="4"/>
        <v>#DIV/0!</v>
      </c>
      <c r="H82" s="77" t="e">
        <f>IF(B$16=1,_xll.xCalcSkew(A82,I82-AO82,b)/100,0)</f>
        <v>#DIV/0!</v>
      </c>
      <c r="I82" s="98">
        <f t="shared" si="68"/>
        <v>4</v>
      </c>
      <c r="K82" s="97">
        <f t="shared" si="6"/>
        <v>0.02</v>
      </c>
      <c r="L82" s="100">
        <f t="shared" si="7"/>
        <v>1</v>
      </c>
      <c r="M82" s="99">
        <f t="shared" ca="1" si="8"/>
        <v>1574</v>
      </c>
      <c r="N82" s="175" t="e">
        <f t="shared" si="9"/>
        <v>#DIV/0!</v>
      </c>
      <c r="O82" s="77" t="e">
        <f>IF(D$16=1,_xll.xCalcSkew($A82,P82-AZ82,b)/100,0)</f>
        <v>#DIV/0!</v>
      </c>
      <c r="P82" s="98">
        <f t="shared" si="69"/>
        <v>2.5</v>
      </c>
      <c r="R82" s="97">
        <f t="shared" si="11"/>
        <v>0.02</v>
      </c>
      <c r="S82" s="100">
        <f t="shared" si="12"/>
        <v>1</v>
      </c>
      <c r="T82" s="99">
        <f t="shared" ca="1" si="13"/>
        <v>1574</v>
      </c>
      <c r="U82" s="175" t="e">
        <f t="shared" si="14"/>
        <v>#DIV/0!</v>
      </c>
      <c r="V82" s="77" t="e">
        <f>IF(F$16=1,_xll.xCalcSkew($A82,W82-BK82,b)/100,0)</f>
        <v>#DIV/0!</v>
      </c>
      <c r="W82" s="98">
        <f t="shared" si="70"/>
        <v>2.5</v>
      </c>
      <c r="X82" s="99"/>
      <c r="Y82" s="97">
        <f t="shared" si="16"/>
        <v>0.02</v>
      </c>
      <c r="Z82" s="100">
        <f t="shared" si="17"/>
        <v>1</v>
      </c>
      <c r="AA82" s="99">
        <f t="shared" ca="1" si="18"/>
        <v>1574</v>
      </c>
      <c r="AB82" s="77" t="e">
        <f t="shared" si="19"/>
        <v>#DIV/0!</v>
      </c>
      <c r="AC82" s="77" t="e">
        <f>IF(H$16=1,_xll.xCalcSkew($A82,AD82-BV82,b)/100,0)</f>
        <v>#DIV/0!</v>
      </c>
      <c r="AD82" s="98">
        <f t="shared" si="71"/>
        <v>2.4900000000000002</v>
      </c>
      <c r="AF82" s="99">
        <f t="shared" ca="1" si="21"/>
        <v>1574</v>
      </c>
      <c r="AG82" s="99">
        <f t="shared" ca="1" si="22"/>
        <v>1573</v>
      </c>
      <c r="AH82" s="77">
        <f t="shared" si="67"/>
        <v>4.9012278832467601E-2</v>
      </c>
      <c r="AI82" s="154">
        <f t="shared" si="0"/>
        <v>31</v>
      </c>
      <c r="AL82" s="99"/>
      <c r="AM82" s="78"/>
      <c r="AN82" s="78">
        <f t="shared" si="49"/>
        <v>0</v>
      </c>
      <c r="AO82" s="303" t="e">
        <f t="shared" si="50"/>
        <v>#DIV/0!</v>
      </c>
      <c r="AP82" s="75">
        <f t="shared" si="72"/>
        <v>0</v>
      </c>
      <c r="AQ82" s="102">
        <f t="shared" si="73"/>
        <v>0</v>
      </c>
      <c r="AR82" s="101">
        <f t="shared" si="26"/>
        <v>0</v>
      </c>
      <c r="AS82" s="101">
        <f t="shared" si="51"/>
        <v>0</v>
      </c>
      <c r="AT82" s="101">
        <f t="shared" si="27"/>
        <v>0</v>
      </c>
      <c r="AU82" s="103">
        <f t="shared" si="52"/>
        <v>0</v>
      </c>
      <c r="AV82" s="103">
        <f t="shared" si="53"/>
        <v>0</v>
      </c>
      <c r="AW82" s="103">
        <f t="shared" si="54"/>
        <v>0</v>
      </c>
      <c r="AY82" s="78">
        <f t="shared" si="28"/>
        <v>0</v>
      </c>
      <c r="AZ82" s="303" t="e">
        <f t="shared" si="55"/>
        <v>#DIV/0!</v>
      </c>
      <c r="BA82" s="75">
        <f t="shared" si="74"/>
        <v>0</v>
      </c>
      <c r="BB82" s="102">
        <f t="shared" si="75"/>
        <v>0</v>
      </c>
      <c r="BC82" s="101">
        <f t="shared" si="31"/>
        <v>0</v>
      </c>
      <c r="BD82" s="101">
        <f t="shared" si="32"/>
        <v>0</v>
      </c>
      <c r="BE82" s="101">
        <f t="shared" si="33"/>
        <v>0</v>
      </c>
      <c r="BF82" s="103">
        <f t="shared" si="56"/>
        <v>0</v>
      </c>
      <c r="BG82" s="103">
        <f t="shared" si="57"/>
        <v>0</v>
      </c>
      <c r="BH82" s="103">
        <f t="shared" si="58"/>
        <v>0</v>
      </c>
      <c r="BJ82" s="78">
        <f t="shared" si="34"/>
        <v>0</v>
      </c>
      <c r="BK82" s="303" t="e">
        <f t="shared" si="59"/>
        <v>#DIV/0!</v>
      </c>
      <c r="BL82" s="75">
        <f t="shared" si="76"/>
        <v>0</v>
      </c>
      <c r="BM82" s="102">
        <f t="shared" si="77"/>
        <v>0</v>
      </c>
      <c r="BN82" s="101">
        <f t="shared" si="37"/>
        <v>0</v>
      </c>
      <c r="BO82" s="101">
        <f t="shared" si="38"/>
        <v>0</v>
      </c>
      <c r="BP82" s="101">
        <f t="shared" si="39"/>
        <v>0</v>
      </c>
      <c r="BQ82" s="103">
        <f t="shared" si="60"/>
        <v>0</v>
      </c>
      <c r="BR82" s="103">
        <f t="shared" si="61"/>
        <v>0</v>
      </c>
      <c r="BS82" s="103">
        <f t="shared" si="62"/>
        <v>0</v>
      </c>
      <c r="BU82" s="78">
        <f t="shared" si="40"/>
        <v>0</v>
      </c>
      <c r="BV82" s="303" t="e">
        <f t="shared" si="63"/>
        <v>#DIV/0!</v>
      </c>
      <c r="BW82" s="75">
        <f t="shared" si="78"/>
        <v>0</v>
      </c>
      <c r="BX82" s="102">
        <f t="shared" si="79"/>
        <v>0</v>
      </c>
      <c r="BY82" s="101">
        <f t="shared" si="43"/>
        <v>0</v>
      </c>
      <c r="BZ82" s="101">
        <f t="shared" si="44"/>
        <v>0</v>
      </c>
      <c r="CA82" s="101">
        <f t="shared" si="45"/>
        <v>0</v>
      </c>
      <c r="CB82" s="103">
        <f t="shared" si="64"/>
        <v>0</v>
      </c>
      <c r="CC82" s="103">
        <f t="shared" si="65"/>
        <v>0</v>
      </c>
      <c r="CD82" s="103">
        <f t="shared" si="66"/>
        <v>0</v>
      </c>
    </row>
    <row r="83" spans="1:82" x14ac:dyDescent="0.2">
      <c r="A83" s="96">
        <f t="shared" si="46"/>
        <v>38869</v>
      </c>
      <c r="B83" s="97">
        <f t="shared" si="47"/>
        <v>3.3650000000000002</v>
      </c>
      <c r="C83" s="77">
        <f t="shared" si="48"/>
        <v>0.2475</v>
      </c>
      <c r="D83" s="97">
        <f t="shared" si="1"/>
        <v>0</v>
      </c>
      <c r="E83" s="100">
        <f t="shared" si="2"/>
        <v>1</v>
      </c>
      <c r="F83" s="99">
        <f t="shared" ca="1" si="3"/>
        <v>1603</v>
      </c>
      <c r="G83" s="77" t="e">
        <f t="shared" si="4"/>
        <v>#DIV/0!</v>
      </c>
      <c r="H83" s="77" t="e">
        <f>IF(B$16=1,_xll.xCalcSkew(A83,I83-AO83,b)/100,0)</f>
        <v>#DIV/0!</v>
      </c>
      <c r="I83" s="98">
        <f t="shared" si="68"/>
        <v>4</v>
      </c>
      <c r="K83" s="97">
        <f t="shared" si="6"/>
        <v>2.5000000000000001E-2</v>
      </c>
      <c r="L83" s="100">
        <f t="shared" si="7"/>
        <v>1</v>
      </c>
      <c r="M83" s="99">
        <f t="shared" ca="1" si="8"/>
        <v>1604</v>
      </c>
      <c r="N83" s="175" t="e">
        <f t="shared" si="9"/>
        <v>#DIV/0!</v>
      </c>
      <c r="O83" s="77" t="e">
        <f>IF(D$16=1,_xll.xCalcSkew($A83,P83-AZ83,b)/100,0)</f>
        <v>#DIV/0!</v>
      </c>
      <c r="P83" s="98">
        <f t="shared" si="69"/>
        <v>2.5</v>
      </c>
      <c r="R83" s="97">
        <f t="shared" si="11"/>
        <v>2.5000000000000001E-2</v>
      </c>
      <c r="S83" s="100">
        <f t="shared" si="12"/>
        <v>1</v>
      </c>
      <c r="T83" s="99">
        <f t="shared" ca="1" si="13"/>
        <v>1604</v>
      </c>
      <c r="U83" s="175" t="e">
        <f t="shared" si="14"/>
        <v>#DIV/0!</v>
      </c>
      <c r="V83" s="77" t="e">
        <f>IF(F$16=1,_xll.xCalcSkew($A83,W83-BK83,b)/100,0)</f>
        <v>#DIV/0!</v>
      </c>
      <c r="W83" s="98">
        <f t="shared" si="70"/>
        <v>2.5</v>
      </c>
      <c r="X83" s="99"/>
      <c r="Y83" s="97">
        <f t="shared" si="16"/>
        <v>2.5000000000000001E-2</v>
      </c>
      <c r="Z83" s="100">
        <f t="shared" si="17"/>
        <v>1</v>
      </c>
      <c r="AA83" s="99">
        <f t="shared" ca="1" si="18"/>
        <v>1604</v>
      </c>
      <c r="AB83" s="77" t="e">
        <f t="shared" si="19"/>
        <v>#DIV/0!</v>
      </c>
      <c r="AC83" s="77" t="e">
        <f>IF(H$16=1,_xll.xCalcSkew($A83,AD83-BV83,b)/100,0)</f>
        <v>#DIV/0!</v>
      </c>
      <c r="AD83" s="98">
        <f t="shared" si="71"/>
        <v>2.4900000000000002</v>
      </c>
      <c r="AF83" s="99">
        <f t="shared" ca="1" si="21"/>
        <v>1604</v>
      </c>
      <c r="AG83" s="99">
        <f t="shared" ca="1" si="22"/>
        <v>1603</v>
      </c>
      <c r="AH83" s="77">
        <f t="shared" si="67"/>
        <v>4.9322850087879302E-2</v>
      </c>
      <c r="AI83" s="154">
        <f t="shared" si="0"/>
        <v>30</v>
      </c>
      <c r="AL83" s="99"/>
      <c r="AM83" s="78"/>
      <c r="AN83" s="78">
        <f t="shared" si="49"/>
        <v>0</v>
      </c>
      <c r="AO83" s="303" t="e">
        <f t="shared" si="50"/>
        <v>#DIV/0!</v>
      </c>
      <c r="AP83" s="75">
        <f t="shared" si="72"/>
        <v>0</v>
      </c>
      <c r="AQ83" s="102">
        <f t="shared" si="73"/>
        <v>0</v>
      </c>
      <c r="AR83" s="101">
        <f t="shared" si="26"/>
        <v>0</v>
      </c>
      <c r="AS83" s="101">
        <f t="shared" si="51"/>
        <v>0</v>
      </c>
      <c r="AT83" s="101">
        <f t="shared" si="27"/>
        <v>0</v>
      </c>
      <c r="AU83" s="103">
        <f t="shared" si="52"/>
        <v>0</v>
      </c>
      <c r="AV83" s="103">
        <f t="shared" si="53"/>
        <v>0</v>
      </c>
      <c r="AW83" s="103">
        <f t="shared" si="54"/>
        <v>0</v>
      </c>
      <c r="AY83" s="78">
        <f t="shared" si="28"/>
        <v>0</v>
      </c>
      <c r="AZ83" s="303" t="e">
        <f t="shared" si="55"/>
        <v>#DIV/0!</v>
      </c>
      <c r="BA83" s="75">
        <f t="shared" si="74"/>
        <v>0</v>
      </c>
      <c r="BB83" s="102">
        <f t="shared" si="75"/>
        <v>0</v>
      </c>
      <c r="BC83" s="101">
        <f t="shared" si="31"/>
        <v>0</v>
      </c>
      <c r="BD83" s="101">
        <f t="shared" si="32"/>
        <v>0</v>
      </c>
      <c r="BE83" s="101">
        <f t="shared" si="33"/>
        <v>0</v>
      </c>
      <c r="BF83" s="103">
        <f t="shared" si="56"/>
        <v>0</v>
      </c>
      <c r="BG83" s="103">
        <f t="shared" si="57"/>
        <v>0</v>
      </c>
      <c r="BH83" s="103">
        <f t="shared" si="58"/>
        <v>0</v>
      </c>
      <c r="BJ83" s="78">
        <f t="shared" si="34"/>
        <v>0</v>
      </c>
      <c r="BK83" s="303" t="e">
        <f t="shared" si="59"/>
        <v>#DIV/0!</v>
      </c>
      <c r="BL83" s="75">
        <f t="shared" si="76"/>
        <v>0</v>
      </c>
      <c r="BM83" s="102">
        <f t="shared" si="77"/>
        <v>0</v>
      </c>
      <c r="BN83" s="101">
        <f t="shared" si="37"/>
        <v>0</v>
      </c>
      <c r="BO83" s="101">
        <f t="shared" si="38"/>
        <v>0</v>
      </c>
      <c r="BP83" s="101">
        <f t="shared" si="39"/>
        <v>0</v>
      </c>
      <c r="BQ83" s="103">
        <f t="shared" si="60"/>
        <v>0</v>
      </c>
      <c r="BR83" s="103">
        <f t="shared" si="61"/>
        <v>0</v>
      </c>
      <c r="BS83" s="103">
        <f t="shared" si="62"/>
        <v>0</v>
      </c>
      <c r="BU83" s="78">
        <f t="shared" si="40"/>
        <v>0</v>
      </c>
      <c r="BV83" s="303" t="e">
        <f t="shared" si="63"/>
        <v>#DIV/0!</v>
      </c>
      <c r="BW83" s="75">
        <f t="shared" si="78"/>
        <v>0</v>
      </c>
      <c r="BX83" s="102">
        <f t="shared" si="79"/>
        <v>0</v>
      </c>
      <c r="BY83" s="101">
        <f t="shared" si="43"/>
        <v>0</v>
      </c>
      <c r="BZ83" s="101">
        <f t="shared" si="44"/>
        <v>0</v>
      </c>
      <c r="CA83" s="101">
        <f t="shared" si="45"/>
        <v>0</v>
      </c>
      <c r="CB83" s="103">
        <f t="shared" si="64"/>
        <v>0</v>
      </c>
      <c r="CC83" s="103">
        <f t="shared" si="65"/>
        <v>0</v>
      </c>
      <c r="CD83" s="103">
        <f t="shared" si="66"/>
        <v>0</v>
      </c>
    </row>
    <row r="84" spans="1:82" x14ac:dyDescent="0.2">
      <c r="A84" s="96">
        <f t="shared" si="46"/>
        <v>38899</v>
      </c>
      <c r="B84" s="97">
        <f t="shared" si="47"/>
        <v>3.4049999999999998</v>
      </c>
      <c r="C84" s="77">
        <f t="shared" si="48"/>
        <v>0.2475</v>
      </c>
      <c r="D84" s="97">
        <f t="shared" si="1"/>
        <v>0</v>
      </c>
      <c r="E84" s="100">
        <f t="shared" si="2"/>
        <v>1</v>
      </c>
      <c r="F84" s="99">
        <f t="shared" ca="1" si="3"/>
        <v>1636</v>
      </c>
      <c r="G84" s="77" t="e">
        <f t="shared" si="4"/>
        <v>#DIV/0!</v>
      </c>
      <c r="H84" s="77" t="e">
        <f>IF(B$16=1,_xll.xCalcSkew(A84,I84-AO84,b)/100,0)</f>
        <v>#DIV/0!</v>
      </c>
      <c r="I84" s="98">
        <f t="shared" si="68"/>
        <v>4</v>
      </c>
      <c r="K84" s="97">
        <f t="shared" si="6"/>
        <v>2.75E-2</v>
      </c>
      <c r="L84" s="100">
        <f t="shared" si="7"/>
        <v>1</v>
      </c>
      <c r="M84" s="99">
        <f t="shared" ca="1" si="8"/>
        <v>1637</v>
      </c>
      <c r="N84" s="175" t="e">
        <f t="shared" si="9"/>
        <v>#DIV/0!</v>
      </c>
      <c r="O84" s="77" t="e">
        <f>IF(D$16=1,_xll.xCalcSkew($A84,P84-AZ84,b)/100,0)</f>
        <v>#DIV/0!</v>
      </c>
      <c r="P84" s="98">
        <f t="shared" si="69"/>
        <v>2.5</v>
      </c>
      <c r="R84" s="97">
        <f t="shared" si="11"/>
        <v>2.75E-2</v>
      </c>
      <c r="S84" s="100">
        <f t="shared" si="12"/>
        <v>1</v>
      </c>
      <c r="T84" s="99">
        <f t="shared" ca="1" si="13"/>
        <v>1637</v>
      </c>
      <c r="U84" s="175" t="e">
        <f t="shared" si="14"/>
        <v>#DIV/0!</v>
      </c>
      <c r="V84" s="77" t="e">
        <f>IF(F$16=1,_xll.xCalcSkew($A84,W84-BK84,b)/100,0)</f>
        <v>#DIV/0!</v>
      </c>
      <c r="W84" s="98">
        <f t="shared" si="70"/>
        <v>2.5</v>
      </c>
      <c r="X84" s="99"/>
      <c r="Y84" s="97">
        <f t="shared" si="16"/>
        <v>2.75E-2</v>
      </c>
      <c r="Z84" s="100">
        <f t="shared" si="17"/>
        <v>1</v>
      </c>
      <c r="AA84" s="99">
        <f t="shared" ca="1" si="18"/>
        <v>1637</v>
      </c>
      <c r="AB84" s="77" t="e">
        <f t="shared" si="19"/>
        <v>#DIV/0!</v>
      </c>
      <c r="AC84" s="77" t="e">
        <f>IF(H$16=1,_xll.xCalcSkew($A84,AD84-BV84,b)/100,0)</f>
        <v>#DIV/0!</v>
      </c>
      <c r="AD84" s="98">
        <f t="shared" si="71"/>
        <v>2.4900000000000002</v>
      </c>
      <c r="AF84" s="99">
        <f t="shared" ca="1" si="21"/>
        <v>1637</v>
      </c>
      <c r="AG84" s="99">
        <f t="shared" ca="1" si="22"/>
        <v>1636</v>
      </c>
      <c r="AH84" s="77">
        <f t="shared" si="67"/>
        <v>4.962340294637E-2</v>
      </c>
      <c r="AI84" s="154">
        <f t="shared" si="0"/>
        <v>31</v>
      </c>
      <c r="AL84" s="99"/>
      <c r="AM84" s="78"/>
      <c r="AN84" s="78">
        <f t="shared" si="49"/>
        <v>0</v>
      </c>
      <c r="AO84" s="303" t="e">
        <f t="shared" si="50"/>
        <v>#DIV/0!</v>
      </c>
      <c r="AP84" s="75">
        <f t="shared" si="72"/>
        <v>0</v>
      </c>
      <c r="AQ84" s="102">
        <f t="shared" si="73"/>
        <v>0</v>
      </c>
      <c r="AR84" s="101">
        <f t="shared" si="26"/>
        <v>0</v>
      </c>
      <c r="AS84" s="101">
        <f t="shared" si="51"/>
        <v>0</v>
      </c>
      <c r="AT84" s="101">
        <f t="shared" si="27"/>
        <v>0</v>
      </c>
      <c r="AU84" s="103">
        <f t="shared" si="52"/>
        <v>0</v>
      </c>
      <c r="AV84" s="103">
        <f t="shared" si="53"/>
        <v>0</v>
      </c>
      <c r="AW84" s="103">
        <f t="shared" si="54"/>
        <v>0</v>
      </c>
      <c r="AY84" s="78">
        <f t="shared" si="28"/>
        <v>0</v>
      </c>
      <c r="AZ84" s="303" t="e">
        <f t="shared" si="55"/>
        <v>#DIV/0!</v>
      </c>
      <c r="BA84" s="75">
        <f t="shared" si="74"/>
        <v>0</v>
      </c>
      <c r="BB84" s="102">
        <f t="shared" si="75"/>
        <v>0</v>
      </c>
      <c r="BC84" s="101">
        <f t="shared" si="31"/>
        <v>0</v>
      </c>
      <c r="BD84" s="101">
        <f t="shared" si="32"/>
        <v>0</v>
      </c>
      <c r="BE84" s="101">
        <f t="shared" si="33"/>
        <v>0</v>
      </c>
      <c r="BF84" s="103">
        <f t="shared" si="56"/>
        <v>0</v>
      </c>
      <c r="BG84" s="103">
        <f t="shared" si="57"/>
        <v>0</v>
      </c>
      <c r="BH84" s="103">
        <f t="shared" si="58"/>
        <v>0</v>
      </c>
      <c r="BJ84" s="78">
        <f t="shared" si="34"/>
        <v>0</v>
      </c>
      <c r="BK84" s="303" t="e">
        <f t="shared" si="59"/>
        <v>#DIV/0!</v>
      </c>
      <c r="BL84" s="75">
        <f t="shared" si="76"/>
        <v>0</v>
      </c>
      <c r="BM84" s="102">
        <f t="shared" si="77"/>
        <v>0</v>
      </c>
      <c r="BN84" s="101">
        <f t="shared" si="37"/>
        <v>0</v>
      </c>
      <c r="BO84" s="101">
        <f t="shared" si="38"/>
        <v>0</v>
      </c>
      <c r="BP84" s="101">
        <f t="shared" si="39"/>
        <v>0</v>
      </c>
      <c r="BQ84" s="103">
        <f t="shared" si="60"/>
        <v>0</v>
      </c>
      <c r="BR84" s="103">
        <f t="shared" si="61"/>
        <v>0</v>
      </c>
      <c r="BS84" s="103">
        <f t="shared" si="62"/>
        <v>0</v>
      </c>
      <c r="BU84" s="78">
        <f t="shared" si="40"/>
        <v>0</v>
      </c>
      <c r="BV84" s="303" t="e">
        <f t="shared" si="63"/>
        <v>#DIV/0!</v>
      </c>
      <c r="BW84" s="75">
        <f t="shared" si="78"/>
        <v>0</v>
      </c>
      <c r="BX84" s="102">
        <f t="shared" si="79"/>
        <v>0</v>
      </c>
      <c r="BY84" s="101">
        <f t="shared" si="43"/>
        <v>0</v>
      </c>
      <c r="BZ84" s="101">
        <f t="shared" si="44"/>
        <v>0</v>
      </c>
      <c r="CA84" s="101">
        <f t="shared" si="45"/>
        <v>0</v>
      </c>
      <c r="CB84" s="103">
        <f t="shared" si="64"/>
        <v>0</v>
      </c>
      <c r="CC84" s="103">
        <f t="shared" si="65"/>
        <v>0</v>
      </c>
      <c r="CD84" s="103">
        <f t="shared" si="66"/>
        <v>0</v>
      </c>
    </row>
    <row r="85" spans="1:82" x14ac:dyDescent="0.2">
      <c r="A85" s="96">
        <f t="shared" si="46"/>
        <v>38930</v>
      </c>
      <c r="B85" s="97">
        <f t="shared" si="47"/>
        <v>3.4449999999999998</v>
      </c>
      <c r="C85" s="77">
        <f t="shared" si="48"/>
        <v>0.2475</v>
      </c>
      <c r="D85" s="97">
        <f t="shared" si="1"/>
        <v>0</v>
      </c>
      <c r="E85" s="100">
        <f t="shared" si="2"/>
        <v>1</v>
      </c>
      <c r="F85" s="99">
        <f t="shared" ca="1" si="3"/>
        <v>1665</v>
      </c>
      <c r="G85" s="77" t="e">
        <f t="shared" si="4"/>
        <v>#DIV/0!</v>
      </c>
      <c r="H85" s="77" t="e">
        <f>IF(B$16=1,_xll.xCalcSkew(A85,I85-AO85,b)/100,0)</f>
        <v>#DIV/0!</v>
      </c>
      <c r="I85" s="98">
        <f t="shared" si="68"/>
        <v>4</v>
      </c>
      <c r="K85" s="97">
        <f t="shared" si="6"/>
        <v>0.03</v>
      </c>
      <c r="L85" s="100">
        <f t="shared" si="7"/>
        <v>1</v>
      </c>
      <c r="M85" s="99">
        <f t="shared" ca="1" si="8"/>
        <v>1666</v>
      </c>
      <c r="N85" s="175" t="e">
        <f t="shared" si="9"/>
        <v>#DIV/0!</v>
      </c>
      <c r="O85" s="77" t="e">
        <f>IF(D$16=1,_xll.xCalcSkew($A85,P85-AZ85,b)/100,0)</f>
        <v>#DIV/0!</v>
      </c>
      <c r="P85" s="98">
        <f t="shared" si="69"/>
        <v>2.5</v>
      </c>
      <c r="R85" s="97">
        <f t="shared" si="11"/>
        <v>0.03</v>
      </c>
      <c r="S85" s="100">
        <f t="shared" si="12"/>
        <v>1</v>
      </c>
      <c r="T85" s="99">
        <f t="shared" ca="1" si="13"/>
        <v>1666</v>
      </c>
      <c r="U85" s="175" t="e">
        <f t="shared" si="14"/>
        <v>#DIV/0!</v>
      </c>
      <c r="V85" s="77" t="e">
        <f>IF(F$16=1,_xll.xCalcSkew($A85,W85-BK85,b)/100,0)</f>
        <v>#DIV/0!</v>
      </c>
      <c r="W85" s="98">
        <f t="shared" si="70"/>
        <v>2.5</v>
      </c>
      <c r="X85" s="99"/>
      <c r="Y85" s="97">
        <f t="shared" si="16"/>
        <v>0.03</v>
      </c>
      <c r="Z85" s="100">
        <f t="shared" si="17"/>
        <v>1</v>
      </c>
      <c r="AA85" s="99">
        <f t="shared" ca="1" si="18"/>
        <v>1666</v>
      </c>
      <c r="AB85" s="77" t="e">
        <f t="shared" si="19"/>
        <v>#DIV/0!</v>
      </c>
      <c r="AC85" s="77" t="e">
        <f>IF(H$16=1,_xll.xCalcSkew($A85,AD85-BV85,b)/100,0)</f>
        <v>#DIV/0!</v>
      </c>
      <c r="AD85" s="98">
        <f t="shared" si="71"/>
        <v>2.4900000000000002</v>
      </c>
      <c r="AF85" s="99">
        <f t="shared" ca="1" si="21"/>
        <v>1666</v>
      </c>
      <c r="AG85" s="99">
        <f t="shared" ca="1" si="22"/>
        <v>1665</v>
      </c>
      <c r="AH85" s="77">
        <f t="shared" si="67"/>
        <v>4.9933974265168303E-2</v>
      </c>
      <c r="AI85" s="154">
        <f t="shared" si="0"/>
        <v>31</v>
      </c>
      <c r="AL85" s="99"/>
      <c r="AM85" s="78"/>
      <c r="AN85" s="78">
        <f t="shared" si="49"/>
        <v>0</v>
      </c>
      <c r="AO85" s="303" t="e">
        <f t="shared" si="50"/>
        <v>#DIV/0!</v>
      </c>
      <c r="AP85" s="75">
        <f t="shared" si="72"/>
        <v>0</v>
      </c>
      <c r="AQ85" s="102">
        <f t="shared" si="73"/>
        <v>0</v>
      </c>
      <c r="AR85" s="101">
        <f t="shared" si="26"/>
        <v>0</v>
      </c>
      <c r="AS85" s="101">
        <f t="shared" si="51"/>
        <v>0</v>
      </c>
      <c r="AT85" s="101">
        <f t="shared" si="27"/>
        <v>0</v>
      </c>
      <c r="AU85" s="103">
        <f t="shared" si="52"/>
        <v>0</v>
      </c>
      <c r="AV85" s="103">
        <f t="shared" si="53"/>
        <v>0</v>
      </c>
      <c r="AW85" s="103">
        <f t="shared" si="54"/>
        <v>0</v>
      </c>
      <c r="AY85" s="78">
        <f t="shared" si="28"/>
        <v>0</v>
      </c>
      <c r="AZ85" s="303" t="e">
        <f t="shared" si="55"/>
        <v>#DIV/0!</v>
      </c>
      <c r="BA85" s="75">
        <f t="shared" si="74"/>
        <v>0</v>
      </c>
      <c r="BB85" s="102">
        <f t="shared" si="75"/>
        <v>0</v>
      </c>
      <c r="BC85" s="101">
        <f t="shared" si="31"/>
        <v>0</v>
      </c>
      <c r="BD85" s="101">
        <f t="shared" si="32"/>
        <v>0</v>
      </c>
      <c r="BE85" s="101">
        <f t="shared" si="33"/>
        <v>0</v>
      </c>
      <c r="BF85" s="103">
        <f t="shared" si="56"/>
        <v>0</v>
      </c>
      <c r="BG85" s="103">
        <f t="shared" si="57"/>
        <v>0</v>
      </c>
      <c r="BH85" s="103">
        <f t="shared" si="58"/>
        <v>0</v>
      </c>
      <c r="BJ85" s="78">
        <f t="shared" si="34"/>
        <v>0</v>
      </c>
      <c r="BK85" s="303" t="e">
        <f t="shared" si="59"/>
        <v>#DIV/0!</v>
      </c>
      <c r="BL85" s="75">
        <f t="shared" si="76"/>
        <v>0</v>
      </c>
      <c r="BM85" s="102">
        <f t="shared" si="77"/>
        <v>0</v>
      </c>
      <c r="BN85" s="101">
        <f t="shared" si="37"/>
        <v>0</v>
      </c>
      <c r="BO85" s="101">
        <f t="shared" si="38"/>
        <v>0</v>
      </c>
      <c r="BP85" s="101">
        <f t="shared" si="39"/>
        <v>0</v>
      </c>
      <c r="BQ85" s="103">
        <f t="shared" si="60"/>
        <v>0</v>
      </c>
      <c r="BR85" s="103">
        <f t="shared" si="61"/>
        <v>0</v>
      </c>
      <c r="BS85" s="103">
        <f t="shared" si="62"/>
        <v>0</v>
      </c>
      <c r="BU85" s="78">
        <f t="shared" si="40"/>
        <v>0</v>
      </c>
      <c r="BV85" s="303" t="e">
        <f t="shared" si="63"/>
        <v>#DIV/0!</v>
      </c>
      <c r="BW85" s="75">
        <f t="shared" si="78"/>
        <v>0</v>
      </c>
      <c r="BX85" s="102">
        <f t="shared" si="79"/>
        <v>0</v>
      </c>
      <c r="BY85" s="101">
        <f t="shared" si="43"/>
        <v>0</v>
      </c>
      <c r="BZ85" s="101">
        <f t="shared" si="44"/>
        <v>0</v>
      </c>
      <c r="CA85" s="101">
        <f t="shared" si="45"/>
        <v>0</v>
      </c>
      <c r="CB85" s="103">
        <f t="shared" si="64"/>
        <v>0</v>
      </c>
      <c r="CC85" s="103">
        <f t="shared" si="65"/>
        <v>0</v>
      </c>
      <c r="CD85" s="103">
        <f t="shared" si="66"/>
        <v>0</v>
      </c>
    </row>
    <row r="86" spans="1:82" x14ac:dyDescent="0.2">
      <c r="A86" s="96">
        <f t="shared" si="46"/>
        <v>38961</v>
      </c>
      <c r="B86" s="97">
        <f t="shared" si="47"/>
        <v>3.44</v>
      </c>
      <c r="C86" s="77">
        <f t="shared" si="48"/>
        <v>0.2475</v>
      </c>
      <c r="D86" s="97">
        <f t="shared" si="1"/>
        <v>0</v>
      </c>
      <c r="E86" s="100">
        <f t="shared" si="2"/>
        <v>1</v>
      </c>
      <c r="F86" s="99">
        <f t="shared" ca="1" si="3"/>
        <v>1698</v>
      </c>
      <c r="G86" s="77" t="e">
        <f t="shared" si="4"/>
        <v>#DIV/0!</v>
      </c>
      <c r="H86" s="77" t="e">
        <f>IF(B$16=1,_xll.xCalcSkew(A86,I86-AO86,b)/100,0)</f>
        <v>#DIV/0!</v>
      </c>
      <c r="I86" s="98">
        <f t="shared" si="68"/>
        <v>4</v>
      </c>
      <c r="K86" s="97">
        <f t="shared" si="6"/>
        <v>2.2499999999999999E-2</v>
      </c>
      <c r="L86" s="100">
        <f t="shared" si="7"/>
        <v>1</v>
      </c>
      <c r="M86" s="99">
        <f t="shared" ca="1" si="8"/>
        <v>1699</v>
      </c>
      <c r="N86" s="175" t="e">
        <f t="shared" si="9"/>
        <v>#DIV/0!</v>
      </c>
      <c r="O86" s="77" t="e">
        <f>IF(D$16=1,_xll.xCalcSkew($A86,P86-AZ86,b)/100,0)</f>
        <v>#DIV/0!</v>
      </c>
      <c r="P86" s="98">
        <f t="shared" si="69"/>
        <v>2.5</v>
      </c>
      <c r="R86" s="97">
        <f t="shared" si="11"/>
        <v>2.2499999999999999E-2</v>
      </c>
      <c r="S86" s="100">
        <f t="shared" si="12"/>
        <v>1</v>
      </c>
      <c r="T86" s="99">
        <f t="shared" ca="1" si="13"/>
        <v>1699</v>
      </c>
      <c r="U86" s="175" t="e">
        <f t="shared" si="14"/>
        <v>#DIV/0!</v>
      </c>
      <c r="V86" s="77" t="e">
        <f>IF(F$16=1,_xll.xCalcSkew($A86,W86-BK86,b)/100,0)</f>
        <v>#DIV/0!</v>
      </c>
      <c r="W86" s="98">
        <f t="shared" si="70"/>
        <v>2.5</v>
      </c>
      <c r="X86" s="99"/>
      <c r="Y86" s="97">
        <f t="shared" si="16"/>
        <v>2.2499999999999999E-2</v>
      </c>
      <c r="Z86" s="100">
        <f t="shared" si="17"/>
        <v>1</v>
      </c>
      <c r="AA86" s="99">
        <f t="shared" ca="1" si="18"/>
        <v>1699</v>
      </c>
      <c r="AB86" s="77" t="e">
        <f t="shared" si="19"/>
        <v>#DIV/0!</v>
      </c>
      <c r="AC86" s="77" t="e">
        <f>IF(H$16=1,_xll.xCalcSkew($A86,AD86-BV86,b)/100,0)</f>
        <v>#DIV/0!</v>
      </c>
      <c r="AD86" s="98">
        <f t="shared" si="71"/>
        <v>2.4900000000000002</v>
      </c>
      <c r="AF86" s="99">
        <f t="shared" ca="1" si="21"/>
        <v>1699</v>
      </c>
      <c r="AG86" s="99">
        <f t="shared" ca="1" si="22"/>
        <v>1698</v>
      </c>
      <c r="AH86" s="77">
        <f t="shared" si="67"/>
        <v>5.0244545616172399E-2</v>
      </c>
      <c r="AI86" s="154">
        <f t="shared" si="0"/>
        <v>30</v>
      </c>
      <c r="AL86" s="99"/>
      <c r="AM86" s="78"/>
      <c r="AN86" s="78">
        <f t="shared" si="49"/>
        <v>0</v>
      </c>
      <c r="AO86" s="303" t="e">
        <f t="shared" si="50"/>
        <v>#DIV/0!</v>
      </c>
      <c r="AP86" s="75">
        <f t="shared" si="72"/>
        <v>0</v>
      </c>
      <c r="AQ86" s="102">
        <f t="shared" si="73"/>
        <v>0</v>
      </c>
      <c r="AR86" s="101">
        <f t="shared" si="26"/>
        <v>0</v>
      </c>
      <c r="AS86" s="101">
        <f t="shared" si="51"/>
        <v>0</v>
      </c>
      <c r="AT86" s="101">
        <f t="shared" si="27"/>
        <v>0</v>
      </c>
      <c r="AU86" s="103">
        <f t="shared" si="52"/>
        <v>0</v>
      </c>
      <c r="AV86" s="103">
        <f t="shared" si="53"/>
        <v>0</v>
      </c>
      <c r="AW86" s="103">
        <f t="shared" si="54"/>
        <v>0</v>
      </c>
      <c r="AY86" s="78">
        <f t="shared" si="28"/>
        <v>0</v>
      </c>
      <c r="AZ86" s="303" t="e">
        <f t="shared" si="55"/>
        <v>#DIV/0!</v>
      </c>
      <c r="BA86" s="75">
        <f t="shared" si="74"/>
        <v>0</v>
      </c>
      <c r="BB86" s="102">
        <f t="shared" si="75"/>
        <v>0</v>
      </c>
      <c r="BC86" s="101">
        <f t="shared" si="31"/>
        <v>0</v>
      </c>
      <c r="BD86" s="101">
        <f t="shared" si="32"/>
        <v>0</v>
      </c>
      <c r="BE86" s="101">
        <f t="shared" si="33"/>
        <v>0</v>
      </c>
      <c r="BF86" s="103">
        <f t="shared" si="56"/>
        <v>0</v>
      </c>
      <c r="BG86" s="103">
        <f t="shared" si="57"/>
        <v>0</v>
      </c>
      <c r="BH86" s="103">
        <f t="shared" si="58"/>
        <v>0</v>
      </c>
      <c r="BJ86" s="78">
        <f t="shared" si="34"/>
        <v>0</v>
      </c>
      <c r="BK86" s="303" t="e">
        <f t="shared" si="59"/>
        <v>#DIV/0!</v>
      </c>
      <c r="BL86" s="75">
        <f t="shared" si="76"/>
        <v>0</v>
      </c>
      <c r="BM86" s="102">
        <f t="shared" si="77"/>
        <v>0</v>
      </c>
      <c r="BN86" s="101">
        <f t="shared" si="37"/>
        <v>0</v>
      </c>
      <c r="BO86" s="101">
        <f t="shared" si="38"/>
        <v>0</v>
      </c>
      <c r="BP86" s="101">
        <f t="shared" si="39"/>
        <v>0</v>
      </c>
      <c r="BQ86" s="103">
        <f t="shared" si="60"/>
        <v>0</v>
      </c>
      <c r="BR86" s="103">
        <f t="shared" si="61"/>
        <v>0</v>
      </c>
      <c r="BS86" s="103">
        <f t="shared" si="62"/>
        <v>0</v>
      </c>
      <c r="BU86" s="78">
        <f t="shared" si="40"/>
        <v>0</v>
      </c>
      <c r="BV86" s="303" t="e">
        <f t="shared" si="63"/>
        <v>#DIV/0!</v>
      </c>
      <c r="BW86" s="75">
        <f t="shared" si="78"/>
        <v>0</v>
      </c>
      <c r="BX86" s="102">
        <f t="shared" si="79"/>
        <v>0</v>
      </c>
      <c r="BY86" s="101">
        <f t="shared" si="43"/>
        <v>0</v>
      </c>
      <c r="BZ86" s="101">
        <f t="shared" si="44"/>
        <v>0</v>
      </c>
      <c r="CA86" s="101">
        <f t="shared" si="45"/>
        <v>0</v>
      </c>
      <c r="CB86" s="103">
        <f t="shared" si="64"/>
        <v>0</v>
      </c>
      <c r="CC86" s="103">
        <f t="shared" si="65"/>
        <v>0</v>
      </c>
      <c r="CD86" s="103">
        <f t="shared" si="66"/>
        <v>0</v>
      </c>
    </row>
    <row r="87" spans="1:82" x14ac:dyDescent="0.2">
      <c r="A87" s="96">
        <f t="shared" si="46"/>
        <v>38991</v>
      </c>
      <c r="B87" s="97">
        <f t="shared" si="47"/>
        <v>3.4649999999999999</v>
      </c>
      <c r="C87" s="77">
        <f t="shared" si="48"/>
        <v>0.2475</v>
      </c>
      <c r="D87" s="97">
        <f t="shared" si="1"/>
        <v>0</v>
      </c>
      <c r="E87" s="100">
        <f t="shared" si="2"/>
        <v>1</v>
      </c>
      <c r="F87" s="99">
        <f t="shared" ca="1" si="3"/>
        <v>1727</v>
      </c>
      <c r="G87" s="77" t="e">
        <f t="shared" si="4"/>
        <v>#DIV/0!</v>
      </c>
      <c r="H87" s="77" t="e">
        <f>IF(B$16=1,_xll.xCalcSkew(A87,I87-AO87,b)/100,0)</f>
        <v>#DIV/0!</v>
      </c>
      <c r="I87" s="98">
        <f t="shared" si="68"/>
        <v>4</v>
      </c>
      <c r="K87" s="97">
        <f t="shared" si="6"/>
        <v>1.2500000000000001E-2</v>
      </c>
      <c r="L87" s="100">
        <f t="shared" si="7"/>
        <v>1</v>
      </c>
      <c r="M87" s="99">
        <f t="shared" ca="1" si="8"/>
        <v>1728</v>
      </c>
      <c r="N87" s="175" t="e">
        <f t="shared" si="9"/>
        <v>#DIV/0!</v>
      </c>
      <c r="O87" s="77" t="e">
        <f>IF(D$16=1,_xll.xCalcSkew($A87,P87-AZ87,b)/100,0)</f>
        <v>#DIV/0!</v>
      </c>
      <c r="P87" s="98">
        <f t="shared" si="69"/>
        <v>2.5</v>
      </c>
      <c r="R87" s="97">
        <f t="shared" si="11"/>
        <v>1.2500000000000001E-2</v>
      </c>
      <c r="S87" s="100">
        <f t="shared" si="12"/>
        <v>1</v>
      </c>
      <c r="T87" s="99">
        <f t="shared" ca="1" si="13"/>
        <v>1728</v>
      </c>
      <c r="U87" s="175" t="e">
        <f t="shared" si="14"/>
        <v>#DIV/0!</v>
      </c>
      <c r="V87" s="77" t="e">
        <f>IF(F$16=1,_xll.xCalcSkew($A87,W87-BK87,b)/100,0)</f>
        <v>#DIV/0!</v>
      </c>
      <c r="W87" s="98">
        <f t="shared" si="70"/>
        <v>2.5</v>
      </c>
      <c r="X87" s="99"/>
      <c r="Y87" s="97">
        <f t="shared" si="16"/>
        <v>1.2500000000000001E-2</v>
      </c>
      <c r="Z87" s="100">
        <f t="shared" si="17"/>
        <v>1</v>
      </c>
      <c r="AA87" s="99">
        <f t="shared" ca="1" si="18"/>
        <v>1728</v>
      </c>
      <c r="AB87" s="77" t="e">
        <f t="shared" si="19"/>
        <v>#DIV/0!</v>
      </c>
      <c r="AC87" s="77" t="e">
        <f>IF(H$16=1,_xll.xCalcSkew($A87,AD87-BV87,b)/100,0)</f>
        <v>#DIV/0!</v>
      </c>
      <c r="AD87" s="98">
        <f t="shared" si="71"/>
        <v>2.4900000000000002</v>
      </c>
      <c r="AF87" s="99">
        <f t="shared" ca="1" si="21"/>
        <v>1728</v>
      </c>
      <c r="AG87" s="99">
        <f t="shared" ca="1" si="22"/>
        <v>1727</v>
      </c>
      <c r="AH87" s="77">
        <f t="shared" si="67"/>
        <v>5.0545098567158497E-2</v>
      </c>
      <c r="AI87" s="154">
        <f t="shared" si="0"/>
        <v>31</v>
      </c>
      <c r="AL87" s="99"/>
      <c r="AM87" s="78"/>
      <c r="AN87" s="78">
        <f t="shared" si="49"/>
        <v>0</v>
      </c>
      <c r="AO87" s="303" t="e">
        <f t="shared" si="50"/>
        <v>#DIV/0!</v>
      </c>
      <c r="AP87" s="75">
        <f t="shared" si="72"/>
        <v>0</v>
      </c>
      <c r="AQ87" s="102">
        <f t="shared" si="73"/>
        <v>0</v>
      </c>
      <c r="AR87" s="101">
        <f t="shared" si="26"/>
        <v>0</v>
      </c>
      <c r="AS87" s="101">
        <f t="shared" si="51"/>
        <v>0</v>
      </c>
      <c r="AT87" s="101">
        <f t="shared" si="27"/>
        <v>0</v>
      </c>
      <c r="AU87" s="103">
        <f t="shared" si="52"/>
        <v>0</v>
      </c>
      <c r="AV87" s="103">
        <f t="shared" si="53"/>
        <v>0</v>
      </c>
      <c r="AW87" s="103">
        <f t="shared" si="54"/>
        <v>0</v>
      </c>
      <c r="AY87" s="78">
        <f t="shared" si="28"/>
        <v>0</v>
      </c>
      <c r="AZ87" s="303" t="e">
        <f t="shared" si="55"/>
        <v>#DIV/0!</v>
      </c>
      <c r="BA87" s="75">
        <f t="shared" si="74"/>
        <v>0</v>
      </c>
      <c r="BB87" s="102">
        <f t="shared" si="75"/>
        <v>0</v>
      </c>
      <c r="BC87" s="101">
        <f t="shared" si="31"/>
        <v>0</v>
      </c>
      <c r="BD87" s="101">
        <f t="shared" si="32"/>
        <v>0</v>
      </c>
      <c r="BE87" s="101">
        <f t="shared" si="33"/>
        <v>0</v>
      </c>
      <c r="BF87" s="103">
        <f t="shared" si="56"/>
        <v>0</v>
      </c>
      <c r="BG87" s="103">
        <f t="shared" si="57"/>
        <v>0</v>
      </c>
      <c r="BH87" s="103">
        <f t="shared" si="58"/>
        <v>0</v>
      </c>
      <c r="BJ87" s="78">
        <f t="shared" si="34"/>
        <v>0</v>
      </c>
      <c r="BK87" s="303" t="e">
        <f t="shared" si="59"/>
        <v>#DIV/0!</v>
      </c>
      <c r="BL87" s="75">
        <f t="shared" si="76"/>
        <v>0</v>
      </c>
      <c r="BM87" s="102">
        <f t="shared" si="77"/>
        <v>0</v>
      </c>
      <c r="BN87" s="101">
        <f t="shared" si="37"/>
        <v>0</v>
      </c>
      <c r="BO87" s="101">
        <f t="shared" si="38"/>
        <v>0</v>
      </c>
      <c r="BP87" s="101">
        <f t="shared" si="39"/>
        <v>0</v>
      </c>
      <c r="BQ87" s="103">
        <f t="shared" si="60"/>
        <v>0</v>
      </c>
      <c r="BR87" s="103">
        <f t="shared" si="61"/>
        <v>0</v>
      </c>
      <c r="BS87" s="103">
        <f t="shared" si="62"/>
        <v>0</v>
      </c>
      <c r="BU87" s="78">
        <f t="shared" si="40"/>
        <v>0</v>
      </c>
      <c r="BV87" s="303" t="e">
        <f t="shared" si="63"/>
        <v>#DIV/0!</v>
      </c>
      <c r="BW87" s="75">
        <f t="shared" si="78"/>
        <v>0</v>
      </c>
      <c r="BX87" s="102">
        <f t="shared" si="79"/>
        <v>0</v>
      </c>
      <c r="BY87" s="101">
        <f t="shared" si="43"/>
        <v>0</v>
      </c>
      <c r="BZ87" s="101">
        <f t="shared" si="44"/>
        <v>0</v>
      </c>
      <c r="CA87" s="101">
        <f t="shared" si="45"/>
        <v>0</v>
      </c>
      <c r="CB87" s="103">
        <f t="shared" si="64"/>
        <v>0</v>
      </c>
      <c r="CC87" s="103">
        <f t="shared" si="65"/>
        <v>0</v>
      </c>
      <c r="CD87" s="103">
        <f t="shared" si="66"/>
        <v>0</v>
      </c>
    </row>
    <row r="88" spans="1:82" x14ac:dyDescent="0.2">
      <c r="A88" s="96">
        <f t="shared" si="46"/>
        <v>39022</v>
      </c>
      <c r="B88" s="97">
        <f t="shared" si="47"/>
        <v>3.617</v>
      </c>
      <c r="C88" s="77">
        <f t="shared" si="48"/>
        <v>0.2475</v>
      </c>
      <c r="D88" s="97">
        <f t="shared" si="1"/>
        <v>0</v>
      </c>
      <c r="E88" s="100">
        <f t="shared" si="2"/>
        <v>1</v>
      </c>
      <c r="F88" s="99">
        <f t="shared" ca="1" si="3"/>
        <v>1757</v>
      </c>
      <c r="G88" s="77" t="e">
        <f t="shared" si="4"/>
        <v>#DIV/0!</v>
      </c>
      <c r="H88" s="77" t="e">
        <f>IF(B$16=1,_xll.xCalcSkew(A88,I88-AO88,b)/100,0)</f>
        <v>#DIV/0!</v>
      </c>
      <c r="I88" s="98">
        <f t="shared" si="68"/>
        <v>4</v>
      </c>
      <c r="K88" s="97">
        <f t="shared" si="6"/>
        <v>-2.2499999999999999E-2</v>
      </c>
      <c r="L88" s="100">
        <f t="shared" si="7"/>
        <v>1</v>
      </c>
      <c r="M88" s="99">
        <f t="shared" ca="1" si="8"/>
        <v>1758</v>
      </c>
      <c r="N88" s="175" t="e">
        <f t="shared" si="9"/>
        <v>#DIV/0!</v>
      </c>
      <c r="O88" s="77" t="e">
        <f>IF(D$16=1,_xll.xCalcSkew($A88,P88-AZ88,b)/100,0)</f>
        <v>#DIV/0!</v>
      </c>
      <c r="P88" s="98">
        <f t="shared" si="69"/>
        <v>2.5</v>
      </c>
      <c r="R88" s="97">
        <f t="shared" si="11"/>
        <v>-2.2499999999999999E-2</v>
      </c>
      <c r="S88" s="100">
        <f t="shared" si="12"/>
        <v>1</v>
      </c>
      <c r="T88" s="99">
        <f t="shared" ca="1" si="13"/>
        <v>1758</v>
      </c>
      <c r="U88" s="175" t="e">
        <f t="shared" si="14"/>
        <v>#DIV/0!</v>
      </c>
      <c r="V88" s="77" t="e">
        <f>IF(F$16=1,_xll.xCalcSkew($A88,W88-BK88,b)/100,0)</f>
        <v>#DIV/0!</v>
      </c>
      <c r="W88" s="98">
        <f t="shared" si="70"/>
        <v>2.5</v>
      </c>
      <c r="X88" s="99"/>
      <c r="Y88" s="97">
        <f t="shared" si="16"/>
        <v>-2.2499999999999999E-2</v>
      </c>
      <c r="Z88" s="100">
        <f t="shared" si="17"/>
        <v>1</v>
      </c>
      <c r="AA88" s="99">
        <f t="shared" ca="1" si="18"/>
        <v>1758</v>
      </c>
      <c r="AB88" s="77" t="e">
        <f t="shared" si="19"/>
        <v>#DIV/0!</v>
      </c>
      <c r="AC88" s="77" t="e">
        <f>IF(H$16=1,_xll.xCalcSkew($A88,AD88-BV88,b)/100,0)</f>
        <v>#DIV/0!</v>
      </c>
      <c r="AD88" s="98">
        <f t="shared" si="71"/>
        <v>2.4900000000000002</v>
      </c>
      <c r="AF88" s="99">
        <f t="shared" ca="1" si="21"/>
        <v>1758</v>
      </c>
      <c r="AG88" s="99">
        <f t="shared" ca="1" si="22"/>
        <v>1757</v>
      </c>
      <c r="AH88" s="77">
        <f t="shared" si="67"/>
        <v>5.0855669981520801E-2</v>
      </c>
      <c r="AI88" s="154">
        <f t="shared" si="0"/>
        <v>30</v>
      </c>
      <c r="AL88" s="99"/>
      <c r="AM88" s="78"/>
      <c r="AN88" s="78">
        <f t="shared" si="49"/>
        <v>0</v>
      </c>
      <c r="AO88" s="303" t="e">
        <f t="shared" si="50"/>
        <v>#DIV/0!</v>
      </c>
      <c r="AP88" s="75">
        <f t="shared" si="72"/>
        <v>0</v>
      </c>
      <c r="AQ88" s="102">
        <f t="shared" si="73"/>
        <v>0</v>
      </c>
      <c r="AR88" s="101">
        <f t="shared" si="26"/>
        <v>0</v>
      </c>
      <c r="AS88" s="101">
        <f t="shared" si="51"/>
        <v>0</v>
      </c>
      <c r="AT88" s="101">
        <f t="shared" si="27"/>
        <v>0</v>
      </c>
      <c r="AU88" s="103">
        <f t="shared" si="52"/>
        <v>0</v>
      </c>
      <c r="AV88" s="103">
        <f t="shared" si="53"/>
        <v>0</v>
      </c>
      <c r="AW88" s="103">
        <f t="shared" si="54"/>
        <v>0</v>
      </c>
      <c r="AY88" s="78">
        <f t="shared" si="28"/>
        <v>0</v>
      </c>
      <c r="AZ88" s="303" t="e">
        <f t="shared" si="55"/>
        <v>#DIV/0!</v>
      </c>
      <c r="BA88" s="75">
        <f t="shared" si="74"/>
        <v>0</v>
      </c>
      <c r="BB88" s="102">
        <f t="shared" si="75"/>
        <v>0</v>
      </c>
      <c r="BC88" s="101">
        <f t="shared" si="31"/>
        <v>0</v>
      </c>
      <c r="BD88" s="101">
        <f t="shared" si="32"/>
        <v>0</v>
      </c>
      <c r="BE88" s="101">
        <f t="shared" si="33"/>
        <v>0</v>
      </c>
      <c r="BF88" s="103">
        <f t="shared" si="56"/>
        <v>0</v>
      </c>
      <c r="BG88" s="103">
        <f t="shared" si="57"/>
        <v>0</v>
      </c>
      <c r="BH88" s="103">
        <f t="shared" si="58"/>
        <v>0</v>
      </c>
      <c r="BJ88" s="78">
        <f t="shared" si="34"/>
        <v>0</v>
      </c>
      <c r="BK88" s="303" t="e">
        <f t="shared" si="59"/>
        <v>#DIV/0!</v>
      </c>
      <c r="BL88" s="75">
        <f t="shared" si="76"/>
        <v>0</v>
      </c>
      <c r="BM88" s="102">
        <f t="shared" si="77"/>
        <v>0</v>
      </c>
      <c r="BN88" s="101">
        <f t="shared" si="37"/>
        <v>0</v>
      </c>
      <c r="BO88" s="101">
        <f t="shared" si="38"/>
        <v>0</v>
      </c>
      <c r="BP88" s="101">
        <f t="shared" si="39"/>
        <v>0</v>
      </c>
      <c r="BQ88" s="103">
        <f t="shared" si="60"/>
        <v>0</v>
      </c>
      <c r="BR88" s="103">
        <f t="shared" si="61"/>
        <v>0</v>
      </c>
      <c r="BS88" s="103">
        <f t="shared" si="62"/>
        <v>0</v>
      </c>
      <c r="BU88" s="78">
        <f t="shared" si="40"/>
        <v>0</v>
      </c>
      <c r="BV88" s="303" t="e">
        <f t="shared" si="63"/>
        <v>#DIV/0!</v>
      </c>
      <c r="BW88" s="75">
        <f t="shared" si="78"/>
        <v>0</v>
      </c>
      <c r="BX88" s="102">
        <f t="shared" si="79"/>
        <v>0</v>
      </c>
      <c r="BY88" s="101">
        <f t="shared" si="43"/>
        <v>0</v>
      </c>
      <c r="BZ88" s="101">
        <f t="shared" si="44"/>
        <v>0</v>
      </c>
      <c r="CA88" s="101">
        <f t="shared" si="45"/>
        <v>0</v>
      </c>
      <c r="CB88" s="103">
        <f t="shared" si="64"/>
        <v>0</v>
      </c>
      <c r="CC88" s="103">
        <f t="shared" si="65"/>
        <v>0</v>
      </c>
      <c r="CD88" s="103">
        <f t="shared" si="66"/>
        <v>0</v>
      </c>
    </row>
    <row r="89" spans="1:82" x14ac:dyDescent="0.2">
      <c r="A89" s="96">
        <f t="shared" si="46"/>
        <v>39052</v>
      </c>
      <c r="B89" s="97">
        <f t="shared" si="47"/>
        <v>3.76</v>
      </c>
      <c r="C89" s="77">
        <f t="shared" si="48"/>
        <v>0.2475</v>
      </c>
      <c r="D89" s="97">
        <f t="shared" si="1"/>
        <v>0</v>
      </c>
      <c r="E89" s="100">
        <f t="shared" si="2"/>
        <v>1</v>
      </c>
      <c r="F89" s="99">
        <f t="shared" ca="1" si="3"/>
        <v>1789</v>
      </c>
      <c r="G89" s="77" t="e">
        <f t="shared" si="4"/>
        <v>#DIV/0!</v>
      </c>
      <c r="H89" s="77" t="e">
        <f>IF(B$16=1,_xll.xCalcSkew(A89,I89-AO89,b)/100,0)</f>
        <v>#DIV/0!</v>
      </c>
      <c r="I89" s="98">
        <f t="shared" si="68"/>
        <v>4</v>
      </c>
      <c r="K89" s="97">
        <f t="shared" si="6"/>
        <v>-4.4999999999999998E-2</v>
      </c>
      <c r="L89" s="100">
        <f t="shared" si="7"/>
        <v>1</v>
      </c>
      <c r="M89" s="99">
        <f t="shared" ca="1" si="8"/>
        <v>1790</v>
      </c>
      <c r="N89" s="175" t="e">
        <f t="shared" si="9"/>
        <v>#DIV/0!</v>
      </c>
      <c r="O89" s="77" t="e">
        <f>IF(D$16=1,_xll.xCalcSkew($A89,P89-AZ89,b)/100,0)</f>
        <v>#DIV/0!</v>
      </c>
      <c r="P89" s="98">
        <f t="shared" si="69"/>
        <v>2.5</v>
      </c>
      <c r="R89" s="97">
        <f t="shared" si="11"/>
        <v>-4.4999999999999998E-2</v>
      </c>
      <c r="S89" s="100">
        <f t="shared" si="12"/>
        <v>1</v>
      </c>
      <c r="T89" s="99">
        <f t="shared" ca="1" si="13"/>
        <v>1790</v>
      </c>
      <c r="U89" s="175" t="e">
        <f t="shared" si="14"/>
        <v>#DIV/0!</v>
      </c>
      <c r="V89" s="77" t="e">
        <f>IF(F$16=1,_xll.xCalcSkew($A89,W89-BK89,b)/100,0)</f>
        <v>#DIV/0!</v>
      </c>
      <c r="W89" s="98">
        <f t="shared" si="70"/>
        <v>2.5</v>
      </c>
      <c r="X89" s="99"/>
      <c r="Y89" s="97">
        <f t="shared" si="16"/>
        <v>-4.4999999999999998E-2</v>
      </c>
      <c r="Z89" s="100">
        <f t="shared" si="17"/>
        <v>1</v>
      </c>
      <c r="AA89" s="99">
        <f t="shared" ca="1" si="18"/>
        <v>1790</v>
      </c>
      <c r="AB89" s="77" t="e">
        <f t="shared" si="19"/>
        <v>#DIV/0!</v>
      </c>
      <c r="AC89" s="77" t="e">
        <f>IF(H$16=1,_xll.xCalcSkew($A89,AD89-BV89,b)/100,0)</f>
        <v>#DIV/0!</v>
      </c>
      <c r="AD89" s="98">
        <f t="shared" si="71"/>
        <v>2.4900000000000002</v>
      </c>
      <c r="AF89" s="99">
        <f t="shared" ca="1" si="21"/>
        <v>1790</v>
      </c>
      <c r="AG89" s="99">
        <f t="shared" ca="1" si="22"/>
        <v>1789</v>
      </c>
      <c r="AH89" s="77">
        <f t="shared" si="67"/>
        <v>5.1156222993812103E-2</v>
      </c>
      <c r="AI89" s="154">
        <f t="shared" si="0"/>
        <v>31</v>
      </c>
      <c r="AL89" s="99"/>
      <c r="AM89" s="78"/>
      <c r="AN89" s="78">
        <f t="shared" si="49"/>
        <v>0</v>
      </c>
      <c r="AO89" s="303" t="e">
        <f t="shared" si="50"/>
        <v>#DIV/0!</v>
      </c>
      <c r="AP89" s="75">
        <f t="shared" si="72"/>
        <v>0</v>
      </c>
      <c r="AQ89" s="102">
        <f t="shared" si="73"/>
        <v>0</v>
      </c>
      <c r="AR89" s="101">
        <f t="shared" si="26"/>
        <v>0</v>
      </c>
      <c r="AS89" s="101">
        <f t="shared" si="51"/>
        <v>0</v>
      </c>
      <c r="AT89" s="101">
        <f t="shared" si="27"/>
        <v>0</v>
      </c>
      <c r="AU89" s="103">
        <f t="shared" si="52"/>
        <v>0</v>
      </c>
      <c r="AV89" s="103">
        <f t="shared" si="53"/>
        <v>0</v>
      </c>
      <c r="AW89" s="103">
        <f t="shared" si="54"/>
        <v>0</v>
      </c>
      <c r="AY89" s="78">
        <f t="shared" si="28"/>
        <v>0</v>
      </c>
      <c r="AZ89" s="303" t="e">
        <f t="shared" si="55"/>
        <v>#DIV/0!</v>
      </c>
      <c r="BA89" s="75">
        <f t="shared" si="74"/>
        <v>0</v>
      </c>
      <c r="BB89" s="102">
        <f t="shared" si="75"/>
        <v>0</v>
      </c>
      <c r="BC89" s="101">
        <f t="shared" si="31"/>
        <v>0</v>
      </c>
      <c r="BD89" s="101">
        <f t="shared" si="32"/>
        <v>0</v>
      </c>
      <c r="BE89" s="101">
        <f t="shared" si="33"/>
        <v>0</v>
      </c>
      <c r="BF89" s="103">
        <f t="shared" si="56"/>
        <v>0</v>
      </c>
      <c r="BG89" s="103">
        <f t="shared" si="57"/>
        <v>0</v>
      </c>
      <c r="BH89" s="103">
        <f t="shared" si="58"/>
        <v>0</v>
      </c>
      <c r="BJ89" s="78">
        <f t="shared" si="34"/>
        <v>0</v>
      </c>
      <c r="BK89" s="303" t="e">
        <f t="shared" si="59"/>
        <v>#DIV/0!</v>
      </c>
      <c r="BL89" s="75">
        <f t="shared" si="76"/>
        <v>0</v>
      </c>
      <c r="BM89" s="102">
        <f t="shared" si="77"/>
        <v>0</v>
      </c>
      <c r="BN89" s="101">
        <f t="shared" si="37"/>
        <v>0</v>
      </c>
      <c r="BO89" s="101">
        <f t="shared" si="38"/>
        <v>0</v>
      </c>
      <c r="BP89" s="101">
        <f t="shared" si="39"/>
        <v>0</v>
      </c>
      <c r="BQ89" s="103">
        <f t="shared" si="60"/>
        <v>0</v>
      </c>
      <c r="BR89" s="103">
        <f t="shared" si="61"/>
        <v>0</v>
      </c>
      <c r="BS89" s="103">
        <f t="shared" si="62"/>
        <v>0</v>
      </c>
      <c r="BU89" s="78">
        <f t="shared" si="40"/>
        <v>0</v>
      </c>
      <c r="BV89" s="303" t="e">
        <f t="shared" si="63"/>
        <v>#DIV/0!</v>
      </c>
      <c r="BW89" s="75">
        <f t="shared" si="78"/>
        <v>0</v>
      </c>
      <c r="BX89" s="102">
        <f t="shared" si="79"/>
        <v>0</v>
      </c>
      <c r="BY89" s="101">
        <f t="shared" si="43"/>
        <v>0</v>
      </c>
      <c r="BZ89" s="101">
        <f t="shared" si="44"/>
        <v>0</v>
      </c>
      <c r="CA89" s="101">
        <f t="shared" si="45"/>
        <v>0</v>
      </c>
      <c r="CB89" s="103">
        <f t="shared" si="64"/>
        <v>0</v>
      </c>
      <c r="CC89" s="103">
        <f t="shared" si="65"/>
        <v>0</v>
      </c>
      <c r="CD89" s="103">
        <f t="shared" si="66"/>
        <v>0</v>
      </c>
    </row>
    <row r="90" spans="1:82" x14ac:dyDescent="0.2">
      <c r="A90" s="96">
        <f t="shared" si="46"/>
        <v>39083</v>
      </c>
      <c r="B90" s="97">
        <f t="shared" si="47"/>
        <v>3.8125</v>
      </c>
      <c r="C90" s="77">
        <f t="shared" si="48"/>
        <v>0.2475</v>
      </c>
      <c r="D90" s="97">
        <f t="shared" si="1"/>
        <v>0</v>
      </c>
      <c r="E90" s="100">
        <f t="shared" si="2"/>
        <v>1</v>
      </c>
      <c r="F90" s="99">
        <f t="shared" ca="1" si="3"/>
        <v>1818</v>
      </c>
      <c r="G90" s="77" t="e">
        <f t="shared" si="4"/>
        <v>#DIV/0!</v>
      </c>
      <c r="H90" s="77" t="e">
        <f>IF(B$16=1,_xll.xCalcSkew(A90,I90-AO90,b)/100,0)</f>
        <v>#DIV/0!</v>
      </c>
      <c r="I90" s="98">
        <f t="shared" si="68"/>
        <v>4</v>
      </c>
      <c r="K90" s="97">
        <f t="shared" si="6"/>
        <v>-4.7500000000000001E-2</v>
      </c>
      <c r="L90" s="100">
        <f t="shared" si="7"/>
        <v>1</v>
      </c>
      <c r="M90" s="99">
        <f t="shared" ca="1" si="8"/>
        <v>1819</v>
      </c>
      <c r="N90" s="175" t="e">
        <f t="shared" si="9"/>
        <v>#DIV/0!</v>
      </c>
      <c r="O90" s="77" t="e">
        <f>IF(D$16=1,_xll.xCalcSkew($A90,P90-AZ90,b)/100,0)</f>
        <v>#DIV/0!</v>
      </c>
      <c r="P90" s="98">
        <f t="shared" si="69"/>
        <v>2.5</v>
      </c>
      <c r="R90" s="97">
        <f t="shared" si="11"/>
        <v>-4.7500000000000001E-2</v>
      </c>
      <c r="S90" s="100">
        <f t="shared" si="12"/>
        <v>1</v>
      </c>
      <c r="T90" s="99">
        <f t="shared" ca="1" si="13"/>
        <v>1819</v>
      </c>
      <c r="U90" s="175" t="e">
        <f t="shared" si="14"/>
        <v>#DIV/0!</v>
      </c>
      <c r="V90" s="77" t="e">
        <f>IF(F$16=1,_xll.xCalcSkew($A90,W90-BK90,b)/100,0)</f>
        <v>#DIV/0!</v>
      </c>
      <c r="W90" s="98">
        <f t="shared" si="70"/>
        <v>2.5</v>
      </c>
      <c r="X90" s="99"/>
      <c r="Y90" s="97">
        <f t="shared" si="16"/>
        <v>-4.7500000000000001E-2</v>
      </c>
      <c r="Z90" s="100">
        <f t="shared" si="17"/>
        <v>1</v>
      </c>
      <c r="AA90" s="99">
        <f t="shared" ca="1" si="18"/>
        <v>1819</v>
      </c>
      <c r="AB90" s="77" t="e">
        <f t="shared" si="19"/>
        <v>#DIV/0!</v>
      </c>
      <c r="AC90" s="77" t="e">
        <f>IF(H$16=1,_xll.xCalcSkew($A90,AD90-BV90,b)/100,0)</f>
        <v>#DIV/0!</v>
      </c>
      <c r="AD90" s="98">
        <f t="shared" si="71"/>
        <v>2.4900000000000002</v>
      </c>
      <c r="AF90" s="99">
        <f t="shared" ca="1" si="21"/>
        <v>1819</v>
      </c>
      <c r="AG90" s="99">
        <f t="shared" ca="1" si="22"/>
        <v>1818</v>
      </c>
      <c r="AH90" s="77">
        <f t="shared" si="67"/>
        <v>5.1391857633718001E-2</v>
      </c>
      <c r="AI90" s="154">
        <f t="shared" si="0"/>
        <v>31</v>
      </c>
      <c r="AL90" s="99"/>
      <c r="AM90" s="78"/>
      <c r="AN90" s="78">
        <f t="shared" si="49"/>
        <v>0</v>
      </c>
      <c r="AO90" s="303" t="e">
        <f t="shared" si="50"/>
        <v>#DIV/0!</v>
      </c>
      <c r="AP90" s="75">
        <f t="shared" si="72"/>
        <v>0</v>
      </c>
      <c r="AQ90" s="102">
        <f t="shared" si="73"/>
        <v>0</v>
      </c>
      <c r="AR90" s="101">
        <f t="shared" si="26"/>
        <v>0</v>
      </c>
      <c r="AS90" s="101">
        <f t="shared" si="51"/>
        <v>0</v>
      </c>
      <c r="AT90" s="101">
        <f t="shared" si="27"/>
        <v>0</v>
      </c>
      <c r="AU90" s="103">
        <f t="shared" si="52"/>
        <v>0</v>
      </c>
      <c r="AV90" s="103">
        <f t="shared" si="53"/>
        <v>0</v>
      </c>
      <c r="AW90" s="103">
        <f t="shared" si="54"/>
        <v>0</v>
      </c>
      <c r="AY90" s="78">
        <f t="shared" si="28"/>
        <v>0</v>
      </c>
      <c r="AZ90" s="303" t="e">
        <f t="shared" si="55"/>
        <v>#DIV/0!</v>
      </c>
      <c r="BA90" s="75">
        <f t="shared" si="74"/>
        <v>0</v>
      </c>
      <c r="BB90" s="102">
        <f t="shared" si="75"/>
        <v>0</v>
      </c>
      <c r="BC90" s="101">
        <f t="shared" si="31"/>
        <v>0</v>
      </c>
      <c r="BD90" s="101">
        <f t="shared" si="32"/>
        <v>0</v>
      </c>
      <c r="BE90" s="101">
        <f t="shared" si="33"/>
        <v>0</v>
      </c>
      <c r="BF90" s="103">
        <f t="shared" si="56"/>
        <v>0</v>
      </c>
      <c r="BG90" s="103">
        <f t="shared" si="57"/>
        <v>0</v>
      </c>
      <c r="BH90" s="103">
        <f t="shared" si="58"/>
        <v>0</v>
      </c>
      <c r="BJ90" s="78">
        <f t="shared" si="34"/>
        <v>0</v>
      </c>
      <c r="BK90" s="303" t="e">
        <f t="shared" si="59"/>
        <v>#DIV/0!</v>
      </c>
      <c r="BL90" s="75">
        <f t="shared" si="76"/>
        <v>0</v>
      </c>
      <c r="BM90" s="102">
        <f t="shared" si="77"/>
        <v>0</v>
      </c>
      <c r="BN90" s="101">
        <f t="shared" si="37"/>
        <v>0</v>
      </c>
      <c r="BO90" s="101">
        <f t="shared" si="38"/>
        <v>0</v>
      </c>
      <c r="BP90" s="101">
        <f t="shared" si="39"/>
        <v>0</v>
      </c>
      <c r="BQ90" s="103">
        <f t="shared" si="60"/>
        <v>0</v>
      </c>
      <c r="BR90" s="103">
        <f t="shared" si="61"/>
        <v>0</v>
      </c>
      <c r="BS90" s="103">
        <f t="shared" si="62"/>
        <v>0</v>
      </c>
      <c r="BU90" s="78">
        <f t="shared" si="40"/>
        <v>0</v>
      </c>
      <c r="BV90" s="303" t="e">
        <f t="shared" si="63"/>
        <v>#DIV/0!</v>
      </c>
      <c r="BW90" s="75">
        <f t="shared" si="78"/>
        <v>0</v>
      </c>
      <c r="BX90" s="102">
        <f t="shared" si="79"/>
        <v>0</v>
      </c>
      <c r="BY90" s="101">
        <f t="shared" si="43"/>
        <v>0</v>
      </c>
      <c r="BZ90" s="101">
        <f t="shared" si="44"/>
        <v>0</v>
      </c>
      <c r="CA90" s="101">
        <f t="shared" si="45"/>
        <v>0</v>
      </c>
      <c r="CB90" s="103">
        <f t="shared" si="64"/>
        <v>0</v>
      </c>
      <c r="CC90" s="103">
        <f t="shared" si="65"/>
        <v>0</v>
      </c>
      <c r="CD90" s="103">
        <f t="shared" si="66"/>
        <v>0</v>
      </c>
    </row>
    <row r="91" spans="1:82" x14ac:dyDescent="0.2">
      <c r="A91" s="96">
        <f t="shared" si="46"/>
        <v>39114</v>
      </c>
      <c r="B91" s="97">
        <f t="shared" si="47"/>
        <v>3.7275</v>
      </c>
      <c r="C91" s="77">
        <f t="shared" si="48"/>
        <v>0.24249999999999999</v>
      </c>
      <c r="D91" s="97">
        <f t="shared" si="1"/>
        <v>0</v>
      </c>
      <c r="E91" s="100">
        <f t="shared" si="2"/>
        <v>1</v>
      </c>
      <c r="F91" s="99">
        <f t="shared" ca="1" si="3"/>
        <v>1849</v>
      </c>
      <c r="G91" s="77" t="e">
        <f t="shared" si="4"/>
        <v>#DIV/0!</v>
      </c>
      <c r="H91" s="77" t="e">
        <f>IF(B$16=1,_xll.xCalcSkew(A91,I91-AO91,b)/100,0)</f>
        <v>#DIV/0!</v>
      </c>
      <c r="I91" s="98">
        <f t="shared" si="68"/>
        <v>4</v>
      </c>
      <c r="K91" s="97">
        <f t="shared" si="6"/>
        <v>-0.03</v>
      </c>
      <c r="L91" s="100">
        <f t="shared" si="7"/>
        <v>1</v>
      </c>
      <c r="M91" s="99">
        <f t="shared" ca="1" si="8"/>
        <v>1852</v>
      </c>
      <c r="N91" s="175" t="e">
        <f t="shared" si="9"/>
        <v>#DIV/0!</v>
      </c>
      <c r="O91" s="77" t="e">
        <f>IF(D$16=1,_xll.xCalcSkew($A91,P91-AZ91,b)/100,0)</f>
        <v>#DIV/0!</v>
      </c>
      <c r="P91" s="98">
        <f t="shared" si="69"/>
        <v>2.5</v>
      </c>
      <c r="R91" s="97">
        <f t="shared" si="11"/>
        <v>-0.03</v>
      </c>
      <c r="S91" s="100">
        <f t="shared" si="12"/>
        <v>1</v>
      </c>
      <c r="T91" s="99">
        <f t="shared" ca="1" si="13"/>
        <v>1852</v>
      </c>
      <c r="U91" s="175" t="e">
        <f t="shared" si="14"/>
        <v>#DIV/0!</v>
      </c>
      <c r="V91" s="77" t="e">
        <f>IF(F$16=1,_xll.xCalcSkew($A91,W91-BK91,b)/100,0)</f>
        <v>#DIV/0!</v>
      </c>
      <c r="W91" s="98">
        <f t="shared" si="70"/>
        <v>2.5</v>
      </c>
      <c r="X91" s="99"/>
      <c r="Y91" s="97">
        <f t="shared" si="16"/>
        <v>-0.03</v>
      </c>
      <c r="Z91" s="100">
        <f t="shared" si="17"/>
        <v>1</v>
      </c>
      <c r="AA91" s="99">
        <f t="shared" ca="1" si="18"/>
        <v>1852</v>
      </c>
      <c r="AB91" s="77" t="e">
        <f t="shared" si="19"/>
        <v>#DIV/0!</v>
      </c>
      <c r="AC91" s="77" t="e">
        <f>IF(H$16=1,_xll.xCalcSkew($A91,AD91-BV91,b)/100,0)</f>
        <v>#DIV/0!</v>
      </c>
      <c r="AD91" s="98">
        <f t="shared" si="71"/>
        <v>2.4900000000000002</v>
      </c>
      <c r="AF91" s="99">
        <f t="shared" ca="1" si="21"/>
        <v>1852</v>
      </c>
      <c r="AG91" s="99">
        <f t="shared" ca="1" si="22"/>
        <v>1849</v>
      </c>
      <c r="AH91" s="77">
        <f t="shared" si="67"/>
        <v>5.1573371239542101E-2</v>
      </c>
      <c r="AI91" s="154">
        <f t="shared" si="0"/>
        <v>28</v>
      </c>
      <c r="AL91" s="99"/>
      <c r="AM91" s="78"/>
      <c r="AN91" s="78">
        <f t="shared" si="49"/>
        <v>0</v>
      </c>
      <c r="AO91" s="303" t="e">
        <f t="shared" si="50"/>
        <v>#DIV/0!</v>
      </c>
      <c r="AP91" s="75">
        <f t="shared" si="72"/>
        <v>0</v>
      </c>
      <c r="AQ91" s="102">
        <f t="shared" si="73"/>
        <v>0</v>
      </c>
      <c r="AR91" s="101">
        <f t="shared" si="26"/>
        <v>0</v>
      </c>
      <c r="AS91" s="101">
        <f t="shared" si="51"/>
        <v>0</v>
      </c>
      <c r="AT91" s="101">
        <f t="shared" si="27"/>
        <v>0</v>
      </c>
      <c r="AU91" s="103">
        <f t="shared" si="52"/>
        <v>0</v>
      </c>
      <c r="AV91" s="103">
        <f t="shared" si="53"/>
        <v>0</v>
      </c>
      <c r="AW91" s="103">
        <f t="shared" si="54"/>
        <v>0</v>
      </c>
      <c r="AY91" s="78">
        <f t="shared" si="28"/>
        <v>0</v>
      </c>
      <c r="AZ91" s="303" t="e">
        <f t="shared" si="55"/>
        <v>#DIV/0!</v>
      </c>
      <c r="BA91" s="75">
        <f t="shared" si="74"/>
        <v>0</v>
      </c>
      <c r="BB91" s="102">
        <f t="shared" si="75"/>
        <v>0</v>
      </c>
      <c r="BC91" s="101">
        <f t="shared" si="31"/>
        <v>0</v>
      </c>
      <c r="BD91" s="101">
        <f t="shared" si="32"/>
        <v>0</v>
      </c>
      <c r="BE91" s="101">
        <f t="shared" si="33"/>
        <v>0</v>
      </c>
      <c r="BF91" s="103">
        <f t="shared" si="56"/>
        <v>0</v>
      </c>
      <c r="BG91" s="103">
        <f t="shared" si="57"/>
        <v>0</v>
      </c>
      <c r="BH91" s="103">
        <f t="shared" si="58"/>
        <v>0</v>
      </c>
      <c r="BJ91" s="78">
        <f t="shared" si="34"/>
        <v>0</v>
      </c>
      <c r="BK91" s="303" t="e">
        <f t="shared" si="59"/>
        <v>#DIV/0!</v>
      </c>
      <c r="BL91" s="75">
        <f t="shared" si="76"/>
        <v>0</v>
      </c>
      <c r="BM91" s="102">
        <f t="shared" si="77"/>
        <v>0</v>
      </c>
      <c r="BN91" s="101">
        <f t="shared" si="37"/>
        <v>0</v>
      </c>
      <c r="BO91" s="101">
        <f t="shared" si="38"/>
        <v>0</v>
      </c>
      <c r="BP91" s="101">
        <f t="shared" si="39"/>
        <v>0</v>
      </c>
      <c r="BQ91" s="103">
        <f t="shared" si="60"/>
        <v>0</v>
      </c>
      <c r="BR91" s="103">
        <f t="shared" si="61"/>
        <v>0</v>
      </c>
      <c r="BS91" s="103">
        <f t="shared" si="62"/>
        <v>0</v>
      </c>
      <c r="BU91" s="78">
        <f t="shared" si="40"/>
        <v>0</v>
      </c>
      <c r="BV91" s="303" t="e">
        <f t="shared" si="63"/>
        <v>#DIV/0!</v>
      </c>
      <c r="BW91" s="75">
        <f t="shared" si="78"/>
        <v>0</v>
      </c>
      <c r="BX91" s="102">
        <f t="shared" si="79"/>
        <v>0</v>
      </c>
      <c r="BY91" s="101">
        <f t="shared" si="43"/>
        <v>0</v>
      </c>
      <c r="BZ91" s="101">
        <f t="shared" si="44"/>
        <v>0</v>
      </c>
      <c r="CA91" s="101">
        <f t="shared" si="45"/>
        <v>0</v>
      </c>
      <c r="CB91" s="103">
        <f t="shared" si="64"/>
        <v>0</v>
      </c>
      <c r="CC91" s="103">
        <f t="shared" si="65"/>
        <v>0</v>
      </c>
      <c r="CD91" s="103">
        <f t="shared" si="66"/>
        <v>0</v>
      </c>
    </row>
    <row r="92" spans="1:82" x14ac:dyDescent="0.2">
      <c r="A92" s="96">
        <f t="shared" si="46"/>
        <v>39142</v>
      </c>
      <c r="B92" s="97">
        <f t="shared" si="47"/>
        <v>3.5975000000000001</v>
      </c>
      <c r="C92" s="77">
        <f t="shared" si="48"/>
        <v>0.24</v>
      </c>
      <c r="D92" s="97">
        <f t="shared" si="1"/>
        <v>0</v>
      </c>
      <c r="E92" s="100">
        <f t="shared" si="2"/>
        <v>1</v>
      </c>
      <c r="F92" s="99">
        <f t="shared" ca="1" si="3"/>
        <v>1877</v>
      </c>
      <c r="G92" s="77" t="e">
        <f t="shared" si="4"/>
        <v>#DIV/0!</v>
      </c>
      <c r="H92" s="77" t="e">
        <f>IF(B$16=1,_xll.xCalcSkew(A92,I92-AO92,b)/100,0)</f>
        <v>#DIV/0!</v>
      </c>
      <c r="I92" s="98">
        <f t="shared" si="68"/>
        <v>4</v>
      </c>
      <c r="K92" s="97">
        <f t="shared" si="6"/>
        <v>-1.7500000000000002E-2</v>
      </c>
      <c r="L92" s="100">
        <f t="shared" si="7"/>
        <v>1</v>
      </c>
      <c r="M92" s="99">
        <f t="shared" ca="1" si="8"/>
        <v>1880</v>
      </c>
      <c r="N92" s="175" t="e">
        <f t="shared" si="9"/>
        <v>#DIV/0!</v>
      </c>
      <c r="O92" s="77" t="e">
        <f>IF(D$16=1,_xll.xCalcSkew($A92,P92-AZ92,b)/100,0)</f>
        <v>#DIV/0!</v>
      </c>
      <c r="P92" s="98">
        <f t="shared" si="69"/>
        <v>2.5</v>
      </c>
      <c r="R92" s="97">
        <f t="shared" si="11"/>
        <v>-1.7500000000000002E-2</v>
      </c>
      <c r="S92" s="100">
        <f t="shared" si="12"/>
        <v>1</v>
      </c>
      <c r="T92" s="99">
        <f t="shared" ca="1" si="13"/>
        <v>1880</v>
      </c>
      <c r="U92" s="175" t="e">
        <f t="shared" si="14"/>
        <v>#DIV/0!</v>
      </c>
      <c r="V92" s="77" t="e">
        <f>IF(F$16=1,_xll.xCalcSkew($A92,W92-BK92,b)/100,0)</f>
        <v>#DIV/0!</v>
      </c>
      <c r="W92" s="98">
        <f t="shared" si="70"/>
        <v>2.5</v>
      </c>
      <c r="X92" s="99"/>
      <c r="Y92" s="97">
        <f t="shared" si="16"/>
        <v>-1.7500000000000002E-2</v>
      </c>
      <c r="Z92" s="100">
        <f t="shared" si="17"/>
        <v>1</v>
      </c>
      <c r="AA92" s="99">
        <f t="shared" ca="1" si="18"/>
        <v>1880</v>
      </c>
      <c r="AB92" s="77" t="e">
        <f t="shared" si="19"/>
        <v>#DIV/0!</v>
      </c>
      <c r="AC92" s="77" t="e">
        <f>IF(H$16=1,_xll.xCalcSkew($A92,AD92-BV92,b)/100,0)</f>
        <v>#DIV/0!</v>
      </c>
      <c r="AD92" s="98">
        <f t="shared" si="71"/>
        <v>2.4900000000000002</v>
      </c>
      <c r="AF92" s="99">
        <f t="shared" ca="1" si="21"/>
        <v>1880</v>
      </c>
      <c r="AG92" s="99">
        <f t="shared" ca="1" si="22"/>
        <v>1877</v>
      </c>
      <c r="AH92" s="77">
        <f t="shared" si="67"/>
        <v>5.17373190219916E-2</v>
      </c>
      <c r="AI92" s="154">
        <f t="shared" si="0"/>
        <v>31</v>
      </c>
      <c r="AL92" s="99"/>
      <c r="AM92" s="78"/>
      <c r="AN92" s="78">
        <f t="shared" si="49"/>
        <v>0</v>
      </c>
      <c r="AO92" s="303" t="e">
        <f t="shared" si="50"/>
        <v>#DIV/0!</v>
      </c>
      <c r="AP92" s="75">
        <f t="shared" si="72"/>
        <v>0</v>
      </c>
      <c r="AQ92" s="102">
        <f t="shared" si="73"/>
        <v>0</v>
      </c>
      <c r="AR92" s="101">
        <f t="shared" si="26"/>
        <v>0</v>
      </c>
      <c r="AS92" s="101">
        <f t="shared" si="51"/>
        <v>0</v>
      </c>
      <c r="AT92" s="101">
        <f t="shared" si="27"/>
        <v>0</v>
      </c>
      <c r="AU92" s="103">
        <f t="shared" si="52"/>
        <v>0</v>
      </c>
      <c r="AV92" s="103">
        <f t="shared" si="53"/>
        <v>0</v>
      </c>
      <c r="AW92" s="103">
        <f t="shared" si="54"/>
        <v>0</v>
      </c>
      <c r="AY92" s="78">
        <f t="shared" si="28"/>
        <v>0</v>
      </c>
      <c r="AZ92" s="303" t="e">
        <f t="shared" si="55"/>
        <v>#DIV/0!</v>
      </c>
      <c r="BA92" s="75">
        <f t="shared" si="74"/>
        <v>0</v>
      </c>
      <c r="BB92" s="102">
        <f t="shared" si="75"/>
        <v>0</v>
      </c>
      <c r="BC92" s="101">
        <f t="shared" si="31"/>
        <v>0</v>
      </c>
      <c r="BD92" s="101">
        <f t="shared" si="32"/>
        <v>0</v>
      </c>
      <c r="BE92" s="101">
        <f t="shared" si="33"/>
        <v>0</v>
      </c>
      <c r="BF92" s="103">
        <f t="shared" si="56"/>
        <v>0</v>
      </c>
      <c r="BG92" s="103">
        <f t="shared" si="57"/>
        <v>0</v>
      </c>
      <c r="BH92" s="103">
        <f t="shared" si="58"/>
        <v>0</v>
      </c>
      <c r="BJ92" s="78">
        <f t="shared" si="34"/>
        <v>0</v>
      </c>
      <c r="BK92" s="303" t="e">
        <f t="shared" si="59"/>
        <v>#DIV/0!</v>
      </c>
      <c r="BL92" s="75">
        <f t="shared" si="76"/>
        <v>0</v>
      </c>
      <c r="BM92" s="102">
        <f t="shared" si="77"/>
        <v>0</v>
      </c>
      <c r="BN92" s="101">
        <f t="shared" si="37"/>
        <v>0</v>
      </c>
      <c r="BO92" s="101">
        <f t="shared" si="38"/>
        <v>0</v>
      </c>
      <c r="BP92" s="101">
        <f t="shared" si="39"/>
        <v>0</v>
      </c>
      <c r="BQ92" s="103">
        <f t="shared" si="60"/>
        <v>0</v>
      </c>
      <c r="BR92" s="103">
        <f t="shared" si="61"/>
        <v>0</v>
      </c>
      <c r="BS92" s="103">
        <f t="shared" si="62"/>
        <v>0</v>
      </c>
      <c r="BU92" s="78">
        <f t="shared" si="40"/>
        <v>0</v>
      </c>
      <c r="BV92" s="303" t="e">
        <f t="shared" si="63"/>
        <v>#DIV/0!</v>
      </c>
      <c r="BW92" s="75">
        <f t="shared" si="78"/>
        <v>0</v>
      </c>
      <c r="BX92" s="102">
        <f t="shared" si="79"/>
        <v>0</v>
      </c>
      <c r="BY92" s="101">
        <f t="shared" si="43"/>
        <v>0</v>
      </c>
      <c r="BZ92" s="101">
        <f t="shared" si="44"/>
        <v>0</v>
      </c>
      <c r="CA92" s="101">
        <f t="shared" si="45"/>
        <v>0</v>
      </c>
      <c r="CB92" s="103">
        <f t="shared" si="64"/>
        <v>0</v>
      </c>
      <c r="CC92" s="103">
        <f t="shared" si="65"/>
        <v>0</v>
      </c>
      <c r="CD92" s="103">
        <f t="shared" si="66"/>
        <v>0</v>
      </c>
    </row>
    <row r="93" spans="1:82" x14ac:dyDescent="0.2">
      <c r="A93" s="96">
        <f t="shared" si="46"/>
        <v>39173</v>
      </c>
      <c r="B93" s="97">
        <f t="shared" si="47"/>
        <v>3.4125000000000001</v>
      </c>
      <c r="C93" s="77">
        <f t="shared" si="48"/>
        <v>0.24</v>
      </c>
      <c r="D93" s="97">
        <f t="shared" si="1"/>
        <v>0</v>
      </c>
      <c r="E93" s="100">
        <f t="shared" si="2"/>
        <v>1</v>
      </c>
      <c r="F93" s="99">
        <f t="shared" ca="1" si="3"/>
        <v>1909</v>
      </c>
      <c r="G93" s="77" t="e">
        <f t="shared" si="4"/>
        <v>#DIV/0!</v>
      </c>
      <c r="H93" s="77" t="e">
        <f>IF(B$16=1,_xll.xCalcSkew(A93,I93-AO93,b)/100,0)</f>
        <v>#DIV/0!</v>
      </c>
      <c r="I93" s="98">
        <f t="shared" si="68"/>
        <v>4</v>
      </c>
      <c r="K93" s="97">
        <f t="shared" si="6"/>
        <v>0.02</v>
      </c>
      <c r="L93" s="100">
        <f t="shared" si="7"/>
        <v>1</v>
      </c>
      <c r="M93" s="99">
        <f t="shared" ca="1" si="8"/>
        <v>1910</v>
      </c>
      <c r="N93" s="175" t="e">
        <f t="shared" si="9"/>
        <v>#DIV/0!</v>
      </c>
      <c r="O93" s="77" t="e">
        <f>IF(D$16=1,_xll.xCalcSkew($A93,P93-AZ93,b)/100,0)</f>
        <v>#DIV/0!</v>
      </c>
      <c r="P93" s="98">
        <f t="shared" si="69"/>
        <v>2.5</v>
      </c>
      <c r="R93" s="97">
        <f t="shared" si="11"/>
        <v>0.02</v>
      </c>
      <c r="S93" s="100">
        <f t="shared" si="12"/>
        <v>1</v>
      </c>
      <c r="T93" s="99">
        <f t="shared" ca="1" si="13"/>
        <v>1910</v>
      </c>
      <c r="U93" s="175" t="e">
        <f t="shared" si="14"/>
        <v>#DIV/0!</v>
      </c>
      <c r="V93" s="77" t="e">
        <f>IF(F$16=1,_xll.xCalcSkew($A93,W93-BK93,b)/100,0)</f>
        <v>#DIV/0!</v>
      </c>
      <c r="W93" s="98">
        <f t="shared" si="70"/>
        <v>2.5</v>
      </c>
      <c r="X93" s="99"/>
      <c r="Y93" s="97">
        <f t="shared" si="16"/>
        <v>0.02</v>
      </c>
      <c r="Z93" s="100">
        <f t="shared" si="17"/>
        <v>1</v>
      </c>
      <c r="AA93" s="99">
        <f t="shared" ca="1" si="18"/>
        <v>1910</v>
      </c>
      <c r="AB93" s="77" t="e">
        <f t="shared" si="19"/>
        <v>#DIV/0!</v>
      </c>
      <c r="AC93" s="77" t="e">
        <f>IF(H$16=1,_xll.xCalcSkew($A93,AD93-BV93,b)/100,0)</f>
        <v>#DIV/0!</v>
      </c>
      <c r="AD93" s="98">
        <f t="shared" si="71"/>
        <v>2.4900000000000002</v>
      </c>
      <c r="AF93" s="99">
        <f t="shared" ca="1" si="21"/>
        <v>1910</v>
      </c>
      <c r="AG93" s="99">
        <f t="shared" ca="1" si="22"/>
        <v>1909</v>
      </c>
      <c r="AH93" s="77">
        <f t="shared" si="67"/>
        <v>5.1918832648734502E-2</v>
      </c>
      <c r="AI93" s="154">
        <f t="shared" si="0"/>
        <v>30</v>
      </c>
      <c r="AL93" s="99"/>
      <c r="AM93" s="78"/>
      <c r="AN93" s="78">
        <f t="shared" si="49"/>
        <v>0</v>
      </c>
      <c r="AO93" s="303" t="e">
        <f t="shared" si="50"/>
        <v>#DIV/0!</v>
      </c>
      <c r="AP93" s="75">
        <f t="shared" si="72"/>
        <v>0</v>
      </c>
      <c r="AQ93" s="102">
        <f t="shared" si="73"/>
        <v>0</v>
      </c>
      <c r="AR93" s="101">
        <f t="shared" si="26"/>
        <v>0</v>
      </c>
      <c r="AS93" s="101">
        <f t="shared" si="51"/>
        <v>0</v>
      </c>
      <c r="AT93" s="101">
        <f t="shared" si="27"/>
        <v>0</v>
      </c>
      <c r="AU93" s="103">
        <f t="shared" si="52"/>
        <v>0</v>
      </c>
      <c r="AV93" s="103">
        <f t="shared" si="53"/>
        <v>0</v>
      </c>
      <c r="AW93" s="103">
        <f t="shared" si="54"/>
        <v>0</v>
      </c>
      <c r="AY93" s="78">
        <f t="shared" si="28"/>
        <v>0</v>
      </c>
      <c r="AZ93" s="303" t="e">
        <f t="shared" si="55"/>
        <v>#DIV/0!</v>
      </c>
      <c r="BA93" s="75">
        <f t="shared" si="74"/>
        <v>0</v>
      </c>
      <c r="BB93" s="102">
        <f t="shared" si="75"/>
        <v>0</v>
      </c>
      <c r="BC93" s="101">
        <f t="shared" si="31"/>
        <v>0</v>
      </c>
      <c r="BD93" s="101">
        <f t="shared" si="32"/>
        <v>0</v>
      </c>
      <c r="BE93" s="101">
        <f t="shared" si="33"/>
        <v>0</v>
      </c>
      <c r="BF93" s="103">
        <f t="shared" si="56"/>
        <v>0</v>
      </c>
      <c r="BG93" s="103">
        <f t="shared" si="57"/>
        <v>0</v>
      </c>
      <c r="BH93" s="103">
        <f t="shared" si="58"/>
        <v>0</v>
      </c>
      <c r="BJ93" s="78">
        <f t="shared" si="34"/>
        <v>0</v>
      </c>
      <c r="BK93" s="303" t="e">
        <f t="shared" si="59"/>
        <v>#DIV/0!</v>
      </c>
      <c r="BL93" s="75">
        <f t="shared" si="76"/>
        <v>0</v>
      </c>
      <c r="BM93" s="102">
        <f t="shared" si="77"/>
        <v>0</v>
      </c>
      <c r="BN93" s="101">
        <f t="shared" si="37"/>
        <v>0</v>
      </c>
      <c r="BO93" s="101">
        <f t="shared" si="38"/>
        <v>0</v>
      </c>
      <c r="BP93" s="101">
        <f t="shared" si="39"/>
        <v>0</v>
      </c>
      <c r="BQ93" s="103">
        <f t="shared" si="60"/>
        <v>0</v>
      </c>
      <c r="BR93" s="103">
        <f t="shared" si="61"/>
        <v>0</v>
      </c>
      <c r="BS93" s="103">
        <f t="shared" si="62"/>
        <v>0</v>
      </c>
      <c r="BU93" s="78">
        <f t="shared" si="40"/>
        <v>0</v>
      </c>
      <c r="BV93" s="303" t="e">
        <f t="shared" si="63"/>
        <v>#DIV/0!</v>
      </c>
      <c r="BW93" s="75">
        <f t="shared" si="78"/>
        <v>0</v>
      </c>
      <c r="BX93" s="102">
        <f t="shared" si="79"/>
        <v>0</v>
      </c>
      <c r="BY93" s="101">
        <f t="shared" si="43"/>
        <v>0</v>
      </c>
      <c r="BZ93" s="101">
        <f t="shared" si="44"/>
        <v>0</v>
      </c>
      <c r="CA93" s="101">
        <f t="shared" si="45"/>
        <v>0</v>
      </c>
      <c r="CB93" s="103">
        <f t="shared" si="64"/>
        <v>0</v>
      </c>
      <c r="CC93" s="103">
        <f t="shared" si="65"/>
        <v>0</v>
      </c>
      <c r="CD93" s="103">
        <f t="shared" si="66"/>
        <v>0</v>
      </c>
    </row>
    <row r="94" spans="1:82" x14ac:dyDescent="0.2">
      <c r="A94" s="96">
        <f t="shared" si="46"/>
        <v>39203</v>
      </c>
      <c r="B94" s="97">
        <f t="shared" si="47"/>
        <v>3.4075000000000002</v>
      </c>
      <c r="C94" s="77">
        <f t="shared" si="48"/>
        <v>0.24</v>
      </c>
      <c r="D94" s="97">
        <f t="shared" si="1"/>
        <v>0</v>
      </c>
      <c r="E94" s="100">
        <f t="shared" si="2"/>
        <v>1</v>
      </c>
      <c r="F94" s="99">
        <f t="shared" ca="1" si="3"/>
        <v>1938</v>
      </c>
      <c r="G94" s="77" t="e">
        <f t="shared" si="4"/>
        <v>#DIV/0!</v>
      </c>
      <c r="H94" s="77" t="e">
        <f>IF(B$16=1,_xll.xCalcSkew(A94,I94-AO94,b)/100,0)</f>
        <v>#DIV/0!</v>
      </c>
      <c r="I94" s="98">
        <f t="shared" si="68"/>
        <v>4</v>
      </c>
      <c r="K94" s="97">
        <f t="shared" si="6"/>
        <v>0.02</v>
      </c>
      <c r="L94" s="100">
        <f t="shared" si="7"/>
        <v>1</v>
      </c>
      <c r="M94" s="99">
        <f t="shared" ca="1" si="8"/>
        <v>1939</v>
      </c>
      <c r="N94" s="175" t="e">
        <f t="shared" si="9"/>
        <v>#DIV/0!</v>
      </c>
      <c r="O94" s="77" t="e">
        <f>IF(D$16=1,_xll.xCalcSkew($A94,P94-AZ94,b)/100,0)</f>
        <v>#DIV/0!</v>
      </c>
      <c r="P94" s="98">
        <f t="shared" si="69"/>
        <v>2.5</v>
      </c>
      <c r="R94" s="97">
        <f t="shared" si="11"/>
        <v>0.02</v>
      </c>
      <c r="S94" s="100">
        <f t="shared" si="12"/>
        <v>1</v>
      </c>
      <c r="T94" s="99">
        <f t="shared" ca="1" si="13"/>
        <v>1939</v>
      </c>
      <c r="U94" s="175" t="e">
        <f t="shared" si="14"/>
        <v>#DIV/0!</v>
      </c>
      <c r="V94" s="77" t="e">
        <f>IF(F$16=1,_xll.xCalcSkew($A94,W94-BK94,b)/100,0)</f>
        <v>#DIV/0!</v>
      </c>
      <c r="W94" s="98">
        <f t="shared" si="70"/>
        <v>2.5</v>
      </c>
      <c r="X94" s="99"/>
      <c r="Y94" s="97">
        <f t="shared" si="16"/>
        <v>0.02</v>
      </c>
      <c r="Z94" s="100">
        <f t="shared" si="17"/>
        <v>1</v>
      </c>
      <c r="AA94" s="99">
        <f t="shared" ca="1" si="18"/>
        <v>1939</v>
      </c>
      <c r="AB94" s="77" t="e">
        <f t="shared" si="19"/>
        <v>#DIV/0!</v>
      </c>
      <c r="AC94" s="77" t="e">
        <f>IF(H$16=1,_xll.xCalcSkew($A94,AD94-BV94,b)/100,0)</f>
        <v>#DIV/0!</v>
      </c>
      <c r="AD94" s="98">
        <f t="shared" si="71"/>
        <v>2.4900000000000002</v>
      </c>
      <c r="AF94" s="99">
        <f t="shared" ca="1" si="21"/>
        <v>1939</v>
      </c>
      <c r="AG94" s="99">
        <f t="shared" ca="1" si="22"/>
        <v>1938</v>
      </c>
      <c r="AH94" s="77">
        <f t="shared" si="67"/>
        <v>5.2094491007659699E-2</v>
      </c>
      <c r="AI94" s="154">
        <f t="shared" si="0"/>
        <v>31</v>
      </c>
      <c r="AL94" s="99"/>
      <c r="AM94" s="78"/>
      <c r="AN94" s="78">
        <f t="shared" si="49"/>
        <v>0</v>
      </c>
      <c r="AO94" s="303" t="e">
        <f t="shared" si="50"/>
        <v>#DIV/0!</v>
      </c>
      <c r="AP94" s="75">
        <f t="shared" si="72"/>
        <v>0</v>
      </c>
      <c r="AQ94" s="102">
        <f t="shared" si="73"/>
        <v>0</v>
      </c>
      <c r="AR94" s="101">
        <f t="shared" si="26"/>
        <v>0</v>
      </c>
      <c r="AS94" s="101">
        <f t="shared" si="51"/>
        <v>0</v>
      </c>
      <c r="AT94" s="101">
        <f t="shared" si="27"/>
        <v>0</v>
      </c>
      <c r="AU94" s="103">
        <f t="shared" si="52"/>
        <v>0</v>
      </c>
      <c r="AV94" s="103">
        <f t="shared" si="53"/>
        <v>0</v>
      </c>
      <c r="AW94" s="103">
        <f t="shared" si="54"/>
        <v>0</v>
      </c>
      <c r="AY94" s="78">
        <f t="shared" si="28"/>
        <v>0</v>
      </c>
      <c r="AZ94" s="303" t="e">
        <f t="shared" si="55"/>
        <v>#DIV/0!</v>
      </c>
      <c r="BA94" s="75">
        <f t="shared" si="74"/>
        <v>0</v>
      </c>
      <c r="BB94" s="102">
        <f t="shared" si="75"/>
        <v>0</v>
      </c>
      <c r="BC94" s="101">
        <f t="shared" si="31"/>
        <v>0</v>
      </c>
      <c r="BD94" s="101">
        <f t="shared" si="32"/>
        <v>0</v>
      </c>
      <c r="BE94" s="101">
        <f t="shared" si="33"/>
        <v>0</v>
      </c>
      <c r="BF94" s="103">
        <f t="shared" si="56"/>
        <v>0</v>
      </c>
      <c r="BG94" s="103">
        <f t="shared" si="57"/>
        <v>0</v>
      </c>
      <c r="BH94" s="103">
        <f t="shared" si="58"/>
        <v>0</v>
      </c>
      <c r="BJ94" s="78">
        <f t="shared" si="34"/>
        <v>0</v>
      </c>
      <c r="BK94" s="303" t="e">
        <f t="shared" si="59"/>
        <v>#DIV/0!</v>
      </c>
      <c r="BL94" s="75">
        <f t="shared" si="76"/>
        <v>0</v>
      </c>
      <c r="BM94" s="102">
        <f t="shared" si="77"/>
        <v>0</v>
      </c>
      <c r="BN94" s="101">
        <f t="shared" si="37"/>
        <v>0</v>
      </c>
      <c r="BO94" s="101">
        <f t="shared" si="38"/>
        <v>0</v>
      </c>
      <c r="BP94" s="101">
        <f t="shared" si="39"/>
        <v>0</v>
      </c>
      <c r="BQ94" s="103">
        <f t="shared" si="60"/>
        <v>0</v>
      </c>
      <c r="BR94" s="103">
        <f t="shared" si="61"/>
        <v>0</v>
      </c>
      <c r="BS94" s="103">
        <f t="shared" si="62"/>
        <v>0</v>
      </c>
      <c r="BU94" s="78">
        <f t="shared" si="40"/>
        <v>0</v>
      </c>
      <c r="BV94" s="303" t="e">
        <f t="shared" si="63"/>
        <v>#DIV/0!</v>
      </c>
      <c r="BW94" s="75">
        <f t="shared" si="78"/>
        <v>0</v>
      </c>
      <c r="BX94" s="102">
        <f t="shared" si="79"/>
        <v>0</v>
      </c>
      <c r="BY94" s="101">
        <f t="shared" si="43"/>
        <v>0</v>
      </c>
      <c r="BZ94" s="101">
        <f t="shared" si="44"/>
        <v>0</v>
      </c>
      <c r="CA94" s="101">
        <f t="shared" si="45"/>
        <v>0</v>
      </c>
      <c r="CB94" s="103">
        <f t="shared" si="64"/>
        <v>0</v>
      </c>
      <c r="CC94" s="103">
        <f t="shared" si="65"/>
        <v>0</v>
      </c>
      <c r="CD94" s="103">
        <f t="shared" si="66"/>
        <v>0</v>
      </c>
    </row>
    <row r="95" spans="1:82" x14ac:dyDescent="0.2">
      <c r="A95" s="96">
        <f t="shared" si="46"/>
        <v>39234</v>
      </c>
      <c r="B95" s="97">
        <f t="shared" si="47"/>
        <v>3.4424999999999999</v>
      </c>
      <c r="C95" s="77">
        <f t="shared" si="48"/>
        <v>0.24</v>
      </c>
      <c r="D95" s="97">
        <f t="shared" ref="D95:D149" si="80">IF(D$28="nymex",0,VLOOKUP($A95,curvesettle,HLOOKUP(D$28,curvesettle,2,FALSE)))</f>
        <v>0</v>
      </c>
      <c r="E95" s="100">
        <f t="shared" ref="E95:E149" si="81">IF(ISNUMBER(VLOOKUP($A95,VOLCURVES,HLOOKUP(D$28,VOLCURVES,2,FALSE),FALSE)),VLOOKUP($A95,VOLCURVES,HLOOKUP(D$28,VOLCURVES,2,FALSE),FALSE),1)</f>
        <v>1</v>
      </c>
      <c r="F95" s="99">
        <f t="shared" ca="1" si="3"/>
        <v>1968</v>
      </c>
      <c r="G95" s="77" t="e">
        <f t="shared" ref="G95:G107" si="82">(($C95+H95)*$E95)+B$15</f>
        <v>#DIV/0!</v>
      </c>
      <c r="H95" s="77" t="e">
        <f>IF(B$16=1,_xll.xCalcSkew(A95,I95-AO95,b)/100,0)</f>
        <v>#DIV/0!</v>
      </c>
      <c r="I95" s="98">
        <f t="shared" ref="I95:I126" si="83">IF($B$19=4,$AO95,$B$18)</f>
        <v>4</v>
      </c>
      <c r="K95" s="97">
        <f t="shared" ref="K95:K149" si="84">IF(K$28="nymex",0,VLOOKUP($A95,curvesettle,HLOOKUP(K$28,curvesettle,2,FALSE)))</f>
        <v>2.5000000000000001E-2</v>
      </c>
      <c r="L95" s="100">
        <f t="shared" ref="L95:L149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1972</v>
      </c>
      <c r="N95" s="175" t="e">
        <f t="shared" ref="N95:N107" si="87">(($C95+O95)*$L95)+D$15</f>
        <v>#DIV/0!</v>
      </c>
      <c r="O95" s="77" t="e">
        <f>IF(D$16=1,_xll.xCalcSkew($A95,P95-AZ95,b)/100,0)</f>
        <v>#DIV/0!</v>
      </c>
      <c r="P95" s="98">
        <f t="shared" ref="P95:P126" si="88">IF($D$19=4,$AZ95,$D$18)</f>
        <v>2.5</v>
      </c>
      <c r="R95" s="97">
        <f t="shared" ref="R95:R149" si="89">IF(R$28="nymex",0,VLOOKUP($A95,curvesettle,HLOOKUP(R$28,curvesettle,2,FALSE)))</f>
        <v>2.5000000000000001E-2</v>
      </c>
      <c r="S95" s="100">
        <f t="shared" ref="S95:S149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1972</v>
      </c>
      <c r="U95" s="175" t="e">
        <f t="shared" ref="U95:U107" si="92">(($C95+V95)*$S95)+F$15</f>
        <v>#DIV/0!</v>
      </c>
      <c r="V95" s="77" t="e">
        <f>IF(F$16=1,_xll.xCalcSkew($A95,W95-BK95,b)/100,0)</f>
        <v>#DIV/0!</v>
      </c>
      <c r="W95" s="98">
        <f t="shared" ref="W95:W126" si="93">IF($F$19=4,$BK95,$F$18)</f>
        <v>2.5</v>
      </c>
      <c r="X95" s="99"/>
      <c r="Y95" s="97">
        <f t="shared" ref="Y95:Y149" si="94">IF(Y$28="nymex",0,VLOOKUP($A95,curvesettle,HLOOKUP(Y$28,curvesettle,2,FALSE)))</f>
        <v>2.5000000000000001E-2</v>
      </c>
      <c r="Z95" s="100">
        <f t="shared" ref="Z95:Z149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1972</v>
      </c>
      <c r="AB95" s="77" t="e">
        <f t="shared" ref="AB95:AB107" si="97">(($C95+AC95)*$Z95)+H$15</f>
        <v>#DIV/0!</v>
      </c>
      <c r="AC95" s="77" t="e">
        <f>IF(H$16=1,_xll.xCalcSkew($A95,AD95-BV95,b)/100,0)</f>
        <v>#DIV/0!</v>
      </c>
      <c r="AD95" s="98">
        <f t="shared" ref="AD95:AD126" si="98">IF($H$19=4,$BV95,$H$18)</f>
        <v>2.4900000000000002</v>
      </c>
      <c r="AF95" s="99">
        <f t="shared" ca="1" si="21"/>
        <v>1972</v>
      </c>
      <c r="AG95" s="99">
        <f t="shared" ca="1" si="22"/>
        <v>1968</v>
      </c>
      <c r="AH95" s="77">
        <f t="shared" si="67"/>
        <v>5.2276004656028399E-2</v>
      </c>
      <c r="AI95" s="154">
        <f t="shared" ref="AI95:AI148" si="99">A96-A95</f>
        <v>30</v>
      </c>
      <c r="AL95" s="99"/>
      <c r="AM95" s="78"/>
      <c r="AN95" s="78">
        <f t="shared" ref="AN95:AN107" si="100">IF($A95&gt;=AO$25,IF($A95&lt;=AO$26,$AI95,0),0)</f>
        <v>0</v>
      </c>
      <c r="AO95" s="303" t="e">
        <f t="shared" si="50"/>
        <v>#DIV/0!</v>
      </c>
      <c r="AP95" s="75">
        <f t="shared" ref="AP95:AP126" si="101">AN95*($B95+B$13)</f>
        <v>0</v>
      </c>
      <c r="AQ95" s="102">
        <f t="shared" ref="AQ95:AQ126" si="102">IF(ISNUMBER(((AP95/AN95)+B$14+$D95)*AN95),((AP95/AN95)+B$14+$D95)*AN95,0)</f>
        <v>0</v>
      </c>
      <c r="AR95" s="101">
        <f t="shared" ref="AR95:AR107" si="103">IF(AN95=0,0,bsd(1,AS$27,AO95,$I95,$F95,$G95,$AH95,0.1))</f>
        <v>0</v>
      </c>
      <c r="AS95" s="101">
        <f t="shared" si="51"/>
        <v>0</v>
      </c>
      <c r="AT95" s="101">
        <f t="shared" ref="AT95:AT107" si="104">IF(AN95=0,0,bsd(AS$28,AS$27,AO95,$I95,$F95,$G95,$AH95,0.1))</f>
        <v>0</v>
      </c>
      <c r="AU95" s="103">
        <f t="shared" si="52"/>
        <v>0</v>
      </c>
      <c r="AV95" s="103">
        <f t="shared" si="53"/>
        <v>0</v>
      </c>
      <c r="AW95" s="103">
        <f t="shared" si="54"/>
        <v>0</v>
      </c>
      <c r="AY95" s="78">
        <f t="shared" ref="AY95:AY107" si="105">IF($A95&gt;=AZ$25,IF($A95&lt;=AZ$26,$AI95,0),0)</f>
        <v>0</v>
      </c>
      <c r="AZ95" s="303" t="e">
        <f t="shared" si="55"/>
        <v>#DIV/0!</v>
      </c>
      <c r="BA95" s="75">
        <f t="shared" ref="BA95:BA126" si="106">AY95*($B95+D$13)</f>
        <v>0</v>
      </c>
      <c r="BB95" s="102">
        <f t="shared" ref="BB95:BB126" si="107">IF(ISNUMBER(((BA95/AY95)+D$14+$K95)*AY95),((BA95/AY95)+D$14+$K95)*AY95,0)</f>
        <v>0</v>
      </c>
      <c r="BC95" s="101">
        <f t="shared" ref="BC95:BC107" si="108">IF(AY95=0,0,bsd(1,BD$27,AZ95,$P95,$M95,$N95,$AH95,0.1))</f>
        <v>0</v>
      </c>
      <c r="BD95" s="101">
        <f t="shared" ref="BD95:BD107" si="109">IF(AY95=0,0,bsd(2,BD$27,AZ95,$P95,$M95,$N95,$AH95,0.1))</f>
        <v>0</v>
      </c>
      <c r="BE95" s="101">
        <f t="shared" ref="BE95:BE107" si="110">IF(AY95=0,0,bsd(BD$28,BD$27,AZ95,$P95,$M95,$N95,$AH95,0.1))</f>
        <v>0</v>
      </c>
      <c r="BF95" s="103">
        <f t="shared" si="56"/>
        <v>0</v>
      </c>
      <c r="BG95" s="103">
        <f t="shared" si="57"/>
        <v>0</v>
      </c>
      <c r="BH95" s="103">
        <f t="shared" si="58"/>
        <v>0</v>
      </c>
      <c r="BJ95" s="78">
        <f t="shared" ref="BJ95:BJ107" si="111">IF($A95&gt;=BK$25,IF($A95&lt;=BK$26,$AI95,0),0)</f>
        <v>0</v>
      </c>
      <c r="BK95" s="303" t="e">
        <f t="shared" si="59"/>
        <v>#DIV/0!</v>
      </c>
      <c r="BL95" s="75">
        <f t="shared" ref="BL95:BL126" si="112">BJ95*($B95+F$13)</f>
        <v>0</v>
      </c>
      <c r="BM95" s="102">
        <f t="shared" ref="BM95:BM126" si="113">IF(ISNUMBER(((BL95/BJ95)+F$14+$R95)*BJ95),((BL95/BJ95)+F$14+$R95)*BJ95,0)</f>
        <v>0</v>
      </c>
      <c r="BN95" s="101">
        <f t="shared" ref="BN95:BN107" si="114">IF(BJ95=0,0,bsd(1,BO$27,BK95,$W95,$T95,$U95,$AH95,0.1))</f>
        <v>0</v>
      </c>
      <c r="BO95" s="101">
        <f t="shared" ref="BO95:BO107" si="115">IF(BJ95=0,0,bsd(2,BO$27,BK95,$W95,$T95,$U95,$AH95,0.1))</f>
        <v>0</v>
      </c>
      <c r="BP95" s="101">
        <f t="shared" ref="BP95:BP107" si="116">IF(BJ95=0,0,bsd(BO$28,BO$27,BK95,$W95,$T95,$U95,$AH95,0.1))</f>
        <v>0</v>
      </c>
      <c r="BQ95" s="103">
        <f t="shared" si="60"/>
        <v>0</v>
      </c>
      <c r="BR95" s="103">
        <f t="shared" si="61"/>
        <v>0</v>
      </c>
      <c r="BS95" s="103">
        <f t="shared" si="62"/>
        <v>0</v>
      </c>
      <c r="BU95" s="78">
        <f t="shared" ref="BU95:BU107" si="117">IF($A95&gt;=BV$25,IF($A95&lt;=BV$26,$AI95,0),0)</f>
        <v>0</v>
      </c>
      <c r="BV95" s="303" t="e">
        <f t="shared" si="63"/>
        <v>#DIV/0!</v>
      </c>
      <c r="BW95" s="75">
        <f t="shared" ref="BW95:BW126" si="118">BU95*($B95+H$13)</f>
        <v>0</v>
      </c>
      <c r="BX95" s="102">
        <f t="shared" ref="BX95:BX126" si="119">IF(ISNUMBER(((BW95/BU95)+H$14+$Y95)*BU95),((BW95/BU95)+H$14+$Y95)*BU95,0)</f>
        <v>0</v>
      </c>
      <c r="BY95" s="101">
        <f t="shared" ref="BY95:BY107" si="120">IF(BU95=0,0,bsd(1,BZ$27,BV95,$AD95,$AA95,$AB95,$AH95,0.1))</f>
        <v>0</v>
      </c>
      <c r="BZ95" s="101">
        <f t="shared" ref="BZ95:BZ107" si="121">IF(BU95=0,0,bsd(2,BZ$27,BV95,$AD95,$AA95,$AB95,$AH95,0.1))</f>
        <v>0</v>
      </c>
      <c r="CA95" s="101">
        <f t="shared" ref="CA95:CA107" si="122">IF(BU95=0,0,bsd(BZ$28,BZ$27,BV95,$AD95,$AA95,$AB95,$AH95,0.1))</f>
        <v>0</v>
      </c>
      <c r="CB95" s="103">
        <f t="shared" si="64"/>
        <v>0</v>
      </c>
      <c r="CC95" s="103">
        <f t="shared" si="65"/>
        <v>0</v>
      </c>
      <c r="CD95" s="103">
        <f t="shared" si="66"/>
        <v>0</v>
      </c>
    </row>
    <row r="96" spans="1:82" x14ac:dyDescent="0.2">
      <c r="A96" s="96">
        <f t="shared" ref="A96:A107" si="123">DATE(YEAR(A95),MONTH(A95)+1,1)</f>
        <v>39264</v>
      </c>
      <c r="B96" s="97">
        <f t="shared" ref="B96:B149" si="124">VLOOKUP(A96,STRADDLE,5,FALSE)</f>
        <v>3.4824999999999999</v>
      </c>
      <c r="C96" s="77">
        <f t="shared" ref="C96:C107" si="125">VLOOKUP(A96,STRADDLE,8,FALSE)</f>
        <v>0.24</v>
      </c>
      <c r="D96" s="97">
        <f t="shared" si="80"/>
        <v>0</v>
      </c>
      <c r="E96" s="100">
        <f t="shared" si="81"/>
        <v>1</v>
      </c>
      <c r="F96" s="99">
        <f t="shared" ref="F96:F149" ca="1" si="126">IF(D$28="NYMEX",$AG96,$AF96)</f>
        <v>2000</v>
      </c>
      <c r="G96" s="77" t="e">
        <f t="shared" si="82"/>
        <v>#DIV/0!</v>
      </c>
      <c r="H96" s="77" t="e">
        <f>IF(B$16=1,_xll.xCalcSkew(A96,I96-AO96,b)/100,0)</f>
        <v>#DIV/0!</v>
      </c>
      <c r="I96" s="98">
        <f t="shared" si="83"/>
        <v>4</v>
      </c>
      <c r="K96" s="97">
        <f t="shared" si="84"/>
        <v>2.75E-2</v>
      </c>
      <c r="L96" s="100">
        <f t="shared" si="85"/>
        <v>1</v>
      </c>
      <c r="M96" s="99">
        <f t="shared" ca="1" si="86"/>
        <v>2001</v>
      </c>
      <c r="N96" s="175" t="e">
        <f t="shared" si="87"/>
        <v>#DIV/0!</v>
      </c>
      <c r="O96" s="77" t="e">
        <f>IF(D$16=1,_xll.xCalcSkew($A96,P96-AZ96,b)/100,0)</f>
        <v>#DIV/0!</v>
      </c>
      <c r="P96" s="98">
        <f t="shared" si="88"/>
        <v>2.5</v>
      </c>
      <c r="R96" s="97">
        <f t="shared" si="89"/>
        <v>2.75E-2</v>
      </c>
      <c r="S96" s="100">
        <f t="shared" si="90"/>
        <v>1</v>
      </c>
      <c r="T96" s="99">
        <f t="shared" ca="1" si="91"/>
        <v>2001</v>
      </c>
      <c r="U96" s="175" t="e">
        <f t="shared" si="92"/>
        <v>#DIV/0!</v>
      </c>
      <c r="V96" s="77" t="e">
        <f>IF(F$16=1,_xll.xCalcSkew($A96,W96-BK96,b)/100,0)</f>
        <v>#DIV/0!</v>
      </c>
      <c r="W96" s="98">
        <f t="shared" si="93"/>
        <v>2.5</v>
      </c>
      <c r="X96" s="99"/>
      <c r="Y96" s="97">
        <f t="shared" si="94"/>
        <v>2.75E-2</v>
      </c>
      <c r="Z96" s="100">
        <f t="shared" si="95"/>
        <v>1</v>
      </c>
      <c r="AA96" s="99">
        <f t="shared" ca="1" si="96"/>
        <v>2001</v>
      </c>
      <c r="AB96" s="77" t="e">
        <f t="shared" si="97"/>
        <v>#DIV/0!</v>
      </c>
      <c r="AC96" s="77" t="e">
        <f>IF(H$16=1,_xll.xCalcSkew($A96,AD96-BV96,b)/100,0)</f>
        <v>#DIV/0!</v>
      </c>
      <c r="AD96" s="98">
        <f t="shared" si="98"/>
        <v>2.4900000000000002</v>
      </c>
      <c r="AF96" s="99">
        <f t="shared" ref="AF96:AF149" ca="1" si="127">VLOOKUP($A96,expiration,2,FALSE)-$B$2</f>
        <v>2001</v>
      </c>
      <c r="AG96" s="99">
        <f t="shared" ref="AG96:AG149" ca="1" si="128">VLOOKUP($A96,expiration,3,FALSE)-$B$2</f>
        <v>2000</v>
      </c>
      <c r="AH96" s="77">
        <f t="shared" ref="AH96:AH149" si="129">VLOOKUP($A96,STRADDLE,14,FALSE)</f>
        <v>5.2451663035879101E-2</v>
      </c>
      <c r="AI96" s="154">
        <f t="shared" si="99"/>
        <v>31</v>
      </c>
      <c r="AL96" s="99"/>
      <c r="AM96" s="78"/>
      <c r="AN96" s="78">
        <f t="shared" si="100"/>
        <v>0</v>
      </c>
      <c r="AO96" s="303" t="e">
        <f t="shared" ref="AO96:AO107" si="130">AQ96/AN96</f>
        <v>#DIV/0!</v>
      </c>
      <c r="AP96" s="75">
        <f t="shared" si="101"/>
        <v>0</v>
      </c>
      <c r="AQ96" s="102">
        <f t="shared" si="102"/>
        <v>0</v>
      </c>
      <c r="AR96" s="101">
        <f t="shared" si="103"/>
        <v>0</v>
      </c>
      <c r="AS96" s="101">
        <f t="shared" ref="AS96:AS107" si="131">IF(AN96=0,0,bsd(2,AS$27,AO96,$I96,$F96,$G96,$AH96,0.1))</f>
        <v>0</v>
      </c>
      <c r="AT96" s="101">
        <f t="shared" si="104"/>
        <v>0</v>
      </c>
      <c r="AU96" s="103">
        <f t="shared" ref="AU96:AU107" si="132">AN96*AR96</f>
        <v>0</v>
      </c>
      <c r="AV96" s="103">
        <f t="shared" ref="AV96:AV107" si="133">AN96*AS96</f>
        <v>0</v>
      </c>
      <c r="AW96" s="103">
        <f t="shared" ref="AW96:AW107" si="134">AN96*AT96</f>
        <v>0</v>
      </c>
      <c r="AY96" s="78">
        <f t="shared" si="105"/>
        <v>0</v>
      </c>
      <c r="AZ96" s="303" t="e">
        <f t="shared" ref="AZ96:AZ107" si="135">BB96/AY96</f>
        <v>#DIV/0!</v>
      </c>
      <c r="BA96" s="75">
        <f t="shared" si="106"/>
        <v>0</v>
      </c>
      <c r="BB96" s="102">
        <f t="shared" si="107"/>
        <v>0</v>
      </c>
      <c r="BC96" s="101">
        <f t="shared" si="108"/>
        <v>0</v>
      </c>
      <c r="BD96" s="101">
        <f t="shared" si="109"/>
        <v>0</v>
      </c>
      <c r="BE96" s="101">
        <f t="shared" si="110"/>
        <v>0</v>
      </c>
      <c r="BF96" s="103">
        <f t="shared" ref="BF96:BF107" si="136">AY96*BC96</f>
        <v>0</v>
      </c>
      <c r="BG96" s="103">
        <f t="shared" ref="BG96:BG107" si="137">AY96*BD96</f>
        <v>0</v>
      </c>
      <c r="BH96" s="103">
        <f t="shared" ref="BH96:BH107" si="138">AY96*BE96</f>
        <v>0</v>
      </c>
      <c r="BJ96" s="78">
        <f t="shared" si="111"/>
        <v>0</v>
      </c>
      <c r="BK96" s="303" t="e">
        <f t="shared" ref="BK96:BK107" si="139">BM96/BJ96</f>
        <v>#DIV/0!</v>
      </c>
      <c r="BL96" s="75">
        <f t="shared" si="112"/>
        <v>0</v>
      </c>
      <c r="BM96" s="102">
        <f t="shared" si="113"/>
        <v>0</v>
      </c>
      <c r="BN96" s="101">
        <f t="shared" si="114"/>
        <v>0</v>
      </c>
      <c r="BO96" s="101">
        <f t="shared" si="115"/>
        <v>0</v>
      </c>
      <c r="BP96" s="101">
        <f t="shared" si="116"/>
        <v>0</v>
      </c>
      <c r="BQ96" s="103">
        <f t="shared" ref="BQ96:BQ107" si="140">BJ96*BN96</f>
        <v>0</v>
      </c>
      <c r="BR96" s="103">
        <f t="shared" ref="BR96:BR107" si="141">BJ96*BO96</f>
        <v>0</v>
      </c>
      <c r="BS96" s="103">
        <f t="shared" ref="BS96:BS107" si="142">BJ96*BP96</f>
        <v>0</v>
      </c>
      <c r="BU96" s="78">
        <f t="shared" si="117"/>
        <v>0</v>
      </c>
      <c r="BV96" s="303" t="e">
        <f t="shared" ref="BV96:BV107" si="143">BX96/BU96</f>
        <v>#DIV/0!</v>
      </c>
      <c r="BW96" s="75">
        <f t="shared" si="118"/>
        <v>0</v>
      </c>
      <c r="BX96" s="102">
        <f t="shared" si="119"/>
        <v>0</v>
      </c>
      <c r="BY96" s="101">
        <f t="shared" si="120"/>
        <v>0</v>
      </c>
      <c r="BZ96" s="101">
        <f t="shared" si="121"/>
        <v>0</v>
      </c>
      <c r="CA96" s="101">
        <f t="shared" si="122"/>
        <v>0</v>
      </c>
      <c r="CB96" s="103">
        <f t="shared" ref="CB96:CB107" si="144">BU96*BY96</f>
        <v>0</v>
      </c>
      <c r="CC96" s="103">
        <f t="shared" ref="CC96:CC107" si="145">BU96*BZ96</f>
        <v>0</v>
      </c>
      <c r="CD96" s="103">
        <f t="shared" ref="CD96:CD107" si="146">BU96*CA96</f>
        <v>0</v>
      </c>
    </row>
    <row r="97" spans="1:82" x14ac:dyDescent="0.2">
      <c r="A97" s="96">
        <f t="shared" si="123"/>
        <v>39295</v>
      </c>
      <c r="B97" s="97">
        <f t="shared" si="124"/>
        <v>3.5225</v>
      </c>
      <c r="C97" s="77">
        <f t="shared" si="125"/>
        <v>0.24</v>
      </c>
      <c r="D97" s="97">
        <f t="shared" si="80"/>
        <v>0</v>
      </c>
      <c r="E97" s="100">
        <f t="shared" si="81"/>
        <v>1</v>
      </c>
      <c r="F97" s="99">
        <f t="shared" ca="1" si="126"/>
        <v>2030</v>
      </c>
      <c r="G97" s="77" t="e">
        <f t="shared" si="82"/>
        <v>#DIV/0!</v>
      </c>
      <c r="H97" s="77" t="e">
        <f>IF(B$16=1,_xll.xCalcSkew(A97,I97-AO97,b)/100,0)</f>
        <v>#DIV/0!</v>
      </c>
      <c r="I97" s="98">
        <f t="shared" si="83"/>
        <v>4</v>
      </c>
      <c r="K97" s="97">
        <f t="shared" si="84"/>
        <v>0.03</v>
      </c>
      <c r="L97" s="100">
        <f t="shared" si="85"/>
        <v>1</v>
      </c>
      <c r="M97" s="99">
        <f t="shared" ca="1" si="86"/>
        <v>2031</v>
      </c>
      <c r="N97" s="175" t="e">
        <f t="shared" si="87"/>
        <v>#DIV/0!</v>
      </c>
      <c r="O97" s="77" t="e">
        <f>IF(D$16=1,_xll.xCalcSkew($A97,P97-AZ97,b)/100,0)</f>
        <v>#DIV/0!</v>
      </c>
      <c r="P97" s="98">
        <f t="shared" si="88"/>
        <v>2.5</v>
      </c>
      <c r="R97" s="97">
        <f t="shared" si="89"/>
        <v>0.03</v>
      </c>
      <c r="S97" s="100">
        <f t="shared" si="90"/>
        <v>1</v>
      </c>
      <c r="T97" s="99">
        <f t="shared" ca="1" si="91"/>
        <v>2031</v>
      </c>
      <c r="U97" s="175" t="e">
        <f t="shared" si="92"/>
        <v>#DIV/0!</v>
      </c>
      <c r="V97" s="77" t="e">
        <f>IF(F$16=1,_xll.xCalcSkew($A97,W97-BK97,b)/100,0)</f>
        <v>#DIV/0!</v>
      </c>
      <c r="W97" s="98">
        <f t="shared" si="93"/>
        <v>2.5</v>
      </c>
      <c r="X97" s="99"/>
      <c r="Y97" s="97">
        <f t="shared" si="94"/>
        <v>0.03</v>
      </c>
      <c r="Z97" s="100">
        <f t="shared" si="95"/>
        <v>1</v>
      </c>
      <c r="AA97" s="99">
        <f t="shared" ca="1" si="96"/>
        <v>2031</v>
      </c>
      <c r="AB97" s="77" t="e">
        <f t="shared" si="97"/>
        <v>#DIV/0!</v>
      </c>
      <c r="AC97" s="77" t="e">
        <f>IF(H$16=1,_xll.xCalcSkew($A97,AD97-BV97,b)/100,0)</f>
        <v>#DIV/0!</v>
      </c>
      <c r="AD97" s="98">
        <f t="shared" si="98"/>
        <v>2.4900000000000002</v>
      </c>
      <c r="AF97" s="99">
        <f t="shared" ca="1" si="127"/>
        <v>2031</v>
      </c>
      <c r="AG97" s="99">
        <f t="shared" ca="1" si="128"/>
        <v>2030</v>
      </c>
      <c r="AH97" s="77">
        <f t="shared" si="129"/>
        <v>5.2633176705868798E-2</v>
      </c>
      <c r="AI97" s="154">
        <f t="shared" si="99"/>
        <v>31</v>
      </c>
      <c r="AL97" s="99"/>
      <c r="AM97" s="78"/>
      <c r="AN97" s="78">
        <f t="shared" si="100"/>
        <v>0</v>
      </c>
      <c r="AO97" s="303" t="e">
        <f t="shared" si="130"/>
        <v>#DIV/0!</v>
      </c>
      <c r="AP97" s="75">
        <f t="shared" si="101"/>
        <v>0</v>
      </c>
      <c r="AQ97" s="102">
        <f t="shared" si="102"/>
        <v>0</v>
      </c>
      <c r="AR97" s="101">
        <f t="shared" si="103"/>
        <v>0</v>
      </c>
      <c r="AS97" s="101">
        <f t="shared" si="131"/>
        <v>0</v>
      </c>
      <c r="AT97" s="101">
        <f t="shared" si="104"/>
        <v>0</v>
      </c>
      <c r="AU97" s="103">
        <f t="shared" si="132"/>
        <v>0</v>
      </c>
      <c r="AV97" s="103">
        <f t="shared" si="133"/>
        <v>0</v>
      </c>
      <c r="AW97" s="103">
        <f t="shared" si="134"/>
        <v>0</v>
      </c>
      <c r="AY97" s="78">
        <f t="shared" si="105"/>
        <v>0</v>
      </c>
      <c r="AZ97" s="303" t="e">
        <f t="shared" si="135"/>
        <v>#DIV/0!</v>
      </c>
      <c r="BA97" s="75">
        <f t="shared" si="106"/>
        <v>0</v>
      </c>
      <c r="BB97" s="102">
        <f t="shared" si="107"/>
        <v>0</v>
      </c>
      <c r="BC97" s="101">
        <f t="shared" si="108"/>
        <v>0</v>
      </c>
      <c r="BD97" s="101">
        <f t="shared" si="109"/>
        <v>0</v>
      </c>
      <c r="BE97" s="101">
        <f t="shared" si="110"/>
        <v>0</v>
      </c>
      <c r="BF97" s="103">
        <f t="shared" si="136"/>
        <v>0</v>
      </c>
      <c r="BG97" s="103">
        <f t="shared" si="137"/>
        <v>0</v>
      </c>
      <c r="BH97" s="103">
        <f t="shared" si="138"/>
        <v>0</v>
      </c>
      <c r="BJ97" s="78">
        <f t="shared" si="111"/>
        <v>0</v>
      </c>
      <c r="BK97" s="303" t="e">
        <f t="shared" si="139"/>
        <v>#DIV/0!</v>
      </c>
      <c r="BL97" s="75">
        <f t="shared" si="112"/>
        <v>0</v>
      </c>
      <c r="BM97" s="102">
        <f t="shared" si="113"/>
        <v>0</v>
      </c>
      <c r="BN97" s="101">
        <f t="shared" si="114"/>
        <v>0</v>
      </c>
      <c r="BO97" s="101">
        <f t="shared" si="115"/>
        <v>0</v>
      </c>
      <c r="BP97" s="101">
        <f t="shared" si="116"/>
        <v>0</v>
      </c>
      <c r="BQ97" s="103">
        <f t="shared" si="140"/>
        <v>0</v>
      </c>
      <c r="BR97" s="103">
        <f t="shared" si="141"/>
        <v>0</v>
      </c>
      <c r="BS97" s="103">
        <f t="shared" si="142"/>
        <v>0</v>
      </c>
      <c r="BU97" s="78">
        <f t="shared" si="117"/>
        <v>0</v>
      </c>
      <c r="BV97" s="303" t="e">
        <f t="shared" si="143"/>
        <v>#DIV/0!</v>
      </c>
      <c r="BW97" s="75">
        <f t="shared" si="118"/>
        <v>0</v>
      </c>
      <c r="BX97" s="102">
        <f t="shared" si="119"/>
        <v>0</v>
      </c>
      <c r="BY97" s="101">
        <f t="shared" si="120"/>
        <v>0</v>
      </c>
      <c r="BZ97" s="101">
        <f t="shared" si="121"/>
        <v>0</v>
      </c>
      <c r="CA97" s="101">
        <f t="shared" si="122"/>
        <v>0</v>
      </c>
      <c r="CB97" s="103">
        <f t="shared" si="144"/>
        <v>0</v>
      </c>
      <c r="CC97" s="103">
        <f t="shared" si="145"/>
        <v>0</v>
      </c>
      <c r="CD97" s="103">
        <f t="shared" si="146"/>
        <v>0</v>
      </c>
    </row>
    <row r="98" spans="1:82" x14ac:dyDescent="0.2">
      <c r="A98" s="96">
        <f t="shared" si="123"/>
        <v>39326</v>
      </c>
      <c r="B98" s="97">
        <f t="shared" si="124"/>
        <v>3.5175000000000001</v>
      </c>
      <c r="C98" s="77">
        <f t="shared" si="125"/>
        <v>0.24</v>
      </c>
      <c r="D98" s="97">
        <f t="shared" si="80"/>
        <v>0</v>
      </c>
      <c r="E98" s="100">
        <f t="shared" si="81"/>
        <v>1</v>
      </c>
      <c r="F98" s="99">
        <f t="shared" ca="1" si="126"/>
        <v>2063</v>
      </c>
      <c r="G98" s="77" t="e">
        <f t="shared" si="82"/>
        <v>#DIV/0!</v>
      </c>
      <c r="H98" s="77" t="e">
        <f>IF(B$16=1,_xll.xCalcSkew(A98,I98-AO98,b)/100,0)</f>
        <v>#DIV/0!</v>
      </c>
      <c r="I98" s="98">
        <f t="shared" si="83"/>
        <v>4</v>
      </c>
      <c r="K98" s="97">
        <f t="shared" si="84"/>
        <v>2.2499999999999999E-2</v>
      </c>
      <c r="L98" s="100">
        <f t="shared" si="85"/>
        <v>1</v>
      </c>
      <c r="M98" s="99">
        <f t="shared" ca="1" si="86"/>
        <v>2064</v>
      </c>
      <c r="N98" s="175" t="e">
        <f t="shared" si="87"/>
        <v>#DIV/0!</v>
      </c>
      <c r="O98" s="77" t="e">
        <f>IF(D$16=1,_xll.xCalcSkew($A98,P98-AZ98,b)/100,0)</f>
        <v>#DIV/0!</v>
      </c>
      <c r="P98" s="98">
        <f t="shared" si="88"/>
        <v>2.5</v>
      </c>
      <c r="R98" s="97">
        <f t="shared" si="89"/>
        <v>2.2499999999999999E-2</v>
      </c>
      <c r="S98" s="100">
        <f t="shared" si="90"/>
        <v>1</v>
      </c>
      <c r="T98" s="99">
        <f t="shared" ca="1" si="91"/>
        <v>2064</v>
      </c>
      <c r="U98" s="175" t="e">
        <f t="shared" si="92"/>
        <v>#DIV/0!</v>
      </c>
      <c r="V98" s="77" t="e">
        <f>IF(F$16=1,_xll.xCalcSkew($A98,W98-BK98,b)/100,0)</f>
        <v>#DIV/0!</v>
      </c>
      <c r="W98" s="98">
        <f t="shared" si="93"/>
        <v>2.5</v>
      </c>
      <c r="X98" s="99"/>
      <c r="Y98" s="97">
        <f t="shared" si="94"/>
        <v>2.2499999999999999E-2</v>
      </c>
      <c r="Z98" s="100">
        <f t="shared" si="95"/>
        <v>1</v>
      </c>
      <c r="AA98" s="99">
        <f t="shared" ca="1" si="96"/>
        <v>2064</v>
      </c>
      <c r="AB98" s="77" t="e">
        <f t="shared" si="97"/>
        <v>#DIV/0!</v>
      </c>
      <c r="AC98" s="77" t="e">
        <f>IF(H$16=1,_xll.xCalcSkew($A98,AD98-BV98,b)/100,0)</f>
        <v>#DIV/0!</v>
      </c>
      <c r="AD98" s="98">
        <f t="shared" si="98"/>
        <v>2.4900000000000002</v>
      </c>
      <c r="AF98" s="99">
        <f t="shared" ca="1" si="127"/>
        <v>2064</v>
      </c>
      <c r="AG98" s="99">
        <f t="shared" ca="1" si="128"/>
        <v>2063</v>
      </c>
      <c r="AH98" s="77">
        <f t="shared" si="129"/>
        <v>5.28146903868447E-2</v>
      </c>
      <c r="AI98" s="154">
        <f t="shared" si="99"/>
        <v>30</v>
      </c>
      <c r="AL98" s="99"/>
      <c r="AM98" s="78"/>
      <c r="AN98" s="78">
        <f t="shared" si="100"/>
        <v>0</v>
      </c>
      <c r="AO98" s="303" t="e">
        <f t="shared" si="130"/>
        <v>#DIV/0!</v>
      </c>
      <c r="AP98" s="75">
        <f t="shared" si="101"/>
        <v>0</v>
      </c>
      <c r="AQ98" s="102">
        <f t="shared" si="102"/>
        <v>0</v>
      </c>
      <c r="AR98" s="101">
        <f t="shared" si="103"/>
        <v>0</v>
      </c>
      <c r="AS98" s="101">
        <f t="shared" si="131"/>
        <v>0</v>
      </c>
      <c r="AT98" s="101">
        <f t="shared" si="104"/>
        <v>0</v>
      </c>
      <c r="AU98" s="103">
        <f t="shared" si="132"/>
        <v>0</v>
      </c>
      <c r="AV98" s="103">
        <f t="shared" si="133"/>
        <v>0</v>
      </c>
      <c r="AW98" s="103">
        <f t="shared" si="134"/>
        <v>0</v>
      </c>
      <c r="AY98" s="78">
        <f t="shared" si="105"/>
        <v>0</v>
      </c>
      <c r="AZ98" s="303" t="e">
        <f t="shared" si="135"/>
        <v>#DIV/0!</v>
      </c>
      <c r="BA98" s="75">
        <f t="shared" si="106"/>
        <v>0</v>
      </c>
      <c r="BB98" s="102">
        <f t="shared" si="107"/>
        <v>0</v>
      </c>
      <c r="BC98" s="101">
        <f t="shared" si="108"/>
        <v>0</v>
      </c>
      <c r="BD98" s="101">
        <f t="shared" si="109"/>
        <v>0</v>
      </c>
      <c r="BE98" s="101">
        <f t="shared" si="110"/>
        <v>0</v>
      </c>
      <c r="BF98" s="103">
        <f t="shared" si="136"/>
        <v>0</v>
      </c>
      <c r="BG98" s="103">
        <f t="shared" si="137"/>
        <v>0</v>
      </c>
      <c r="BH98" s="103">
        <f t="shared" si="138"/>
        <v>0</v>
      </c>
      <c r="BJ98" s="78">
        <f t="shared" si="111"/>
        <v>0</v>
      </c>
      <c r="BK98" s="303" t="e">
        <f t="shared" si="139"/>
        <v>#DIV/0!</v>
      </c>
      <c r="BL98" s="75">
        <f t="shared" si="112"/>
        <v>0</v>
      </c>
      <c r="BM98" s="102">
        <f t="shared" si="113"/>
        <v>0</v>
      </c>
      <c r="BN98" s="101">
        <f t="shared" si="114"/>
        <v>0</v>
      </c>
      <c r="BO98" s="101">
        <f t="shared" si="115"/>
        <v>0</v>
      </c>
      <c r="BP98" s="101">
        <f t="shared" si="116"/>
        <v>0</v>
      </c>
      <c r="BQ98" s="103">
        <f t="shared" si="140"/>
        <v>0</v>
      </c>
      <c r="BR98" s="103">
        <f t="shared" si="141"/>
        <v>0</v>
      </c>
      <c r="BS98" s="103">
        <f t="shared" si="142"/>
        <v>0</v>
      </c>
      <c r="BU98" s="78">
        <f t="shared" si="117"/>
        <v>0</v>
      </c>
      <c r="BV98" s="303" t="e">
        <f t="shared" si="143"/>
        <v>#DIV/0!</v>
      </c>
      <c r="BW98" s="75">
        <f t="shared" si="118"/>
        <v>0</v>
      </c>
      <c r="BX98" s="102">
        <f t="shared" si="119"/>
        <v>0</v>
      </c>
      <c r="BY98" s="101">
        <f t="shared" si="120"/>
        <v>0</v>
      </c>
      <c r="BZ98" s="101">
        <f t="shared" si="121"/>
        <v>0</v>
      </c>
      <c r="CA98" s="101">
        <f t="shared" si="122"/>
        <v>0</v>
      </c>
      <c r="CB98" s="103">
        <f t="shared" si="144"/>
        <v>0</v>
      </c>
      <c r="CC98" s="103">
        <f t="shared" si="145"/>
        <v>0</v>
      </c>
      <c r="CD98" s="103">
        <f t="shared" si="146"/>
        <v>0</v>
      </c>
    </row>
    <row r="99" spans="1:82" x14ac:dyDescent="0.2">
      <c r="A99" s="96">
        <f t="shared" si="123"/>
        <v>39356</v>
      </c>
      <c r="B99" s="97">
        <f t="shared" si="124"/>
        <v>3.5425</v>
      </c>
      <c r="C99" s="77">
        <f t="shared" si="125"/>
        <v>0.24</v>
      </c>
      <c r="D99" s="97">
        <f t="shared" si="80"/>
        <v>0</v>
      </c>
      <c r="E99" s="100">
        <f t="shared" si="81"/>
        <v>1</v>
      </c>
      <c r="F99" s="99">
        <f t="shared" ca="1" si="126"/>
        <v>2091</v>
      </c>
      <c r="G99" s="77" t="e">
        <f t="shared" si="82"/>
        <v>#DIV/0!</v>
      </c>
      <c r="H99" s="77" t="e">
        <f>IF(B$16=1,_xll.xCalcSkew(A99,I99-AO99,b)/100,0)</f>
        <v>#DIV/0!</v>
      </c>
      <c r="I99" s="98">
        <f t="shared" si="83"/>
        <v>4</v>
      </c>
      <c r="K99" s="97">
        <f t="shared" si="84"/>
        <v>1.2500000000000001E-2</v>
      </c>
      <c r="L99" s="100">
        <f t="shared" si="85"/>
        <v>1</v>
      </c>
      <c r="M99" s="99">
        <f t="shared" ca="1" si="86"/>
        <v>2092</v>
      </c>
      <c r="N99" s="175" t="e">
        <f t="shared" si="87"/>
        <v>#DIV/0!</v>
      </c>
      <c r="O99" s="77" t="e">
        <f>IF(D$16=1,_xll.xCalcSkew($A99,P99-AZ99,b)/100,0)</f>
        <v>#DIV/0!</v>
      </c>
      <c r="P99" s="98">
        <f t="shared" si="88"/>
        <v>2.5</v>
      </c>
      <c r="R99" s="97">
        <f t="shared" si="89"/>
        <v>1.2500000000000001E-2</v>
      </c>
      <c r="S99" s="100">
        <f t="shared" si="90"/>
        <v>1</v>
      </c>
      <c r="T99" s="99">
        <f t="shared" ca="1" si="91"/>
        <v>2092</v>
      </c>
      <c r="U99" s="175" t="e">
        <f t="shared" si="92"/>
        <v>#DIV/0!</v>
      </c>
      <c r="V99" s="77" t="e">
        <f>IF(F$16=1,_xll.xCalcSkew($A99,W99-BK99,b)/100,0)</f>
        <v>#DIV/0!</v>
      </c>
      <c r="W99" s="98">
        <f t="shared" si="93"/>
        <v>2.5</v>
      </c>
      <c r="X99" s="99"/>
      <c r="Y99" s="97">
        <f t="shared" si="94"/>
        <v>1.2500000000000001E-2</v>
      </c>
      <c r="Z99" s="100">
        <f t="shared" si="95"/>
        <v>1</v>
      </c>
      <c r="AA99" s="99">
        <f t="shared" ca="1" si="96"/>
        <v>2092</v>
      </c>
      <c r="AB99" s="77" t="e">
        <f t="shared" si="97"/>
        <v>#DIV/0!</v>
      </c>
      <c r="AC99" s="77" t="e">
        <f>IF(H$16=1,_xll.xCalcSkew($A99,AD99-BV99,b)/100,0)</f>
        <v>#DIV/0!</v>
      </c>
      <c r="AD99" s="98">
        <f t="shared" si="98"/>
        <v>2.4900000000000002</v>
      </c>
      <c r="AF99" s="99">
        <f t="shared" ca="1" si="127"/>
        <v>2092</v>
      </c>
      <c r="AG99" s="99">
        <f t="shared" ca="1" si="128"/>
        <v>2091</v>
      </c>
      <c r="AH99" s="77">
        <f t="shared" si="129"/>
        <v>5.29903487982488E-2</v>
      </c>
      <c r="AI99" s="154">
        <f t="shared" si="99"/>
        <v>31</v>
      </c>
      <c r="AL99" s="99"/>
      <c r="AM99" s="78"/>
      <c r="AN99" s="78">
        <f t="shared" si="100"/>
        <v>0</v>
      </c>
      <c r="AO99" s="303" t="e">
        <f t="shared" si="130"/>
        <v>#DIV/0!</v>
      </c>
      <c r="AP99" s="75">
        <f t="shared" si="101"/>
        <v>0</v>
      </c>
      <c r="AQ99" s="102">
        <f t="shared" si="102"/>
        <v>0</v>
      </c>
      <c r="AR99" s="101">
        <f t="shared" si="103"/>
        <v>0</v>
      </c>
      <c r="AS99" s="101">
        <f t="shared" si="131"/>
        <v>0</v>
      </c>
      <c r="AT99" s="101">
        <f t="shared" si="104"/>
        <v>0</v>
      </c>
      <c r="AU99" s="103">
        <f t="shared" si="132"/>
        <v>0</v>
      </c>
      <c r="AV99" s="103">
        <f t="shared" si="133"/>
        <v>0</v>
      </c>
      <c r="AW99" s="103">
        <f t="shared" si="134"/>
        <v>0</v>
      </c>
      <c r="AY99" s="78">
        <f t="shared" si="105"/>
        <v>0</v>
      </c>
      <c r="AZ99" s="303" t="e">
        <f t="shared" si="135"/>
        <v>#DIV/0!</v>
      </c>
      <c r="BA99" s="75">
        <f t="shared" si="106"/>
        <v>0</v>
      </c>
      <c r="BB99" s="102">
        <f t="shared" si="107"/>
        <v>0</v>
      </c>
      <c r="BC99" s="101">
        <f t="shared" si="108"/>
        <v>0</v>
      </c>
      <c r="BD99" s="101">
        <f t="shared" si="109"/>
        <v>0</v>
      </c>
      <c r="BE99" s="101">
        <f t="shared" si="110"/>
        <v>0</v>
      </c>
      <c r="BF99" s="103">
        <f t="shared" si="136"/>
        <v>0</v>
      </c>
      <c r="BG99" s="103">
        <f t="shared" si="137"/>
        <v>0</v>
      </c>
      <c r="BH99" s="103">
        <f t="shared" si="138"/>
        <v>0</v>
      </c>
      <c r="BJ99" s="78">
        <f t="shared" si="111"/>
        <v>0</v>
      </c>
      <c r="BK99" s="303" t="e">
        <f t="shared" si="139"/>
        <v>#DIV/0!</v>
      </c>
      <c r="BL99" s="75">
        <f t="shared" si="112"/>
        <v>0</v>
      </c>
      <c r="BM99" s="102">
        <f t="shared" si="113"/>
        <v>0</v>
      </c>
      <c r="BN99" s="101">
        <f t="shared" si="114"/>
        <v>0</v>
      </c>
      <c r="BO99" s="101">
        <f t="shared" si="115"/>
        <v>0</v>
      </c>
      <c r="BP99" s="101">
        <f t="shared" si="116"/>
        <v>0</v>
      </c>
      <c r="BQ99" s="103">
        <f t="shared" si="140"/>
        <v>0</v>
      </c>
      <c r="BR99" s="103">
        <f t="shared" si="141"/>
        <v>0</v>
      </c>
      <c r="BS99" s="103">
        <f t="shared" si="142"/>
        <v>0</v>
      </c>
      <c r="BU99" s="78">
        <f t="shared" si="117"/>
        <v>0</v>
      </c>
      <c r="BV99" s="303" t="e">
        <f t="shared" si="143"/>
        <v>#DIV/0!</v>
      </c>
      <c r="BW99" s="75">
        <f t="shared" si="118"/>
        <v>0</v>
      </c>
      <c r="BX99" s="102">
        <f t="shared" si="119"/>
        <v>0</v>
      </c>
      <c r="BY99" s="101">
        <f t="shared" si="120"/>
        <v>0</v>
      </c>
      <c r="BZ99" s="101">
        <f t="shared" si="121"/>
        <v>0</v>
      </c>
      <c r="CA99" s="101">
        <f t="shared" si="122"/>
        <v>0</v>
      </c>
      <c r="CB99" s="103">
        <f t="shared" si="144"/>
        <v>0</v>
      </c>
      <c r="CC99" s="103">
        <f t="shared" si="145"/>
        <v>0</v>
      </c>
      <c r="CD99" s="103">
        <f t="shared" si="146"/>
        <v>0</v>
      </c>
    </row>
    <row r="100" spans="1:82" x14ac:dyDescent="0.2">
      <c r="A100" s="96">
        <f t="shared" si="123"/>
        <v>39387</v>
      </c>
      <c r="B100" s="97">
        <f t="shared" si="124"/>
        <v>3.6945000000000001</v>
      </c>
      <c r="C100" s="77">
        <f t="shared" si="125"/>
        <v>0.24</v>
      </c>
      <c r="D100" s="97">
        <f t="shared" si="80"/>
        <v>0</v>
      </c>
      <c r="E100" s="100">
        <f t="shared" si="81"/>
        <v>1</v>
      </c>
      <c r="F100" s="99">
        <f t="shared" ca="1" si="126"/>
        <v>2122</v>
      </c>
      <c r="G100" s="77" t="e">
        <f t="shared" si="82"/>
        <v>#DIV/0!</v>
      </c>
      <c r="H100" s="77" t="e">
        <f>IF(B$16=1,_xll.xCalcSkew(A100,I100-AO100,b)/100,0)</f>
        <v>#DIV/0!</v>
      </c>
      <c r="I100" s="98">
        <f t="shared" si="83"/>
        <v>4</v>
      </c>
      <c r="K100" s="97">
        <f t="shared" si="84"/>
        <v>-2.2499999999999999E-2</v>
      </c>
      <c r="L100" s="100">
        <f t="shared" si="85"/>
        <v>1</v>
      </c>
      <c r="M100" s="99">
        <f t="shared" ca="1" si="86"/>
        <v>2125</v>
      </c>
      <c r="N100" s="175" t="e">
        <f t="shared" si="87"/>
        <v>#DIV/0!</v>
      </c>
      <c r="O100" s="77" t="e">
        <f>IF(D$16=1,_xll.xCalcSkew($A100,P100-AZ100,b)/100,0)</f>
        <v>#DIV/0!</v>
      </c>
      <c r="P100" s="98">
        <f t="shared" si="88"/>
        <v>2.5</v>
      </c>
      <c r="R100" s="97">
        <f t="shared" si="89"/>
        <v>-2.2499999999999999E-2</v>
      </c>
      <c r="S100" s="100">
        <f t="shared" si="90"/>
        <v>1</v>
      </c>
      <c r="T100" s="99">
        <f t="shared" ca="1" si="91"/>
        <v>2125</v>
      </c>
      <c r="U100" s="175" t="e">
        <f t="shared" si="92"/>
        <v>#DIV/0!</v>
      </c>
      <c r="V100" s="77" t="e">
        <f>IF(F$16=1,_xll.xCalcSkew($A100,W100-BK100,b)/100,0)</f>
        <v>#DIV/0!</v>
      </c>
      <c r="W100" s="98">
        <f t="shared" si="93"/>
        <v>2.5</v>
      </c>
      <c r="X100" s="99"/>
      <c r="Y100" s="97">
        <f t="shared" si="94"/>
        <v>-2.2499999999999999E-2</v>
      </c>
      <c r="Z100" s="100">
        <f t="shared" si="95"/>
        <v>1</v>
      </c>
      <c r="AA100" s="99">
        <f t="shared" ca="1" si="96"/>
        <v>2125</v>
      </c>
      <c r="AB100" s="77" t="e">
        <f t="shared" si="97"/>
        <v>#DIV/0!</v>
      </c>
      <c r="AC100" s="77" t="e">
        <f>IF(H$16=1,_xll.xCalcSkew($A100,AD100-BV100,b)/100,0)</f>
        <v>#DIV/0!</v>
      </c>
      <c r="AD100" s="98">
        <f t="shared" si="98"/>
        <v>2.4900000000000002</v>
      </c>
      <c r="AF100" s="99">
        <f t="shared" ca="1" si="127"/>
        <v>2125</v>
      </c>
      <c r="AG100" s="99">
        <f t="shared" ca="1" si="128"/>
        <v>2122</v>
      </c>
      <c r="AH100" s="77">
        <f t="shared" si="129"/>
        <v>5.31718625008408E-2</v>
      </c>
      <c r="AI100" s="154">
        <f t="shared" si="99"/>
        <v>30</v>
      </c>
      <c r="AL100" s="99"/>
      <c r="AM100" s="78"/>
      <c r="AN100" s="78">
        <f t="shared" si="100"/>
        <v>0</v>
      </c>
      <c r="AO100" s="303" t="e">
        <f t="shared" si="130"/>
        <v>#DIV/0!</v>
      </c>
      <c r="AP100" s="75">
        <f t="shared" si="101"/>
        <v>0</v>
      </c>
      <c r="AQ100" s="102">
        <f t="shared" si="102"/>
        <v>0</v>
      </c>
      <c r="AR100" s="101">
        <f t="shared" si="103"/>
        <v>0</v>
      </c>
      <c r="AS100" s="101">
        <f t="shared" si="131"/>
        <v>0</v>
      </c>
      <c r="AT100" s="101">
        <f t="shared" si="104"/>
        <v>0</v>
      </c>
      <c r="AU100" s="103">
        <f t="shared" si="132"/>
        <v>0</v>
      </c>
      <c r="AV100" s="103">
        <f t="shared" si="133"/>
        <v>0</v>
      </c>
      <c r="AW100" s="103">
        <f t="shared" si="134"/>
        <v>0</v>
      </c>
      <c r="AY100" s="78">
        <f t="shared" si="105"/>
        <v>0</v>
      </c>
      <c r="AZ100" s="303" t="e">
        <f t="shared" si="135"/>
        <v>#DIV/0!</v>
      </c>
      <c r="BA100" s="75">
        <f t="shared" si="106"/>
        <v>0</v>
      </c>
      <c r="BB100" s="102">
        <f t="shared" si="107"/>
        <v>0</v>
      </c>
      <c r="BC100" s="101">
        <f t="shared" si="108"/>
        <v>0</v>
      </c>
      <c r="BD100" s="101">
        <f t="shared" si="109"/>
        <v>0</v>
      </c>
      <c r="BE100" s="101">
        <f t="shared" si="110"/>
        <v>0</v>
      </c>
      <c r="BF100" s="103">
        <f t="shared" si="136"/>
        <v>0</v>
      </c>
      <c r="BG100" s="103">
        <f t="shared" si="137"/>
        <v>0</v>
      </c>
      <c r="BH100" s="103">
        <f t="shared" si="138"/>
        <v>0</v>
      </c>
      <c r="BJ100" s="78">
        <f t="shared" si="111"/>
        <v>0</v>
      </c>
      <c r="BK100" s="303" t="e">
        <f t="shared" si="139"/>
        <v>#DIV/0!</v>
      </c>
      <c r="BL100" s="75">
        <f t="shared" si="112"/>
        <v>0</v>
      </c>
      <c r="BM100" s="102">
        <f t="shared" si="113"/>
        <v>0</v>
      </c>
      <c r="BN100" s="101">
        <f t="shared" si="114"/>
        <v>0</v>
      </c>
      <c r="BO100" s="101">
        <f t="shared" si="115"/>
        <v>0</v>
      </c>
      <c r="BP100" s="101">
        <f t="shared" si="116"/>
        <v>0</v>
      </c>
      <c r="BQ100" s="103">
        <f t="shared" si="140"/>
        <v>0</v>
      </c>
      <c r="BR100" s="103">
        <f t="shared" si="141"/>
        <v>0</v>
      </c>
      <c r="BS100" s="103">
        <f t="shared" si="142"/>
        <v>0</v>
      </c>
      <c r="BU100" s="78">
        <f t="shared" si="117"/>
        <v>0</v>
      </c>
      <c r="BV100" s="303" t="e">
        <f t="shared" si="143"/>
        <v>#DIV/0!</v>
      </c>
      <c r="BW100" s="75">
        <f t="shared" si="118"/>
        <v>0</v>
      </c>
      <c r="BX100" s="102">
        <f t="shared" si="119"/>
        <v>0</v>
      </c>
      <c r="BY100" s="101">
        <f t="shared" si="120"/>
        <v>0</v>
      </c>
      <c r="BZ100" s="101">
        <f t="shared" si="121"/>
        <v>0</v>
      </c>
      <c r="CA100" s="101">
        <f t="shared" si="122"/>
        <v>0</v>
      </c>
      <c r="CB100" s="103">
        <f t="shared" si="144"/>
        <v>0</v>
      </c>
      <c r="CC100" s="103">
        <f t="shared" si="145"/>
        <v>0</v>
      </c>
      <c r="CD100" s="103">
        <f t="shared" si="146"/>
        <v>0</v>
      </c>
    </row>
    <row r="101" spans="1:82" x14ac:dyDescent="0.2">
      <c r="A101" s="96">
        <f t="shared" si="123"/>
        <v>39417</v>
      </c>
      <c r="B101" s="97">
        <f t="shared" si="124"/>
        <v>3.8374999999999999</v>
      </c>
      <c r="C101" s="77">
        <f t="shared" si="125"/>
        <v>0.24</v>
      </c>
      <c r="D101" s="97">
        <f t="shared" si="80"/>
        <v>0</v>
      </c>
      <c r="E101" s="100">
        <f t="shared" si="81"/>
        <v>1</v>
      </c>
      <c r="F101" s="99">
        <f t="shared" ca="1" si="126"/>
        <v>2154</v>
      </c>
      <c r="G101" s="77" t="e">
        <f t="shared" si="82"/>
        <v>#DIV/0!</v>
      </c>
      <c r="H101" s="77" t="e">
        <f>IF(B$16=1,_xll.xCalcSkew(A101,I101-AO101,b)/100,0)</f>
        <v>#DIV/0!</v>
      </c>
      <c r="I101" s="98">
        <f t="shared" si="83"/>
        <v>4</v>
      </c>
      <c r="K101" s="97">
        <f t="shared" si="84"/>
        <v>-4.4999999999999998E-2</v>
      </c>
      <c r="L101" s="100">
        <f t="shared" si="85"/>
        <v>1</v>
      </c>
      <c r="M101" s="99">
        <f t="shared" ca="1" si="86"/>
        <v>2155</v>
      </c>
      <c r="N101" s="175" t="e">
        <f t="shared" si="87"/>
        <v>#DIV/0!</v>
      </c>
      <c r="O101" s="77" t="e">
        <f>IF(D$16=1,_xll.xCalcSkew($A101,P101-AZ101,b)/100,0)</f>
        <v>#DIV/0!</v>
      </c>
      <c r="P101" s="98">
        <f t="shared" si="88"/>
        <v>2.5</v>
      </c>
      <c r="R101" s="97">
        <f t="shared" si="89"/>
        <v>-4.4999999999999998E-2</v>
      </c>
      <c r="S101" s="100">
        <f t="shared" si="90"/>
        <v>1</v>
      </c>
      <c r="T101" s="99">
        <f t="shared" ca="1" si="91"/>
        <v>2155</v>
      </c>
      <c r="U101" s="175" t="e">
        <f t="shared" si="92"/>
        <v>#DIV/0!</v>
      </c>
      <c r="V101" s="77" t="e">
        <f>IF(F$16=1,_xll.xCalcSkew($A101,W101-BK101,b)/100,0)</f>
        <v>#DIV/0!</v>
      </c>
      <c r="W101" s="98">
        <f t="shared" si="93"/>
        <v>2.5</v>
      </c>
      <c r="X101" s="99"/>
      <c r="Y101" s="97">
        <f t="shared" si="94"/>
        <v>-4.4999999999999998E-2</v>
      </c>
      <c r="Z101" s="100">
        <f t="shared" si="95"/>
        <v>1</v>
      </c>
      <c r="AA101" s="99">
        <f t="shared" ca="1" si="96"/>
        <v>2155</v>
      </c>
      <c r="AB101" s="77" t="e">
        <f t="shared" si="97"/>
        <v>#DIV/0!</v>
      </c>
      <c r="AC101" s="77" t="e">
        <f>IF(H$16=1,_xll.xCalcSkew($A101,AD101-BV101,b)/100,0)</f>
        <v>#DIV/0!</v>
      </c>
      <c r="AD101" s="98">
        <f t="shared" si="98"/>
        <v>2.4900000000000002</v>
      </c>
      <c r="AF101" s="99">
        <f t="shared" ca="1" si="127"/>
        <v>2155</v>
      </c>
      <c r="AG101" s="99">
        <f t="shared" ca="1" si="128"/>
        <v>2154</v>
      </c>
      <c r="AH101" s="77">
        <f t="shared" si="129"/>
        <v>5.3347520933161099E-2</v>
      </c>
      <c r="AI101" s="154">
        <f t="shared" si="99"/>
        <v>31</v>
      </c>
      <c r="AL101" s="99"/>
      <c r="AM101" s="78"/>
      <c r="AN101" s="78">
        <f t="shared" si="100"/>
        <v>0</v>
      </c>
      <c r="AO101" s="303" t="e">
        <f t="shared" si="130"/>
        <v>#DIV/0!</v>
      </c>
      <c r="AP101" s="75">
        <f t="shared" si="101"/>
        <v>0</v>
      </c>
      <c r="AQ101" s="102">
        <f t="shared" si="102"/>
        <v>0</v>
      </c>
      <c r="AR101" s="101">
        <f t="shared" si="103"/>
        <v>0</v>
      </c>
      <c r="AS101" s="101">
        <f t="shared" si="131"/>
        <v>0</v>
      </c>
      <c r="AT101" s="101">
        <f t="shared" si="104"/>
        <v>0</v>
      </c>
      <c r="AU101" s="103">
        <f t="shared" si="132"/>
        <v>0</v>
      </c>
      <c r="AV101" s="103">
        <f t="shared" si="133"/>
        <v>0</v>
      </c>
      <c r="AW101" s="103">
        <f t="shared" si="134"/>
        <v>0</v>
      </c>
      <c r="AY101" s="78">
        <f t="shared" si="105"/>
        <v>0</v>
      </c>
      <c r="AZ101" s="303" t="e">
        <f t="shared" si="135"/>
        <v>#DIV/0!</v>
      </c>
      <c r="BA101" s="75">
        <f t="shared" si="106"/>
        <v>0</v>
      </c>
      <c r="BB101" s="102">
        <f t="shared" si="107"/>
        <v>0</v>
      </c>
      <c r="BC101" s="101">
        <f t="shared" si="108"/>
        <v>0</v>
      </c>
      <c r="BD101" s="101">
        <f t="shared" si="109"/>
        <v>0</v>
      </c>
      <c r="BE101" s="101">
        <f t="shared" si="110"/>
        <v>0</v>
      </c>
      <c r="BF101" s="103">
        <f t="shared" si="136"/>
        <v>0</v>
      </c>
      <c r="BG101" s="103">
        <f t="shared" si="137"/>
        <v>0</v>
      </c>
      <c r="BH101" s="103">
        <f t="shared" si="138"/>
        <v>0</v>
      </c>
      <c r="BJ101" s="78">
        <f t="shared" si="111"/>
        <v>0</v>
      </c>
      <c r="BK101" s="303" t="e">
        <f t="shared" si="139"/>
        <v>#DIV/0!</v>
      </c>
      <c r="BL101" s="75">
        <f t="shared" si="112"/>
        <v>0</v>
      </c>
      <c r="BM101" s="102">
        <f t="shared" si="113"/>
        <v>0</v>
      </c>
      <c r="BN101" s="101">
        <f t="shared" si="114"/>
        <v>0</v>
      </c>
      <c r="BO101" s="101">
        <f t="shared" si="115"/>
        <v>0</v>
      </c>
      <c r="BP101" s="101">
        <f t="shared" si="116"/>
        <v>0</v>
      </c>
      <c r="BQ101" s="103">
        <f t="shared" si="140"/>
        <v>0</v>
      </c>
      <c r="BR101" s="103">
        <f t="shared" si="141"/>
        <v>0</v>
      </c>
      <c r="BS101" s="103">
        <f t="shared" si="142"/>
        <v>0</v>
      </c>
      <c r="BU101" s="78">
        <f t="shared" si="117"/>
        <v>0</v>
      </c>
      <c r="BV101" s="303" t="e">
        <f t="shared" si="143"/>
        <v>#DIV/0!</v>
      </c>
      <c r="BW101" s="75">
        <f t="shared" si="118"/>
        <v>0</v>
      </c>
      <c r="BX101" s="102">
        <f t="shared" si="119"/>
        <v>0</v>
      </c>
      <c r="BY101" s="101">
        <f t="shared" si="120"/>
        <v>0</v>
      </c>
      <c r="BZ101" s="101">
        <f t="shared" si="121"/>
        <v>0</v>
      </c>
      <c r="CA101" s="101">
        <f t="shared" si="122"/>
        <v>0</v>
      </c>
      <c r="CB101" s="103">
        <f t="shared" si="144"/>
        <v>0</v>
      </c>
      <c r="CC101" s="103">
        <f t="shared" si="145"/>
        <v>0</v>
      </c>
      <c r="CD101" s="103">
        <f t="shared" si="146"/>
        <v>0</v>
      </c>
    </row>
    <row r="102" spans="1:82" x14ac:dyDescent="0.2">
      <c r="A102" s="96">
        <f t="shared" si="123"/>
        <v>39448</v>
      </c>
      <c r="B102" s="97">
        <f t="shared" si="124"/>
        <v>3.8875000000000002</v>
      </c>
      <c r="C102" s="77">
        <f t="shared" si="125"/>
        <v>0.24</v>
      </c>
      <c r="D102" s="97">
        <f t="shared" si="80"/>
        <v>0</v>
      </c>
      <c r="E102" s="100">
        <f t="shared" si="81"/>
        <v>1</v>
      </c>
      <c r="F102" s="99">
        <f t="shared" ca="1" si="126"/>
        <v>2183</v>
      </c>
      <c r="G102" s="77" t="e">
        <f t="shared" si="82"/>
        <v>#DIV/0!</v>
      </c>
      <c r="H102" s="77" t="e">
        <f>IF(B$16=1,_xll.xCalcSkew(A102,I102-AO102,b)/100,0)</f>
        <v>#DIV/0!</v>
      </c>
      <c r="I102" s="98">
        <f t="shared" si="83"/>
        <v>4</v>
      </c>
      <c r="K102" s="97">
        <f t="shared" si="84"/>
        <v>-4.7500000000000001E-2</v>
      </c>
      <c r="L102" s="100">
        <f t="shared" si="85"/>
        <v>1</v>
      </c>
      <c r="M102" s="99">
        <f t="shared" ca="1" si="86"/>
        <v>2184</v>
      </c>
      <c r="N102" s="175" t="e">
        <f t="shared" si="87"/>
        <v>#DIV/0!</v>
      </c>
      <c r="O102" s="77" t="e">
        <f>IF(D$16=1,_xll.xCalcSkew($A102,P102-AZ102,b)/100,0)</f>
        <v>#DIV/0!</v>
      </c>
      <c r="P102" s="98">
        <f t="shared" si="88"/>
        <v>2.5</v>
      </c>
      <c r="R102" s="97">
        <f t="shared" si="89"/>
        <v>-4.7500000000000001E-2</v>
      </c>
      <c r="S102" s="100">
        <f t="shared" si="90"/>
        <v>1</v>
      </c>
      <c r="T102" s="99">
        <f t="shared" ca="1" si="91"/>
        <v>2184</v>
      </c>
      <c r="U102" s="175" t="e">
        <f t="shared" si="92"/>
        <v>#DIV/0!</v>
      </c>
      <c r="V102" s="77" t="e">
        <f>IF(F$16=1,_xll.xCalcSkew($A102,W102-BK102,b)/100,0)</f>
        <v>#DIV/0!</v>
      </c>
      <c r="W102" s="98">
        <f t="shared" si="93"/>
        <v>2.5</v>
      </c>
      <c r="X102" s="99"/>
      <c r="Y102" s="97">
        <f t="shared" si="94"/>
        <v>-4.7500000000000001E-2</v>
      </c>
      <c r="Z102" s="100">
        <f t="shared" si="95"/>
        <v>1</v>
      </c>
      <c r="AA102" s="99">
        <f t="shared" ca="1" si="96"/>
        <v>2184</v>
      </c>
      <c r="AB102" s="77" t="e">
        <f t="shared" si="97"/>
        <v>#DIV/0!</v>
      </c>
      <c r="AC102" s="77" t="e">
        <f>IF(H$16=1,_xll.xCalcSkew($A102,AD102-BV102,b)/100,0)</f>
        <v>#DIV/0!</v>
      </c>
      <c r="AD102" s="98">
        <f t="shared" si="98"/>
        <v>2.4900000000000002</v>
      </c>
      <c r="AF102" s="99">
        <f t="shared" ca="1" si="127"/>
        <v>2184</v>
      </c>
      <c r="AG102" s="99">
        <f t="shared" ca="1" si="128"/>
        <v>2183</v>
      </c>
      <c r="AH102" s="77">
        <f t="shared" si="129"/>
        <v>5.3529034657364701E-2</v>
      </c>
      <c r="AI102" s="154">
        <f t="shared" si="99"/>
        <v>31</v>
      </c>
      <c r="AL102" s="99"/>
      <c r="AM102" s="78"/>
      <c r="AN102" s="78">
        <f t="shared" si="100"/>
        <v>0</v>
      </c>
      <c r="AO102" s="303" t="e">
        <f t="shared" si="130"/>
        <v>#DIV/0!</v>
      </c>
      <c r="AP102" s="75">
        <f t="shared" si="101"/>
        <v>0</v>
      </c>
      <c r="AQ102" s="102">
        <f t="shared" si="102"/>
        <v>0</v>
      </c>
      <c r="AR102" s="101">
        <f t="shared" si="103"/>
        <v>0</v>
      </c>
      <c r="AS102" s="101">
        <f t="shared" si="131"/>
        <v>0</v>
      </c>
      <c r="AT102" s="101">
        <f t="shared" si="104"/>
        <v>0</v>
      </c>
      <c r="AU102" s="103">
        <f t="shared" si="132"/>
        <v>0</v>
      </c>
      <c r="AV102" s="103">
        <f t="shared" si="133"/>
        <v>0</v>
      </c>
      <c r="AW102" s="103">
        <f t="shared" si="134"/>
        <v>0</v>
      </c>
      <c r="AY102" s="78">
        <f t="shared" si="105"/>
        <v>0</v>
      </c>
      <c r="AZ102" s="303" t="e">
        <f t="shared" si="135"/>
        <v>#DIV/0!</v>
      </c>
      <c r="BA102" s="75">
        <f t="shared" si="106"/>
        <v>0</v>
      </c>
      <c r="BB102" s="102">
        <f t="shared" si="107"/>
        <v>0</v>
      </c>
      <c r="BC102" s="101">
        <f t="shared" si="108"/>
        <v>0</v>
      </c>
      <c r="BD102" s="101">
        <f t="shared" si="109"/>
        <v>0</v>
      </c>
      <c r="BE102" s="101">
        <f t="shared" si="110"/>
        <v>0</v>
      </c>
      <c r="BF102" s="103">
        <f t="shared" si="136"/>
        <v>0</v>
      </c>
      <c r="BG102" s="103">
        <f t="shared" si="137"/>
        <v>0</v>
      </c>
      <c r="BH102" s="103">
        <f t="shared" si="138"/>
        <v>0</v>
      </c>
      <c r="BJ102" s="78">
        <f t="shared" si="111"/>
        <v>0</v>
      </c>
      <c r="BK102" s="303" t="e">
        <f t="shared" si="139"/>
        <v>#DIV/0!</v>
      </c>
      <c r="BL102" s="75">
        <f t="shared" si="112"/>
        <v>0</v>
      </c>
      <c r="BM102" s="102">
        <f t="shared" si="113"/>
        <v>0</v>
      </c>
      <c r="BN102" s="101">
        <f t="shared" si="114"/>
        <v>0</v>
      </c>
      <c r="BO102" s="101">
        <f t="shared" si="115"/>
        <v>0</v>
      </c>
      <c r="BP102" s="101">
        <f t="shared" si="116"/>
        <v>0</v>
      </c>
      <c r="BQ102" s="103">
        <f t="shared" si="140"/>
        <v>0</v>
      </c>
      <c r="BR102" s="103">
        <f t="shared" si="141"/>
        <v>0</v>
      </c>
      <c r="BS102" s="103">
        <f t="shared" si="142"/>
        <v>0</v>
      </c>
      <c r="BU102" s="78">
        <f t="shared" si="117"/>
        <v>0</v>
      </c>
      <c r="BV102" s="303" t="e">
        <f t="shared" si="143"/>
        <v>#DIV/0!</v>
      </c>
      <c r="BW102" s="75">
        <f t="shared" si="118"/>
        <v>0</v>
      </c>
      <c r="BX102" s="102">
        <f t="shared" si="119"/>
        <v>0</v>
      </c>
      <c r="BY102" s="101">
        <f t="shared" si="120"/>
        <v>0</v>
      </c>
      <c r="BZ102" s="101">
        <f t="shared" si="121"/>
        <v>0</v>
      </c>
      <c r="CA102" s="101">
        <f t="shared" si="122"/>
        <v>0</v>
      </c>
      <c r="CB102" s="103">
        <f t="shared" si="144"/>
        <v>0</v>
      </c>
      <c r="CC102" s="103">
        <f t="shared" si="145"/>
        <v>0</v>
      </c>
      <c r="CD102" s="103">
        <f t="shared" si="146"/>
        <v>0</v>
      </c>
    </row>
    <row r="103" spans="1:82" x14ac:dyDescent="0.2">
      <c r="A103" s="96">
        <f t="shared" si="123"/>
        <v>39479</v>
      </c>
      <c r="B103" s="97">
        <f t="shared" si="124"/>
        <v>3.8025000000000002</v>
      </c>
      <c r="C103" s="77">
        <f t="shared" si="125"/>
        <v>0.24</v>
      </c>
      <c r="D103" s="97">
        <f t="shared" si="80"/>
        <v>0</v>
      </c>
      <c r="E103" s="100">
        <f t="shared" si="81"/>
        <v>1</v>
      </c>
      <c r="F103" s="99">
        <f t="shared" ca="1" si="126"/>
        <v>2216</v>
      </c>
      <c r="G103" s="77" t="e">
        <f t="shared" si="82"/>
        <v>#DIV/0!</v>
      </c>
      <c r="H103" s="77" t="e">
        <f>IF(B$16=1,_xll.xCalcSkew(A103,I103-AO103,b)/100,0)</f>
        <v>#DIV/0!</v>
      </c>
      <c r="I103" s="98">
        <f t="shared" si="83"/>
        <v>4</v>
      </c>
      <c r="K103" s="97">
        <f t="shared" si="84"/>
        <v>-0.03</v>
      </c>
      <c r="L103" s="100">
        <f t="shared" si="85"/>
        <v>1</v>
      </c>
      <c r="M103" s="99">
        <f t="shared" ca="1" si="86"/>
        <v>2217</v>
      </c>
      <c r="N103" s="175" t="e">
        <f t="shared" si="87"/>
        <v>#DIV/0!</v>
      </c>
      <c r="O103" s="77" t="e">
        <f>IF(D$16=1,_xll.xCalcSkew($A103,P103-AZ103,b)/100,0)</f>
        <v>#DIV/0!</v>
      </c>
      <c r="P103" s="98">
        <f t="shared" si="88"/>
        <v>2.5</v>
      </c>
      <c r="R103" s="97">
        <f t="shared" si="89"/>
        <v>-0.03</v>
      </c>
      <c r="S103" s="100">
        <f t="shared" si="90"/>
        <v>1</v>
      </c>
      <c r="T103" s="99">
        <f t="shared" ca="1" si="91"/>
        <v>2217</v>
      </c>
      <c r="U103" s="175" t="e">
        <f t="shared" si="92"/>
        <v>#DIV/0!</v>
      </c>
      <c r="V103" s="77" t="e">
        <f>IF(F$16=1,_xll.xCalcSkew($A103,W103-BK103,b)/100,0)</f>
        <v>#DIV/0!</v>
      </c>
      <c r="W103" s="98">
        <f t="shared" si="93"/>
        <v>2.5</v>
      </c>
      <c r="X103" s="99"/>
      <c r="Y103" s="97">
        <f t="shared" si="94"/>
        <v>-0.03</v>
      </c>
      <c r="Z103" s="100">
        <f t="shared" si="95"/>
        <v>1</v>
      </c>
      <c r="AA103" s="99">
        <f t="shared" ca="1" si="96"/>
        <v>2217</v>
      </c>
      <c r="AB103" s="77" t="e">
        <f t="shared" si="97"/>
        <v>#DIV/0!</v>
      </c>
      <c r="AC103" s="77" t="e">
        <f>IF(H$16=1,_xll.xCalcSkew($A103,AD103-BV103,b)/100,0)</f>
        <v>#DIV/0!</v>
      </c>
      <c r="AD103" s="98">
        <f t="shared" si="98"/>
        <v>2.4900000000000002</v>
      </c>
      <c r="AF103" s="99">
        <f t="shared" ca="1" si="127"/>
        <v>2217</v>
      </c>
      <c r="AG103" s="99">
        <f t="shared" ca="1" si="128"/>
        <v>2216</v>
      </c>
      <c r="AH103" s="77">
        <f t="shared" si="129"/>
        <v>5.3710548392549698E-2</v>
      </c>
      <c r="AI103" s="154">
        <f t="shared" si="99"/>
        <v>29</v>
      </c>
      <c r="AL103" s="99"/>
      <c r="AM103" s="78"/>
      <c r="AN103" s="78">
        <f t="shared" si="100"/>
        <v>0</v>
      </c>
      <c r="AO103" s="303" t="e">
        <f t="shared" si="130"/>
        <v>#DIV/0!</v>
      </c>
      <c r="AP103" s="75">
        <f t="shared" si="101"/>
        <v>0</v>
      </c>
      <c r="AQ103" s="102">
        <f t="shared" si="102"/>
        <v>0</v>
      </c>
      <c r="AR103" s="101">
        <f t="shared" si="103"/>
        <v>0</v>
      </c>
      <c r="AS103" s="101">
        <f t="shared" si="131"/>
        <v>0</v>
      </c>
      <c r="AT103" s="101">
        <f t="shared" si="104"/>
        <v>0</v>
      </c>
      <c r="AU103" s="103">
        <f t="shared" si="132"/>
        <v>0</v>
      </c>
      <c r="AV103" s="103">
        <f t="shared" si="133"/>
        <v>0</v>
      </c>
      <c r="AW103" s="103">
        <f t="shared" si="134"/>
        <v>0</v>
      </c>
      <c r="AY103" s="78">
        <f t="shared" si="105"/>
        <v>0</v>
      </c>
      <c r="AZ103" s="303" t="e">
        <f t="shared" si="135"/>
        <v>#DIV/0!</v>
      </c>
      <c r="BA103" s="75">
        <f t="shared" si="106"/>
        <v>0</v>
      </c>
      <c r="BB103" s="102">
        <f t="shared" si="107"/>
        <v>0</v>
      </c>
      <c r="BC103" s="101">
        <f t="shared" si="108"/>
        <v>0</v>
      </c>
      <c r="BD103" s="101">
        <f t="shared" si="109"/>
        <v>0</v>
      </c>
      <c r="BE103" s="101">
        <f t="shared" si="110"/>
        <v>0</v>
      </c>
      <c r="BF103" s="103">
        <f t="shared" si="136"/>
        <v>0</v>
      </c>
      <c r="BG103" s="103">
        <f t="shared" si="137"/>
        <v>0</v>
      </c>
      <c r="BH103" s="103">
        <f t="shared" si="138"/>
        <v>0</v>
      </c>
      <c r="BJ103" s="78">
        <f t="shared" si="111"/>
        <v>0</v>
      </c>
      <c r="BK103" s="303" t="e">
        <f t="shared" si="139"/>
        <v>#DIV/0!</v>
      </c>
      <c r="BL103" s="75">
        <f t="shared" si="112"/>
        <v>0</v>
      </c>
      <c r="BM103" s="102">
        <f t="shared" si="113"/>
        <v>0</v>
      </c>
      <c r="BN103" s="101">
        <f t="shared" si="114"/>
        <v>0</v>
      </c>
      <c r="BO103" s="101">
        <f t="shared" si="115"/>
        <v>0</v>
      </c>
      <c r="BP103" s="101">
        <f t="shared" si="116"/>
        <v>0</v>
      </c>
      <c r="BQ103" s="103">
        <f t="shared" si="140"/>
        <v>0</v>
      </c>
      <c r="BR103" s="103">
        <f t="shared" si="141"/>
        <v>0</v>
      </c>
      <c r="BS103" s="103">
        <f t="shared" si="142"/>
        <v>0</v>
      </c>
      <c r="BU103" s="78">
        <f t="shared" si="117"/>
        <v>0</v>
      </c>
      <c r="BV103" s="303" t="e">
        <f t="shared" si="143"/>
        <v>#DIV/0!</v>
      </c>
      <c r="BW103" s="75">
        <f t="shared" si="118"/>
        <v>0</v>
      </c>
      <c r="BX103" s="102">
        <f t="shared" si="119"/>
        <v>0</v>
      </c>
      <c r="BY103" s="101">
        <f t="shared" si="120"/>
        <v>0</v>
      </c>
      <c r="BZ103" s="101">
        <f t="shared" si="121"/>
        <v>0</v>
      </c>
      <c r="CA103" s="101">
        <f t="shared" si="122"/>
        <v>0</v>
      </c>
      <c r="CB103" s="103">
        <f t="shared" si="144"/>
        <v>0</v>
      </c>
      <c r="CC103" s="103">
        <f t="shared" si="145"/>
        <v>0</v>
      </c>
      <c r="CD103" s="103">
        <f t="shared" si="146"/>
        <v>0</v>
      </c>
    </row>
    <row r="104" spans="1:82" x14ac:dyDescent="0.2">
      <c r="A104" s="96">
        <f t="shared" si="123"/>
        <v>39508</v>
      </c>
      <c r="B104" s="97">
        <f t="shared" si="124"/>
        <v>3.6724999999999999</v>
      </c>
      <c r="C104" s="77">
        <f t="shared" si="125"/>
        <v>0.23499999999999999</v>
      </c>
      <c r="D104" s="97">
        <f t="shared" si="80"/>
        <v>0</v>
      </c>
      <c r="E104" s="100">
        <f t="shared" si="81"/>
        <v>1</v>
      </c>
      <c r="F104" s="99">
        <f t="shared" ca="1" si="126"/>
        <v>2245</v>
      </c>
      <c r="G104" s="77" t="e">
        <f t="shared" si="82"/>
        <v>#DIV/0!</v>
      </c>
      <c r="H104" s="77" t="e">
        <f>IF(B$16=1,_xll.xCalcSkew(A104,I104-AO104,b)/100,0)</f>
        <v>#DIV/0!</v>
      </c>
      <c r="I104" s="98">
        <f t="shared" si="83"/>
        <v>4</v>
      </c>
      <c r="K104" s="97">
        <f t="shared" si="84"/>
        <v>-1.7500000000000002E-2</v>
      </c>
      <c r="L104" s="100">
        <f t="shared" si="85"/>
        <v>1</v>
      </c>
      <c r="M104" s="99">
        <f t="shared" ca="1" si="86"/>
        <v>2246</v>
      </c>
      <c r="N104" s="175" t="e">
        <f t="shared" si="87"/>
        <v>#DIV/0!</v>
      </c>
      <c r="O104" s="77" t="e">
        <f>IF(D$16=1,_xll.xCalcSkew($A104,P104-AZ104,b)/100,0)</f>
        <v>#DIV/0!</v>
      </c>
      <c r="P104" s="98">
        <f t="shared" si="88"/>
        <v>2.5</v>
      </c>
      <c r="R104" s="97">
        <f t="shared" si="89"/>
        <v>-1.7500000000000002E-2</v>
      </c>
      <c r="S104" s="100">
        <f t="shared" si="90"/>
        <v>1</v>
      </c>
      <c r="T104" s="99">
        <f t="shared" ca="1" si="91"/>
        <v>2246</v>
      </c>
      <c r="U104" s="175" t="e">
        <f t="shared" si="92"/>
        <v>#DIV/0!</v>
      </c>
      <c r="V104" s="77" t="e">
        <f>IF(F$16=1,_xll.xCalcSkew($A104,W104-BK104,b)/100,0)</f>
        <v>#DIV/0!</v>
      </c>
      <c r="W104" s="98">
        <f t="shared" si="93"/>
        <v>2.5</v>
      </c>
      <c r="X104" s="99"/>
      <c r="Y104" s="97">
        <f t="shared" si="94"/>
        <v>-1.7500000000000002E-2</v>
      </c>
      <c r="Z104" s="100">
        <f t="shared" si="95"/>
        <v>1</v>
      </c>
      <c r="AA104" s="99">
        <f t="shared" ca="1" si="96"/>
        <v>2246</v>
      </c>
      <c r="AB104" s="77" t="e">
        <f t="shared" si="97"/>
        <v>#DIV/0!</v>
      </c>
      <c r="AC104" s="77" t="e">
        <f>IF(H$16=1,_xll.xCalcSkew($A104,AD104-BV104,b)/100,0)</f>
        <v>#DIV/0!</v>
      </c>
      <c r="AD104" s="98">
        <f t="shared" si="98"/>
        <v>2.4900000000000002</v>
      </c>
      <c r="AF104" s="99">
        <f t="shared" ca="1" si="127"/>
        <v>2246</v>
      </c>
      <c r="AG104" s="99">
        <f t="shared" ca="1" si="128"/>
        <v>2245</v>
      </c>
      <c r="AH104" s="77">
        <f t="shared" si="129"/>
        <v>5.3880351574115498E-2</v>
      </c>
      <c r="AI104" s="154">
        <f t="shared" si="99"/>
        <v>31</v>
      </c>
      <c r="AL104" s="99"/>
      <c r="AM104" s="78"/>
      <c r="AN104" s="78">
        <f t="shared" si="100"/>
        <v>0</v>
      </c>
      <c r="AO104" s="303" t="e">
        <f t="shared" si="130"/>
        <v>#DIV/0!</v>
      </c>
      <c r="AP104" s="75">
        <f t="shared" si="101"/>
        <v>0</v>
      </c>
      <c r="AQ104" s="102">
        <f t="shared" si="102"/>
        <v>0</v>
      </c>
      <c r="AR104" s="101">
        <f t="shared" si="103"/>
        <v>0</v>
      </c>
      <c r="AS104" s="101">
        <f t="shared" si="131"/>
        <v>0</v>
      </c>
      <c r="AT104" s="101">
        <f t="shared" si="104"/>
        <v>0</v>
      </c>
      <c r="AU104" s="103">
        <f t="shared" si="132"/>
        <v>0</v>
      </c>
      <c r="AV104" s="103">
        <f t="shared" si="133"/>
        <v>0</v>
      </c>
      <c r="AW104" s="103">
        <f t="shared" si="134"/>
        <v>0</v>
      </c>
      <c r="AY104" s="78">
        <f t="shared" si="105"/>
        <v>0</v>
      </c>
      <c r="AZ104" s="303" t="e">
        <f t="shared" si="135"/>
        <v>#DIV/0!</v>
      </c>
      <c r="BA104" s="75">
        <f t="shared" si="106"/>
        <v>0</v>
      </c>
      <c r="BB104" s="102">
        <f t="shared" si="107"/>
        <v>0</v>
      </c>
      <c r="BC104" s="101">
        <f t="shared" si="108"/>
        <v>0</v>
      </c>
      <c r="BD104" s="101">
        <f t="shared" si="109"/>
        <v>0</v>
      </c>
      <c r="BE104" s="101">
        <f t="shared" si="110"/>
        <v>0</v>
      </c>
      <c r="BF104" s="103">
        <f t="shared" si="136"/>
        <v>0</v>
      </c>
      <c r="BG104" s="103">
        <f t="shared" si="137"/>
        <v>0</v>
      </c>
      <c r="BH104" s="103">
        <f t="shared" si="138"/>
        <v>0</v>
      </c>
      <c r="BJ104" s="78">
        <f t="shared" si="111"/>
        <v>0</v>
      </c>
      <c r="BK104" s="303" t="e">
        <f t="shared" si="139"/>
        <v>#DIV/0!</v>
      </c>
      <c r="BL104" s="75">
        <f t="shared" si="112"/>
        <v>0</v>
      </c>
      <c r="BM104" s="102">
        <f t="shared" si="113"/>
        <v>0</v>
      </c>
      <c r="BN104" s="101">
        <f t="shared" si="114"/>
        <v>0</v>
      </c>
      <c r="BO104" s="101">
        <f t="shared" si="115"/>
        <v>0</v>
      </c>
      <c r="BP104" s="101">
        <f t="shared" si="116"/>
        <v>0</v>
      </c>
      <c r="BQ104" s="103">
        <f t="shared" si="140"/>
        <v>0</v>
      </c>
      <c r="BR104" s="103">
        <f t="shared" si="141"/>
        <v>0</v>
      </c>
      <c r="BS104" s="103">
        <f t="shared" si="142"/>
        <v>0</v>
      </c>
      <c r="BU104" s="78">
        <f t="shared" si="117"/>
        <v>0</v>
      </c>
      <c r="BV104" s="303" t="e">
        <f t="shared" si="143"/>
        <v>#DIV/0!</v>
      </c>
      <c r="BW104" s="75">
        <f t="shared" si="118"/>
        <v>0</v>
      </c>
      <c r="BX104" s="102">
        <f t="shared" si="119"/>
        <v>0</v>
      </c>
      <c r="BY104" s="101">
        <f t="shared" si="120"/>
        <v>0</v>
      </c>
      <c r="BZ104" s="101">
        <f t="shared" si="121"/>
        <v>0</v>
      </c>
      <c r="CA104" s="101">
        <f t="shared" si="122"/>
        <v>0</v>
      </c>
      <c r="CB104" s="103">
        <f t="shared" si="144"/>
        <v>0</v>
      </c>
      <c r="CC104" s="103">
        <f t="shared" si="145"/>
        <v>0</v>
      </c>
      <c r="CD104" s="103">
        <f t="shared" si="146"/>
        <v>0</v>
      </c>
    </row>
    <row r="105" spans="1:82" x14ac:dyDescent="0.2">
      <c r="A105" s="96">
        <f t="shared" si="123"/>
        <v>39539</v>
      </c>
      <c r="B105" s="97">
        <f t="shared" si="124"/>
        <v>3.4874999999999998</v>
      </c>
      <c r="C105" s="77">
        <f t="shared" si="125"/>
        <v>0.23</v>
      </c>
      <c r="D105" s="97">
        <f t="shared" si="80"/>
        <v>0</v>
      </c>
      <c r="E105" s="100">
        <f t="shared" si="81"/>
        <v>1</v>
      </c>
      <c r="F105" s="99">
        <f t="shared" ca="1" si="126"/>
        <v>2274</v>
      </c>
      <c r="G105" s="77" t="e">
        <f t="shared" si="82"/>
        <v>#DIV/0!</v>
      </c>
      <c r="H105" s="77" t="e">
        <f>IF(B$16=1,_xll.xCalcSkew(A105,I105-AO105,b)/100,0)</f>
        <v>#DIV/0!</v>
      </c>
      <c r="I105" s="98">
        <f t="shared" si="83"/>
        <v>4</v>
      </c>
      <c r="K105" s="97">
        <f t="shared" si="84"/>
        <v>0.02</v>
      </c>
      <c r="L105" s="100">
        <f t="shared" si="85"/>
        <v>1</v>
      </c>
      <c r="M105" s="99">
        <f t="shared" ca="1" si="86"/>
        <v>2275</v>
      </c>
      <c r="N105" s="175" t="e">
        <f t="shared" si="87"/>
        <v>#DIV/0!</v>
      </c>
      <c r="O105" s="77" t="e">
        <f>IF(D$16=1,_xll.xCalcSkew($A105,P105-AZ105,b)/100,0)</f>
        <v>#DIV/0!</v>
      </c>
      <c r="P105" s="98">
        <f t="shared" si="88"/>
        <v>2.5</v>
      </c>
      <c r="R105" s="97">
        <f t="shared" si="89"/>
        <v>0.02</v>
      </c>
      <c r="S105" s="100">
        <f t="shared" si="90"/>
        <v>1</v>
      </c>
      <c r="T105" s="99">
        <f t="shared" ca="1" si="91"/>
        <v>2275</v>
      </c>
      <c r="U105" s="175" t="e">
        <f t="shared" si="92"/>
        <v>#DIV/0!</v>
      </c>
      <c r="V105" s="77" t="e">
        <f>IF(F$16=1,_xll.xCalcSkew($A105,W105-BK105,b)/100,0)</f>
        <v>#DIV/0!</v>
      </c>
      <c r="W105" s="98">
        <f t="shared" si="93"/>
        <v>2.5</v>
      </c>
      <c r="X105" s="99"/>
      <c r="Y105" s="97">
        <f t="shared" si="94"/>
        <v>0.02</v>
      </c>
      <c r="Z105" s="100">
        <f t="shared" si="95"/>
        <v>1</v>
      </c>
      <c r="AA105" s="99">
        <f t="shared" ca="1" si="96"/>
        <v>2275</v>
      </c>
      <c r="AB105" s="77" t="e">
        <f t="shared" si="97"/>
        <v>#DIV/0!</v>
      </c>
      <c r="AC105" s="77" t="e">
        <f>IF(H$16=1,_xll.xCalcSkew($A105,AD105-BV105,b)/100,0)</f>
        <v>#DIV/0!</v>
      </c>
      <c r="AD105" s="98">
        <f t="shared" si="98"/>
        <v>2.4900000000000002</v>
      </c>
      <c r="AF105" s="99">
        <f t="shared" ca="1" si="127"/>
        <v>2275</v>
      </c>
      <c r="AG105" s="99">
        <f t="shared" ca="1" si="128"/>
        <v>2274</v>
      </c>
      <c r="AH105" s="77">
        <f t="shared" si="129"/>
        <v>5.4061865330552898E-2</v>
      </c>
      <c r="AI105" s="154">
        <f t="shared" si="99"/>
        <v>30</v>
      </c>
      <c r="AL105" s="99"/>
      <c r="AM105" s="78"/>
      <c r="AN105" s="78">
        <f t="shared" si="100"/>
        <v>0</v>
      </c>
      <c r="AO105" s="303" t="e">
        <f t="shared" si="130"/>
        <v>#DIV/0!</v>
      </c>
      <c r="AP105" s="75">
        <f t="shared" si="101"/>
        <v>0</v>
      </c>
      <c r="AQ105" s="102">
        <f t="shared" si="102"/>
        <v>0</v>
      </c>
      <c r="AR105" s="101">
        <f t="shared" si="103"/>
        <v>0</v>
      </c>
      <c r="AS105" s="101">
        <f t="shared" si="131"/>
        <v>0</v>
      </c>
      <c r="AT105" s="101">
        <f t="shared" si="104"/>
        <v>0</v>
      </c>
      <c r="AU105" s="103">
        <f t="shared" si="132"/>
        <v>0</v>
      </c>
      <c r="AV105" s="103">
        <f t="shared" si="133"/>
        <v>0</v>
      </c>
      <c r="AW105" s="103">
        <f t="shared" si="134"/>
        <v>0</v>
      </c>
      <c r="AY105" s="78">
        <f t="shared" si="105"/>
        <v>0</v>
      </c>
      <c r="AZ105" s="303" t="e">
        <f t="shared" si="135"/>
        <v>#DIV/0!</v>
      </c>
      <c r="BA105" s="75">
        <f t="shared" si="106"/>
        <v>0</v>
      </c>
      <c r="BB105" s="102">
        <f t="shared" si="107"/>
        <v>0</v>
      </c>
      <c r="BC105" s="101">
        <f t="shared" si="108"/>
        <v>0</v>
      </c>
      <c r="BD105" s="101">
        <f t="shared" si="109"/>
        <v>0</v>
      </c>
      <c r="BE105" s="101">
        <f t="shared" si="110"/>
        <v>0</v>
      </c>
      <c r="BF105" s="103">
        <f t="shared" si="136"/>
        <v>0</v>
      </c>
      <c r="BG105" s="103">
        <f t="shared" si="137"/>
        <v>0</v>
      </c>
      <c r="BH105" s="103">
        <f t="shared" si="138"/>
        <v>0</v>
      </c>
      <c r="BJ105" s="78">
        <f t="shared" si="111"/>
        <v>0</v>
      </c>
      <c r="BK105" s="303" t="e">
        <f t="shared" si="139"/>
        <v>#DIV/0!</v>
      </c>
      <c r="BL105" s="75">
        <f t="shared" si="112"/>
        <v>0</v>
      </c>
      <c r="BM105" s="102">
        <f t="shared" si="113"/>
        <v>0</v>
      </c>
      <c r="BN105" s="101">
        <f t="shared" si="114"/>
        <v>0</v>
      </c>
      <c r="BO105" s="101">
        <f t="shared" si="115"/>
        <v>0</v>
      </c>
      <c r="BP105" s="101">
        <f t="shared" si="116"/>
        <v>0</v>
      </c>
      <c r="BQ105" s="103">
        <f t="shared" si="140"/>
        <v>0</v>
      </c>
      <c r="BR105" s="103">
        <f t="shared" si="141"/>
        <v>0</v>
      </c>
      <c r="BS105" s="103">
        <f t="shared" si="142"/>
        <v>0</v>
      </c>
      <c r="BU105" s="78">
        <f t="shared" si="117"/>
        <v>0</v>
      </c>
      <c r="BV105" s="303" t="e">
        <f t="shared" si="143"/>
        <v>#DIV/0!</v>
      </c>
      <c r="BW105" s="75">
        <f t="shared" si="118"/>
        <v>0</v>
      </c>
      <c r="BX105" s="102">
        <f t="shared" si="119"/>
        <v>0</v>
      </c>
      <c r="BY105" s="101">
        <f t="shared" si="120"/>
        <v>0</v>
      </c>
      <c r="BZ105" s="101">
        <f t="shared" si="121"/>
        <v>0</v>
      </c>
      <c r="CA105" s="101">
        <f t="shared" si="122"/>
        <v>0</v>
      </c>
      <c r="CB105" s="103">
        <f t="shared" si="144"/>
        <v>0</v>
      </c>
      <c r="CC105" s="103">
        <f t="shared" si="145"/>
        <v>0</v>
      </c>
      <c r="CD105" s="103">
        <f t="shared" si="146"/>
        <v>0</v>
      </c>
    </row>
    <row r="106" spans="1:82" x14ac:dyDescent="0.2">
      <c r="A106" s="96">
        <f t="shared" si="123"/>
        <v>39569</v>
      </c>
      <c r="B106" s="97">
        <f t="shared" si="124"/>
        <v>3.4824999999999999</v>
      </c>
      <c r="C106" s="77">
        <f t="shared" si="125"/>
        <v>0.23</v>
      </c>
      <c r="D106" s="97">
        <f t="shared" si="80"/>
        <v>0</v>
      </c>
      <c r="E106" s="100">
        <f t="shared" si="81"/>
        <v>1</v>
      </c>
      <c r="F106" s="99">
        <f t="shared" ca="1" si="126"/>
        <v>2304</v>
      </c>
      <c r="G106" s="77" t="e">
        <f t="shared" si="82"/>
        <v>#DIV/0!</v>
      </c>
      <c r="H106" s="77" t="e">
        <f>IF(B$16=1,_xll.xCalcSkew(A106,I106-AO106,b)/100,0)</f>
        <v>#DIV/0!</v>
      </c>
      <c r="I106" s="98">
        <f t="shared" si="83"/>
        <v>4</v>
      </c>
      <c r="K106" s="97">
        <f t="shared" si="84"/>
        <v>0.02</v>
      </c>
      <c r="L106" s="100">
        <f t="shared" si="85"/>
        <v>1</v>
      </c>
      <c r="M106" s="99">
        <f t="shared" ca="1" si="86"/>
        <v>2307</v>
      </c>
      <c r="N106" s="175" t="e">
        <f t="shared" si="87"/>
        <v>#DIV/0!</v>
      </c>
      <c r="O106" s="77" t="e">
        <f>IF(D$16=1,_xll.xCalcSkew($A106,P106-AZ106,b)/100,0)</f>
        <v>#DIV/0!</v>
      </c>
      <c r="P106" s="98">
        <f t="shared" si="88"/>
        <v>2.5</v>
      </c>
      <c r="R106" s="97">
        <f t="shared" si="89"/>
        <v>0.02</v>
      </c>
      <c r="S106" s="100">
        <f t="shared" si="90"/>
        <v>1</v>
      </c>
      <c r="T106" s="99">
        <f t="shared" ca="1" si="91"/>
        <v>2307</v>
      </c>
      <c r="U106" s="175" t="e">
        <f t="shared" si="92"/>
        <v>#DIV/0!</v>
      </c>
      <c r="V106" s="77" t="e">
        <f>IF(F$16=1,_xll.xCalcSkew($A106,W106-BK106,b)/100,0)</f>
        <v>#DIV/0!</v>
      </c>
      <c r="W106" s="98">
        <f t="shared" si="93"/>
        <v>2.5</v>
      </c>
      <c r="X106" s="99"/>
      <c r="Y106" s="97">
        <f t="shared" si="94"/>
        <v>0.02</v>
      </c>
      <c r="Z106" s="100">
        <f t="shared" si="95"/>
        <v>1</v>
      </c>
      <c r="AA106" s="99">
        <f t="shared" ca="1" si="96"/>
        <v>2307</v>
      </c>
      <c r="AB106" s="77" t="e">
        <f t="shared" si="97"/>
        <v>#DIV/0!</v>
      </c>
      <c r="AC106" s="77" t="e">
        <f>IF(H$16=1,_xll.xCalcSkew($A106,AD106-BV106,b)/100,0)</f>
        <v>#DIV/0!</v>
      </c>
      <c r="AD106" s="98">
        <f t="shared" si="98"/>
        <v>2.4900000000000002</v>
      </c>
      <c r="AF106" s="99">
        <f t="shared" ca="1" si="127"/>
        <v>2307</v>
      </c>
      <c r="AG106" s="99">
        <f t="shared" ca="1" si="128"/>
        <v>2304</v>
      </c>
      <c r="AH106" s="77">
        <f t="shared" si="129"/>
        <v>5.4237523814977699E-2</v>
      </c>
      <c r="AI106" s="154">
        <f t="shared" si="99"/>
        <v>31</v>
      </c>
      <c r="AL106" s="99"/>
      <c r="AM106" s="78"/>
      <c r="AN106" s="78">
        <f t="shared" si="100"/>
        <v>0</v>
      </c>
      <c r="AO106" s="303" t="e">
        <f t="shared" si="130"/>
        <v>#DIV/0!</v>
      </c>
      <c r="AP106" s="75">
        <f t="shared" si="101"/>
        <v>0</v>
      </c>
      <c r="AQ106" s="102">
        <f t="shared" si="102"/>
        <v>0</v>
      </c>
      <c r="AR106" s="101">
        <f t="shared" si="103"/>
        <v>0</v>
      </c>
      <c r="AS106" s="101">
        <f t="shared" si="131"/>
        <v>0</v>
      </c>
      <c r="AT106" s="101">
        <f t="shared" si="104"/>
        <v>0</v>
      </c>
      <c r="AU106" s="103">
        <f t="shared" si="132"/>
        <v>0</v>
      </c>
      <c r="AV106" s="103">
        <f t="shared" si="133"/>
        <v>0</v>
      </c>
      <c r="AW106" s="103">
        <f t="shared" si="134"/>
        <v>0</v>
      </c>
      <c r="AY106" s="78">
        <f t="shared" si="105"/>
        <v>0</v>
      </c>
      <c r="AZ106" s="303" t="e">
        <f t="shared" si="135"/>
        <v>#DIV/0!</v>
      </c>
      <c r="BA106" s="75">
        <f t="shared" si="106"/>
        <v>0</v>
      </c>
      <c r="BB106" s="102">
        <f t="shared" si="107"/>
        <v>0</v>
      </c>
      <c r="BC106" s="101">
        <f t="shared" si="108"/>
        <v>0</v>
      </c>
      <c r="BD106" s="101">
        <f t="shared" si="109"/>
        <v>0</v>
      </c>
      <c r="BE106" s="101">
        <f t="shared" si="110"/>
        <v>0</v>
      </c>
      <c r="BF106" s="103">
        <f t="shared" si="136"/>
        <v>0</v>
      </c>
      <c r="BG106" s="103">
        <f t="shared" si="137"/>
        <v>0</v>
      </c>
      <c r="BH106" s="103">
        <f t="shared" si="138"/>
        <v>0</v>
      </c>
      <c r="BJ106" s="78">
        <f t="shared" si="111"/>
        <v>0</v>
      </c>
      <c r="BK106" s="303" t="e">
        <f t="shared" si="139"/>
        <v>#DIV/0!</v>
      </c>
      <c r="BL106" s="75">
        <f t="shared" si="112"/>
        <v>0</v>
      </c>
      <c r="BM106" s="102">
        <f t="shared" si="113"/>
        <v>0</v>
      </c>
      <c r="BN106" s="101">
        <f t="shared" si="114"/>
        <v>0</v>
      </c>
      <c r="BO106" s="101">
        <f t="shared" si="115"/>
        <v>0</v>
      </c>
      <c r="BP106" s="101">
        <f t="shared" si="116"/>
        <v>0</v>
      </c>
      <c r="BQ106" s="103">
        <f t="shared" si="140"/>
        <v>0</v>
      </c>
      <c r="BR106" s="103">
        <f t="shared" si="141"/>
        <v>0</v>
      </c>
      <c r="BS106" s="103">
        <f t="shared" si="142"/>
        <v>0</v>
      </c>
      <c r="BU106" s="78">
        <f t="shared" si="117"/>
        <v>0</v>
      </c>
      <c r="BV106" s="303" t="e">
        <f t="shared" si="143"/>
        <v>#DIV/0!</v>
      </c>
      <c r="BW106" s="75">
        <f t="shared" si="118"/>
        <v>0</v>
      </c>
      <c r="BX106" s="102">
        <f t="shared" si="119"/>
        <v>0</v>
      </c>
      <c r="BY106" s="101">
        <f t="shared" si="120"/>
        <v>0</v>
      </c>
      <c r="BZ106" s="101">
        <f t="shared" si="121"/>
        <v>0</v>
      </c>
      <c r="CA106" s="101">
        <f t="shared" si="122"/>
        <v>0</v>
      </c>
      <c r="CB106" s="103">
        <f t="shared" si="144"/>
        <v>0</v>
      </c>
      <c r="CC106" s="103">
        <f t="shared" si="145"/>
        <v>0</v>
      </c>
      <c r="CD106" s="103">
        <f t="shared" si="146"/>
        <v>0</v>
      </c>
    </row>
    <row r="107" spans="1:82" x14ac:dyDescent="0.2">
      <c r="A107" s="96">
        <f t="shared" si="123"/>
        <v>39600</v>
      </c>
      <c r="B107" s="97">
        <f t="shared" si="124"/>
        <v>3.5175000000000001</v>
      </c>
      <c r="C107" s="77">
        <f t="shared" si="125"/>
        <v>0.23</v>
      </c>
      <c r="D107" s="97">
        <f t="shared" si="80"/>
        <v>0</v>
      </c>
      <c r="E107" s="100">
        <f t="shared" si="81"/>
        <v>1</v>
      </c>
      <c r="F107" s="99">
        <f t="shared" ca="1" si="126"/>
        <v>2336</v>
      </c>
      <c r="G107" s="77" t="e">
        <f t="shared" si="82"/>
        <v>#DIV/0!</v>
      </c>
      <c r="H107" s="77" t="e">
        <f>IF(B$16=1,_xll.xCalcSkew(A107,I107-AO107,b)/100,0)</f>
        <v>#DIV/0!</v>
      </c>
      <c r="I107" s="98">
        <f t="shared" si="83"/>
        <v>4</v>
      </c>
      <c r="K107" s="97">
        <f t="shared" si="84"/>
        <v>2.5000000000000001E-2</v>
      </c>
      <c r="L107" s="100">
        <f t="shared" si="85"/>
        <v>1</v>
      </c>
      <c r="M107" s="99">
        <f t="shared" ca="1" si="86"/>
        <v>2337</v>
      </c>
      <c r="N107" s="175" t="e">
        <f t="shared" si="87"/>
        <v>#DIV/0!</v>
      </c>
      <c r="O107" s="77" t="e">
        <f>IF(D$16=1,_xll.xCalcSkew($A107,P107-AZ107,b)/100,0)</f>
        <v>#DIV/0!</v>
      </c>
      <c r="P107" s="98">
        <f t="shared" si="88"/>
        <v>2.5</v>
      </c>
      <c r="R107" s="97">
        <f t="shared" si="89"/>
        <v>2.5000000000000001E-2</v>
      </c>
      <c r="S107" s="100">
        <f t="shared" si="90"/>
        <v>1</v>
      </c>
      <c r="T107" s="99">
        <f t="shared" ca="1" si="91"/>
        <v>2337</v>
      </c>
      <c r="U107" s="175" t="e">
        <f t="shared" si="92"/>
        <v>#DIV/0!</v>
      </c>
      <c r="V107" s="77" t="e">
        <f>IF(F$16=1,_xll.xCalcSkew($A107,W107-BK107,b)/100,0)</f>
        <v>#DIV/0!</v>
      </c>
      <c r="W107" s="98">
        <f t="shared" si="93"/>
        <v>2.5</v>
      </c>
      <c r="X107" s="99"/>
      <c r="Y107" s="97">
        <f t="shared" si="94"/>
        <v>2.5000000000000001E-2</v>
      </c>
      <c r="Z107" s="100">
        <f t="shared" si="95"/>
        <v>1</v>
      </c>
      <c r="AA107" s="99">
        <f t="shared" ca="1" si="96"/>
        <v>2337</v>
      </c>
      <c r="AB107" s="77" t="e">
        <f t="shared" si="97"/>
        <v>#DIV/0!</v>
      </c>
      <c r="AC107" s="77" t="e">
        <f>IF(H$16=1,_xll.xCalcSkew($A107,AD107-BV107,b)/100,0)</f>
        <v>#DIV/0!</v>
      </c>
      <c r="AD107" s="98">
        <f t="shared" si="98"/>
        <v>2.4900000000000002</v>
      </c>
      <c r="AF107" s="99">
        <f t="shared" ca="1" si="127"/>
        <v>2337</v>
      </c>
      <c r="AG107" s="99">
        <f t="shared" ca="1" si="128"/>
        <v>2336</v>
      </c>
      <c r="AH107" s="77">
        <f t="shared" si="129"/>
        <v>5.4419037593017403E-2</v>
      </c>
      <c r="AI107" s="154">
        <f t="shared" si="99"/>
        <v>30</v>
      </c>
      <c r="AL107" s="99"/>
      <c r="AM107" s="78"/>
      <c r="AN107" s="78">
        <f t="shared" si="100"/>
        <v>0</v>
      </c>
      <c r="AO107" s="303" t="e">
        <f t="shared" si="130"/>
        <v>#DIV/0!</v>
      </c>
      <c r="AP107" s="75">
        <f t="shared" si="101"/>
        <v>0</v>
      </c>
      <c r="AQ107" s="102">
        <f t="shared" si="102"/>
        <v>0</v>
      </c>
      <c r="AR107" s="101">
        <f t="shared" si="103"/>
        <v>0</v>
      </c>
      <c r="AS107" s="101">
        <f t="shared" si="131"/>
        <v>0</v>
      </c>
      <c r="AT107" s="101">
        <f t="shared" si="104"/>
        <v>0</v>
      </c>
      <c r="AU107" s="103">
        <f t="shared" si="132"/>
        <v>0</v>
      </c>
      <c r="AV107" s="103">
        <f t="shared" si="133"/>
        <v>0</v>
      </c>
      <c r="AW107" s="103">
        <f t="shared" si="134"/>
        <v>0</v>
      </c>
      <c r="AY107" s="78">
        <f t="shared" si="105"/>
        <v>0</v>
      </c>
      <c r="AZ107" s="303" t="e">
        <f t="shared" si="135"/>
        <v>#DIV/0!</v>
      </c>
      <c r="BA107" s="75">
        <f t="shared" si="106"/>
        <v>0</v>
      </c>
      <c r="BB107" s="102">
        <f t="shared" si="107"/>
        <v>0</v>
      </c>
      <c r="BC107" s="101">
        <f t="shared" si="108"/>
        <v>0</v>
      </c>
      <c r="BD107" s="101">
        <f t="shared" si="109"/>
        <v>0</v>
      </c>
      <c r="BE107" s="101">
        <f t="shared" si="110"/>
        <v>0</v>
      </c>
      <c r="BF107" s="103">
        <f t="shared" si="136"/>
        <v>0</v>
      </c>
      <c r="BG107" s="103">
        <f t="shared" si="137"/>
        <v>0</v>
      </c>
      <c r="BH107" s="103">
        <f t="shared" si="138"/>
        <v>0</v>
      </c>
      <c r="BJ107" s="78">
        <f t="shared" si="111"/>
        <v>0</v>
      </c>
      <c r="BK107" s="303" t="e">
        <f t="shared" si="139"/>
        <v>#DIV/0!</v>
      </c>
      <c r="BL107" s="75">
        <f t="shared" si="112"/>
        <v>0</v>
      </c>
      <c r="BM107" s="102">
        <f t="shared" si="113"/>
        <v>0</v>
      </c>
      <c r="BN107" s="101">
        <f t="shared" si="114"/>
        <v>0</v>
      </c>
      <c r="BO107" s="101">
        <f t="shared" si="115"/>
        <v>0</v>
      </c>
      <c r="BP107" s="101">
        <f t="shared" si="116"/>
        <v>0</v>
      </c>
      <c r="BQ107" s="103">
        <f t="shared" si="140"/>
        <v>0</v>
      </c>
      <c r="BR107" s="103">
        <f t="shared" si="141"/>
        <v>0</v>
      </c>
      <c r="BS107" s="103">
        <f t="shared" si="142"/>
        <v>0</v>
      </c>
      <c r="BU107" s="78">
        <f t="shared" si="117"/>
        <v>0</v>
      </c>
      <c r="BV107" s="303" t="e">
        <f t="shared" si="143"/>
        <v>#DIV/0!</v>
      </c>
      <c r="BW107" s="75">
        <f t="shared" si="118"/>
        <v>0</v>
      </c>
      <c r="BX107" s="102">
        <f t="shared" si="119"/>
        <v>0</v>
      </c>
      <c r="BY107" s="101">
        <f t="shared" si="120"/>
        <v>0</v>
      </c>
      <c r="BZ107" s="101">
        <f t="shared" si="121"/>
        <v>0</v>
      </c>
      <c r="CA107" s="101">
        <f t="shared" si="122"/>
        <v>0</v>
      </c>
      <c r="CB107" s="103">
        <f t="shared" si="144"/>
        <v>0</v>
      </c>
      <c r="CC107" s="103">
        <f t="shared" si="145"/>
        <v>0</v>
      </c>
      <c r="CD107" s="103">
        <f t="shared" si="146"/>
        <v>0</v>
      </c>
    </row>
    <row r="108" spans="1:82" x14ac:dyDescent="0.2">
      <c r="A108" s="96">
        <f t="shared" ref="A108:A149" si="147">DATE(YEAR(A107),MONTH(A107)+1,1)</f>
        <v>39630</v>
      </c>
      <c r="B108" s="97">
        <f t="shared" si="124"/>
        <v>3.5575000000000001</v>
      </c>
      <c r="C108" s="77">
        <f t="shared" ref="C108:C149" si="148">VLOOKUP(A108,STRADDLE,8,FALSE)</f>
        <v>0.23</v>
      </c>
      <c r="D108" s="97">
        <f t="shared" si="80"/>
        <v>0</v>
      </c>
      <c r="E108" s="100">
        <f t="shared" si="81"/>
        <v>1</v>
      </c>
      <c r="F108" s="99">
        <f t="shared" ca="1" si="126"/>
        <v>2365</v>
      </c>
      <c r="G108" s="77" t="e">
        <f t="shared" ref="G108:G149" si="149">(($C108+H108)*$E108)+B$15</f>
        <v>#DIV/0!</v>
      </c>
      <c r="H108" s="77" t="e">
        <f>IF(B$16=1,_xll.xCalcSkew(A108,I108-AO108,b)/100,0)</f>
        <v>#DIV/0!</v>
      </c>
      <c r="I108" s="98">
        <f t="shared" si="83"/>
        <v>4</v>
      </c>
      <c r="K108" s="97">
        <f t="shared" si="84"/>
        <v>2.75E-2</v>
      </c>
      <c r="L108" s="100">
        <f t="shared" si="85"/>
        <v>1</v>
      </c>
      <c r="M108" s="99">
        <f t="shared" ref="M108:M149" ca="1" si="150">IF(K$28="NYMEX",$AG108,$AF108)</f>
        <v>2366</v>
      </c>
      <c r="N108" s="175" t="e">
        <f t="shared" ref="N108:N149" si="151">(($C108+O108)*$L108)+D$15</f>
        <v>#DIV/0!</v>
      </c>
      <c r="O108" s="77" t="e">
        <f>IF(D$16=1,_xll.xCalcSkew($A108,P108-AZ108,b)/100,0)</f>
        <v>#DIV/0!</v>
      </c>
      <c r="P108" s="98">
        <f t="shared" si="88"/>
        <v>2.5</v>
      </c>
      <c r="R108" s="97">
        <f t="shared" si="89"/>
        <v>2.75E-2</v>
      </c>
      <c r="S108" s="100">
        <f t="shared" si="90"/>
        <v>1</v>
      </c>
      <c r="T108" s="99">
        <f t="shared" ref="T108:T149" ca="1" si="152">IF(R$28="NYMEX",$AG108,$AF108)</f>
        <v>2366</v>
      </c>
      <c r="U108" s="175" t="e">
        <f t="shared" ref="U108:U149" si="153">(($C108+V108)*$S108)+F$15</f>
        <v>#DIV/0!</v>
      </c>
      <c r="V108" s="77" t="e">
        <f>IF(F$16=1,_xll.xCalcSkew($A108,W108-BK108,b)/100,0)</f>
        <v>#DIV/0!</v>
      </c>
      <c r="W108" s="98">
        <f t="shared" si="93"/>
        <v>2.5</v>
      </c>
      <c r="X108" s="99"/>
      <c r="Y108" s="97">
        <f t="shared" si="94"/>
        <v>2.75E-2</v>
      </c>
      <c r="Z108" s="100">
        <f t="shared" si="95"/>
        <v>1</v>
      </c>
      <c r="AA108" s="99">
        <f t="shared" ref="AA108:AA149" ca="1" si="154">IF(Y$28="NYMEX",$AG108,$AF108)</f>
        <v>2366</v>
      </c>
      <c r="AB108" s="77" t="e">
        <f t="shared" ref="AB108:AB149" si="155">(($C108+AC108)*$Z108)+H$15</f>
        <v>#DIV/0!</v>
      </c>
      <c r="AC108" s="77" t="e">
        <f>IF(H$16=1,_xll.xCalcSkew($A108,AD108-BV108,b)/100,0)</f>
        <v>#DIV/0!</v>
      </c>
      <c r="AD108" s="98">
        <f t="shared" si="98"/>
        <v>2.4900000000000002</v>
      </c>
      <c r="AF108" s="99">
        <f t="shared" ca="1" si="127"/>
        <v>2366</v>
      </c>
      <c r="AG108" s="99">
        <f t="shared" ca="1" si="128"/>
        <v>2365</v>
      </c>
      <c r="AH108" s="77">
        <f t="shared" si="129"/>
        <v>5.4594696098345899E-2</v>
      </c>
      <c r="AI108" s="154">
        <f t="shared" si="99"/>
        <v>31</v>
      </c>
      <c r="AL108" s="99"/>
      <c r="AM108" s="78"/>
      <c r="AN108" s="78">
        <f t="shared" ref="AN108:AN149" si="156">IF($A108&gt;=AO$25,IF($A108&lt;=AO$26,$AI108,0),0)</f>
        <v>0</v>
      </c>
      <c r="AO108" s="303" t="e">
        <f t="shared" ref="AO108:AO149" si="157">AQ108/AN108</f>
        <v>#DIV/0!</v>
      </c>
      <c r="AP108" s="75">
        <f t="shared" si="101"/>
        <v>0</v>
      </c>
      <c r="AQ108" s="102">
        <f t="shared" si="102"/>
        <v>0</v>
      </c>
      <c r="AR108" s="101">
        <f t="shared" ref="AR108:AR149" si="158">IF(AN108=0,0,bsd(1,AS$27,AO108,$I108,$F108,$G108,$AH108,0.1))</f>
        <v>0</v>
      </c>
      <c r="AS108" s="101">
        <f t="shared" ref="AS108:AS149" si="159">IF(AN108=0,0,bsd(2,AS$27,AO108,$I108,$F108,$G108,$AH108,0.1))</f>
        <v>0</v>
      </c>
      <c r="AT108" s="101">
        <f t="shared" ref="AT108:AT149" si="160">IF(AN108=0,0,bsd(AS$28,AS$27,AO108,$I108,$F108,$G108,$AH108,0.1))</f>
        <v>0</v>
      </c>
      <c r="AU108" s="103">
        <f t="shared" ref="AU108:AU149" si="161">AN108*AR108</f>
        <v>0</v>
      </c>
      <c r="AV108" s="103">
        <f t="shared" ref="AV108:AV149" si="162">AN108*AS108</f>
        <v>0</v>
      </c>
      <c r="AW108" s="103">
        <f t="shared" ref="AW108:AW149" si="163">AN108*AT108</f>
        <v>0</v>
      </c>
      <c r="AY108" s="78">
        <f t="shared" ref="AY108:AY149" si="164">IF($A108&gt;=AZ$25,IF($A108&lt;=AZ$26,$AI108,0),0)</f>
        <v>0</v>
      </c>
      <c r="AZ108" s="303" t="e">
        <f t="shared" ref="AZ108:AZ149" si="165">BB108/AY108</f>
        <v>#DIV/0!</v>
      </c>
      <c r="BA108" s="75">
        <f t="shared" si="106"/>
        <v>0</v>
      </c>
      <c r="BB108" s="102">
        <f t="shared" si="107"/>
        <v>0</v>
      </c>
      <c r="BC108" s="101">
        <f t="shared" ref="BC108:BC149" si="166">IF(AY108=0,0,bsd(1,BD$27,AZ108,$P108,$M108,$N108,$AH108,0.1))</f>
        <v>0</v>
      </c>
      <c r="BD108" s="101">
        <f t="shared" ref="BD108:BD149" si="167">IF(AY108=0,0,bsd(2,BD$27,AZ108,$P108,$M108,$N108,$AH108,0.1))</f>
        <v>0</v>
      </c>
      <c r="BE108" s="101">
        <f t="shared" ref="BE108:BE149" si="168">IF(AY108=0,0,bsd(BD$28,BD$27,AZ108,$P108,$M108,$N108,$AH108,0.1))</f>
        <v>0</v>
      </c>
      <c r="BF108" s="103">
        <f t="shared" ref="BF108:BF149" si="169">AY108*BC108</f>
        <v>0</v>
      </c>
      <c r="BG108" s="103">
        <f t="shared" ref="BG108:BG149" si="170">AY108*BD108</f>
        <v>0</v>
      </c>
      <c r="BH108" s="103">
        <f t="shared" ref="BH108:BH149" si="171">AY108*BE108</f>
        <v>0</v>
      </c>
      <c r="BJ108" s="78">
        <f t="shared" ref="BJ108:BJ149" si="172">IF($A108&gt;=BK$25,IF($A108&lt;=BK$26,$AI108,0),0)</f>
        <v>0</v>
      </c>
      <c r="BK108" s="303" t="e">
        <f t="shared" ref="BK108:BK149" si="173">BM108/BJ108</f>
        <v>#DIV/0!</v>
      </c>
      <c r="BL108" s="75">
        <f t="shared" si="112"/>
        <v>0</v>
      </c>
      <c r="BM108" s="102">
        <f t="shared" si="113"/>
        <v>0</v>
      </c>
      <c r="BN108" s="101">
        <f t="shared" ref="BN108:BN149" si="174">IF(BJ108=0,0,bsd(1,BO$27,BK108,$W108,$T108,$U108,$AH108,0.1))</f>
        <v>0</v>
      </c>
      <c r="BO108" s="101">
        <f t="shared" ref="BO108:BO149" si="175">IF(BJ108=0,0,bsd(2,BO$27,BK108,$W108,$T108,$U108,$AH108,0.1))</f>
        <v>0</v>
      </c>
      <c r="BP108" s="101">
        <f t="shared" ref="BP108:BP149" si="176">IF(BJ108=0,0,bsd(BO$28,BO$27,BK108,$W108,$T108,$U108,$AH108,0.1))</f>
        <v>0</v>
      </c>
      <c r="BQ108" s="103">
        <f t="shared" ref="BQ108:BQ149" si="177">BJ108*BN108</f>
        <v>0</v>
      </c>
      <c r="BR108" s="103">
        <f t="shared" ref="BR108:BR149" si="178">BJ108*BO108</f>
        <v>0</v>
      </c>
      <c r="BS108" s="103">
        <f t="shared" ref="BS108:BS149" si="179">BJ108*BP108</f>
        <v>0</v>
      </c>
      <c r="BU108" s="78">
        <f t="shared" ref="BU108:BU149" si="180">IF($A108&gt;=BV$25,IF($A108&lt;=BV$26,$AI108,0),0)</f>
        <v>0</v>
      </c>
      <c r="BV108" s="303" t="e">
        <f t="shared" ref="BV108:BV149" si="181">BX108/BU108</f>
        <v>#DIV/0!</v>
      </c>
      <c r="BW108" s="75">
        <f t="shared" si="118"/>
        <v>0</v>
      </c>
      <c r="BX108" s="102">
        <f t="shared" si="119"/>
        <v>0</v>
      </c>
      <c r="BY108" s="101">
        <f t="shared" ref="BY108:BY149" si="182">IF(BU108=0,0,bsd(1,BZ$27,BV108,$AD108,$AA108,$AB108,$AH108,0.1))</f>
        <v>0</v>
      </c>
      <c r="BZ108" s="101">
        <f t="shared" ref="BZ108:BZ149" si="183">IF(BU108=0,0,bsd(2,BZ$27,BV108,$AD108,$AA108,$AB108,$AH108,0.1))</f>
        <v>0</v>
      </c>
      <c r="CA108" s="101">
        <f t="shared" ref="CA108:CA149" si="184">IF(BU108=0,0,bsd(BZ$28,BZ$27,BV108,$AD108,$AA108,$AB108,$AH108,0.1))</f>
        <v>0</v>
      </c>
      <c r="CB108" s="103">
        <f t="shared" ref="CB108:CB149" si="185">BU108*BY108</f>
        <v>0</v>
      </c>
      <c r="CC108" s="103">
        <f t="shared" ref="CC108:CC149" si="186">BU108*BZ108</f>
        <v>0</v>
      </c>
      <c r="CD108" s="103">
        <f t="shared" ref="CD108:CD149" si="187">BU108*CA108</f>
        <v>0</v>
      </c>
    </row>
    <row r="109" spans="1:82" x14ac:dyDescent="0.2">
      <c r="A109" s="96">
        <f t="shared" si="147"/>
        <v>39661</v>
      </c>
      <c r="B109" s="97">
        <f t="shared" si="124"/>
        <v>3.5975000000000001</v>
      </c>
      <c r="C109" s="77">
        <f t="shared" si="148"/>
        <v>0.23</v>
      </c>
      <c r="D109" s="97">
        <f t="shared" si="80"/>
        <v>0</v>
      </c>
      <c r="E109" s="100">
        <f t="shared" si="81"/>
        <v>1</v>
      </c>
      <c r="F109" s="99">
        <f t="shared" ca="1" si="126"/>
        <v>2398</v>
      </c>
      <c r="G109" s="77" t="e">
        <f t="shared" si="149"/>
        <v>#DIV/0!</v>
      </c>
      <c r="H109" s="77" t="e">
        <f>IF(B$16=1,_xll.xCalcSkew(A109,I109-AO109,b)/100,0)</f>
        <v>#DIV/0!</v>
      </c>
      <c r="I109" s="98">
        <f t="shared" si="83"/>
        <v>4</v>
      </c>
      <c r="K109" s="97">
        <f t="shared" si="84"/>
        <v>0.03</v>
      </c>
      <c r="L109" s="100">
        <f t="shared" si="85"/>
        <v>1</v>
      </c>
      <c r="M109" s="99">
        <f t="shared" ca="1" si="150"/>
        <v>2399</v>
      </c>
      <c r="N109" s="175" t="e">
        <f t="shared" si="151"/>
        <v>#DIV/0!</v>
      </c>
      <c r="O109" s="77" t="e">
        <f>IF(D$16=1,_xll.xCalcSkew($A109,P109-AZ109,b)/100,0)</f>
        <v>#DIV/0!</v>
      </c>
      <c r="P109" s="98">
        <f t="shared" si="88"/>
        <v>2.5</v>
      </c>
      <c r="R109" s="97">
        <f t="shared" si="89"/>
        <v>0.03</v>
      </c>
      <c r="S109" s="100">
        <f t="shared" si="90"/>
        <v>1</v>
      </c>
      <c r="T109" s="99">
        <f t="shared" ca="1" si="152"/>
        <v>2399</v>
      </c>
      <c r="U109" s="175" t="e">
        <f t="shared" si="153"/>
        <v>#DIV/0!</v>
      </c>
      <c r="V109" s="77" t="e">
        <f>IF(F$16=1,_xll.xCalcSkew($A109,W109-BK109,b)/100,0)</f>
        <v>#DIV/0!</v>
      </c>
      <c r="W109" s="98">
        <f t="shared" si="93"/>
        <v>2.5</v>
      </c>
      <c r="X109" s="99"/>
      <c r="Y109" s="97">
        <f t="shared" si="94"/>
        <v>0.03</v>
      </c>
      <c r="Z109" s="100">
        <f t="shared" si="95"/>
        <v>1</v>
      </c>
      <c r="AA109" s="99">
        <f t="shared" ca="1" si="154"/>
        <v>2399</v>
      </c>
      <c r="AB109" s="77" t="e">
        <f t="shared" si="155"/>
        <v>#DIV/0!</v>
      </c>
      <c r="AC109" s="77" t="e">
        <f>IF(H$16=1,_xll.xCalcSkew($A109,AD109-BV109,b)/100,0)</f>
        <v>#DIV/0!</v>
      </c>
      <c r="AD109" s="98">
        <f t="shared" si="98"/>
        <v>2.4900000000000002</v>
      </c>
      <c r="AF109" s="99">
        <f t="shared" ca="1" si="127"/>
        <v>2399</v>
      </c>
      <c r="AG109" s="99">
        <f t="shared" ca="1" si="128"/>
        <v>2398</v>
      </c>
      <c r="AH109" s="77">
        <f t="shared" si="129"/>
        <v>5.47762098979847E-2</v>
      </c>
      <c r="AI109" s="154">
        <f t="shared" si="99"/>
        <v>31</v>
      </c>
      <c r="AL109" s="99"/>
      <c r="AM109" s="78"/>
      <c r="AN109" s="78">
        <f t="shared" si="156"/>
        <v>0</v>
      </c>
      <c r="AO109" s="303" t="e">
        <f t="shared" si="157"/>
        <v>#DIV/0!</v>
      </c>
      <c r="AP109" s="75">
        <f t="shared" si="101"/>
        <v>0</v>
      </c>
      <c r="AQ109" s="102">
        <f t="shared" si="102"/>
        <v>0</v>
      </c>
      <c r="AR109" s="101">
        <f t="shared" si="158"/>
        <v>0</v>
      </c>
      <c r="AS109" s="101">
        <f t="shared" si="159"/>
        <v>0</v>
      </c>
      <c r="AT109" s="101">
        <f t="shared" si="160"/>
        <v>0</v>
      </c>
      <c r="AU109" s="103">
        <f t="shared" si="161"/>
        <v>0</v>
      </c>
      <c r="AV109" s="103">
        <f t="shared" si="162"/>
        <v>0</v>
      </c>
      <c r="AW109" s="103">
        <f t="shared" si="163"/>
        <v>0</v>
      </c>
      <c r="AY109" s="78">
        <f t="shared" si="164"/>
        <v>0</v>
      </c>
      <c r="AZ109" s="303" t="e">
        <f t="shared" si="165"/>
        <v>#DIV/0!</v>
      </c>
      <c r="BA109" s="75">
        <f t="shared" si="106"/>
        <v>0</v>
      </c>
      <c r="BB109" s="102">
        <f t="shared" si="107"/>
        <v>0</v>
      </c>
      <c r="BC109" s="101">
        <f t="shared" si="166"/>
        <v>0</v>
      </c>
      <c r="BD109" s="101">
        <f t="shared" si="167"/>
        <v>0</v>
      </c>
      <c r="BE109" s="101">
        <f t="shared" si="168"/>
        <v>0</v>
      </c>
      <c r="BF109" s="103">
        <f t="shared" si="169"/>
        <v>0</v>
      </c>
      <c r="BG109" s="103">
        <f t="shared" si="170"/>
        <v>0</v>
      </c>
      <c r="BH109" s="103">
        <f t="shared" si="171"/>
        <v>0</v>
      </c>
      <c r="BJ109" s="78">
        <f t="shared" si="172"/>
        <v>0</v>
      </c>
      <c r="BK109" s="303" t="e">
        <f t="shared" si="173"/>
        <v>#DIV/0!</v>
      </c>
      <c r="BL109" s="75">
        <f t="shared" si="112"/>
        <v>0</v>
      </c>
      <c r="BM109" s="102">
        <f t="shared" si="113"/>
        <v>0</v>
      </c>
      <c r="BN109" s="101">
        <f t="shared" si="174"/>
        <v>0</v>
      </c>
      <c r="BO109" s="101">
        <f t="shared" si="175"/>
        <v>0</v>
      </c>
      <c r="BP109" s="101">
        <f t="shared" si="176"/>
        <v>0</v>
      </c>
      <c r="BQ109" s="103">
        <f t="shared" si="177"/>
        <v>0</v>
      </c>
      <c r="BR109" s="103">
        <f t="shared" si="178"/>
        <v>0</v>
      </c>
      <c r="BS109" s="103">
        <f t="shared" si="179"/>
        <v>0</v>
      </c>
      <c r="BU109" s="78">
        <f t="shared" si="180"/>
        <v>0</v>
      </c>
      <c r="BV109" s="303" t="e">
        <f t="shared" si="181"/>
        <v>#DIV/0!</v>
      </c>
      <c r="BW109" s="75">
        <f t="shared" si="118"/>
        <v>0</v>
      </c>
      <c r="BX109" s="102">
        <f t="shared" si="119"/>
        <v>0</v>
      </c>
      <c r="BY109" s="101">
        <f t="shared" si="182"/>
        <v>0</v>
      </c>
      <c r="BZ109" s="101">
        <f t="shared" si="183"/>
        <v>0</v>
      </c>
      <c r="CA109" s="101">
        <f t="shared" si="184"/>
        <v>0</v>
      </c>
      <c r="CB109" s="103">
        <f t="shared" si="185"/>
        <v>0</v>
      </c>
      <c r="CC109" s="103">
        <f t="shared" si="186"/>
        <v>0</v>
      </c>
      <c r="CD109" s="103">
        <f t="shared" si="187"/>
        <v>0</v>
      </c>
    </row>
    <row r="110" spans="1:82" x14ac:dyDescent="0.2">
      <c r="A110" s="96">
        <f t="shared" si="147"/>
        <v>39692</v>
      </c>
      <c r="B110" s="97">
        <f t="shared" si="124"/>
        <v>3.5924999999999998</v>
      </c>
      <c r="C110" s="77">
        <f t="shared" si="148"/>
        <v>0.23</v>
      </c>
      <c r="D110" s="97">
        <f t="shared" si="80"/>
        <v>0</v>
      </c>
      <c r="E110" s="100">
        <f t="shared" si="81"/>
        <v>1</v>
      </c>
      <c r="F110" s="99">
        <f t="shared" ca="1" si="126"/>
        <v>2427</v>
      </c>
      <c r="G110" s="77" t="e">
        <f t="shared" si="149"/>
        <v>#DIV/0!</v>
      </c>
      <c r="H110" s="77" t="e">
        <f>IF(B$16=1,_xll.xCalcSkew(A110,I110-AO110,b)/100,0)</f>
        <v>#DIV/0!</v>
      </c>
      <c r="I110" s="98">
        <f t="shared" si="83"/>
        <v>4</v>
      </c>
      <c r="K110" s="97">
        <f t="shared" si="84"/>
        <v>2.2499999999999999E-2</v>
      </c>
      <c r="L110" s="100">
        <f t="shared" si="85"/>
        <v>1</v>
      </c>
      <c r="M110" s="99">
        <f t="shared" ca="1" si="150"/>
        <v>2428</v>
      </c>
      <c r="N110" s="175" t="e">
        <f t="shared" si="151"/>
        <v>#DIV/0!</v>
      </c>
      <c r="O110" s="77" t="e">
        <f>IF(D$16=1,_xll.xCalcSkew($A110,P110-AZ110,b)/100,0)</f>
        <v>#DIV/0!</v>
      </c>
      <c r="P110" s="98">
        <f t="shared" si="88"/>
        <v>2.5</v>
      </c>
      <c r="R110" s="97">
        <f t="shared" si="89"/>
        <v>2.2499999999999999E-2</v>
      </c>
      <c r="S110" s="100">
        <f t="shared" si="90"/>
        <v>1</v>
      </c>
      <c r="T110" s="99">
        <f t="shared" ca="1" si="152"/>
        <v>2428</v>
      </c>
      <c r="U110" s="175" t="e">
        <f t="shared" si="153"/>
        <v>#DIV/0!</v>
      </c>
      <c r="V110" s="77" t="e">
        <f>IF(F$16=1,_xll.xCalcSkew($A110,W110-BK110,b)/100,0)</f>
        <v>#DIV/0!</v>
      </c>
      <c r="W110" s="98">
        <f t="shared" si="93"/>
        <v>2.5</v>
      </c>
      <c r="X110" s="99"/>
      <c r="Y110" s="97">
        <f t="shared" si="94"/>
        <v>2.2499999999999999E-2</v>
      </c>
      <c r="Z110" s="100">
        <f t="shared" si="95"/>
        <v>1</v>
      </c>
      <c r="AA110" s="99">
        <f t="shared" ca="1" si="154"/>
        <v>2428</v>
      </c>
      <c r="AB110" s="77" t="e">
        <f t="shared" si="155"/>
        <v>#DIV/0!</v>
      </c>
      <c r="AC110" s="77" t="e">
        <f>IF(H$16=1,_xll.xCalcSkew($A110,AD110-BV110,b)/100,0)</f>
        <v>#DIV/0!</v>
      </c>
      <c r="AD110" s="98">
        <f t="shared" si="98"/>
        <v>2.4900000000000002</v>
      </c>
      <c r="AF110" s="99">
        <f t="shared" ca="1" si="127"/>
        <v>2428</v>
      </c>
      <c r="AG110" s="99">
        <f t="shared" ca="1" si="128"/>
        <v>2427</v>
      </c>
      <c r="AH110" s="77">
        <f t="shared" si="129"/>
        <v>5.4957723708598298E-2</v>
      </c>
      <c r="AI110" s="154">
        <f t="shared" si="99"/>
        <v>30</v>
      </c>
      <c r="AL110" s="99"/>
      <c r="AM110" s="78"/>
      <c r="AN110" s="78">
        <f t="shared" si="156"/>
        <v>0</v>
      </c>
      <c r="AO110" s="303" t="e">
        <f t="shared" si="157"/>
        <v>#DIV/0!</v>
      </c>
      <c r="AP110" s="75">
        <f t="shared" si="101"/>
        <v>0</v>
      </c>
      <c r="AQ110" s="102">
        <f t="shared" si="102"/>
        <v>0</v>
      </c>
      <c r="AR110" s="101">
        <f t="shared" si="158"/>
        <v>0</v>
      </c>
      <c r="AS110" s="101">
        <f t="shared" si="159"/>
        <v>0</v>
      </c>
      <c r="AT110" s="101">
        <f t="shared" si="160"/>
        <v>0</v>
      </c>
      <c r="AU110" s="103">
        <f t="shared" si="161"/>
        <v>0</v>
      </c>
      <c r="AV110" s="103">
        <f t="shared" si="162"/>
        <v>0</v>
      </c>
      <c r="AW110" s="103">
        <f t="shared" si="163"/>
        <v>0</v>
      </c>
      <c r="AY110" s="78">
        <f t="shared" si="164"/>
        <v>0</v>
      </c>
      <c r="AZ110" s="303" t="e">
        <f t="shared" si="165"/>
        <v>#DIV/0!</v>
      </c>
      <c r="BA110" s="75">
        <f t="shared" si="106"/>
        <v>0</v>
      </c>
      <c r="BB110" s="102">
        <f t="shared" si="107"/>
        <v>0</v>
      </c>
      <c r="BC110" s="101">
        <f t="shared" si="166"/>
        <v>0</v>
      </c>
      <c r="BD110" s="101">
        <f t="shared" si="167"/>
        <v>0</v>
      </c>
      <c r="BE110" s="101">
        <f t="shared" si="168"/>
        <v>0</v>
      </c>
      <c r="BF110" s="103">
        <f t="shared" si="169"/>
        <v>0</v>
      </c>
      <c r="BG110" s="103">
        <f t="shared" si="170"/>
        <v>0</v>
      </c>
      <c r="BH110" s="103">
        <f t="shared" si="171"/>
        <v>0</v>
      </c>
      <c r="BJ110" s="78">
        <f t="shared" si="172"/>
        <v>0</v>
      </c>
      <c r="BK110" s="303" t="e">
        <f t="shared" si="173"/>
        <v>#DIV/0!</v>
      </c>
      <c r="BL110" s="75">
        <f t="shared" si="112"/>
        <v>0</v>
      </c>
      <c r="BM110" s="102">
        <f t="shared" si="113"/>
        <v>0</v>
      </c>
      <c r="BN110" s="101">
        <f t="shared" si="174"/>
        <v>0</v>
      </c>
      <c r="BO110" s="101">
        <f t="shared" si="175"/>
        <v>0</v>
      </c>
      <c r="BP110" s="101">
        <f t="shared" si="176"/>
        <v>0</v>
      </c>
      <c r="BQ110" s="103">
        <f t="shared" si="177"/>
        <v>0</v>
      </c>
      <c r="BR110" s="103">
        <f t="shared" si="178"/>
        <v>0</v>
      </c>
      <c r="BS110" s="103">
        <f t="shared" si="179"/>
        <v>0</v>
      </c>
      <c r="BU110" s="78">
        <f t="shared" si="180"/>
        <v>0</v>
      </c>
      <c r="BV110" s="303" t="e">
        <f t="shared" si="181"/>
        <v>#DIV/0!</v>
      </c>
      <c r="BW110" s="75">
        <f t="shared" si="118"/>
        <v>0</v>
      </c>
      <c r="BX110" s="102">
        <f t="shared" si="119"/>
        <v>0</v>
      </c>
      <c r="BY110" s="101">
        <f t="shared" si="182"/>
        <v>0</v>
      </c>
      <c r="BZ110" s="101">
        <f t="shared" si="183"/>
        <v>0</v>
      </c>
      <c r="CA110" s="101">
        <f t="shared" si="184"/>
        <v>0</v>
      </c>
      <c r="CB110" s="103">
        <f t="shared" si="185"/>
        <v>0</v>
      </c>
      <c r="CC110" s="103">
        <f t="shared" si="186"/>
        <v>0</v>
      </c>
      <c r="CD110" s="103">
        <f t="shared" si="187"/>
        <v>0</v>
      </c>
    </row>
    <row r="111" spans="1:82" x14ac:dyDescent="0.2">
      <c r="A111" s="96">
        <f t="shared" si="147"/>
        <v>39722</v>
      </c>
      <c r="B111" s="97">
        <f t="shared" si="124"/>
        <v>3.6175000000000002</v>
      </c>
      <c r="C111" s="77">
        <f t="shared" si="148"/>
        <v>0.23</v>
      </c>
      <c r="D111" s="97">
        <f t="shared" si="80"/>
        <v>0</v>
      </c>
      <c r="E111" s="100">
        <f t="shared" si="81"/>
        <v>1</v>
      </c>
      <c r="F111" s="99">
        <f t="shared" ca="1" si="126"/>
        <v>2457</v>
      </c>
      <c r="G111" s="77" t="e">
        <f t="shared" si="149"/>
        <v>#DIV/0!</v>
      </c>
      <c r="H111" s="77" t="e">
        <f>IF(B$16=1,_xll.xCalcSkew(A111,I111-AO111,b)/100,0)</f>
        <v>#DIV/0!</v>
      </c>
      <c r="I111" s="98">
        <f t="shared" si="83"/>
        <v>4</v>
      </c>
      <c r="K111" s="97">
        <f t="shared" si="84"/>
        <v>1.2500000000000001E-2</v>
      </c>
      <c r="L111" s="100">
        <f t="shared" si="85"/>
        <v>1</v>
      </c>
      <c r="M111" s="99">
        <f t="shared" ca="1" si="150"/>
        <v>2458</v>
      </c>
      <c r="N111" s="175" t="e">
        <f t="shared" si="151"/>
        <v>#DIV/0!</v>
      </c>
      <c r="O111" s="77" t="e">
        <f>IF(D$16=1,_xll.xCalcSkew($A111,P111-AZ111,b)/100,0)</f>
        <v>#DIV/0!</v>
      </c>
      <c r="P111" s="98">
        <f t="shared" si="88"/>
        <v>2.5</v>
      </c>
      <c r="R111" s="97">
        <f t="shared" si="89"/>
        <v>1.2500000000000001E-2</v>
      </c>
      <c r="S111" s="100">
        <f t="shared" si="90"/>
        <v>1</v>
      </c>
      <c r="T111" s="99">
        <f t="shared" ca="1" si="152"/>
        <v>2458</v>
      </c>
      <c r="U111" s="175" t="e">
        <f t="shared" si="153"/>
        <v>#DIV/0!</v>
      </c>
      <c r="V111" s="77" t="e">
        <f>IF(F$16=1,_xll.xCalcSkew($A111,W111-BK111,b)/100,0)</f>
        <v>#DIV/0!</v>
      </c>
      <c r="W111" s="98">
        <f t="shared" si="93"/>
        <v>2.5</v>
      </c>
      <c r="X111" s="99"/>
      <c r="Y111" s="97">
        <f t="shared" si="94"/>
        <v>1.2500000000000001E-2</v>
      </c>
      <c r="Z111" s="100">
        <f t="shared" si="95"/>
        <v>1</v>
      </c>
      <c r="AA111" s="99">
        <f t="shared" ca="1" si="154"/>
        <v>2458</v>
      </c>
      <c r="AB111" s="77" t="e">
        <f t="shared" si="155"/>
        <v>#DIV/0!</v>
      </c>
      <c r="AC111" s="77" t="e">
        <f>IF(H$16=1,_xll.xCalcSkew($A111,AD111-BV111,b)/100,0)</f>
        <v>#DIV/0!</v>
      </c>
      <c r="AD111" s="98">
        <f t="shared" si="98"/>
        <v>2.4900000000000002</v>
      </c>
      <c r="AF111" s="99">
        <f t="shared" ca="1" si="127"/>
        <v>2458</v>
      </c>
      <c r="AG111" s="99">
        <f t="shared" ca="1" si="128"/>
        <v>2457</v>
      </c>
      <c r="AH111" s="77">
        <f t="shared" si="129"/>
        <v>5.51333822454474E-2</v>
      </c>
      <c r="AI111" s="154">
        <f t="shared" si="99"/>
        <v>31</v>
      </c>
      <c r="AL111" s="99"/>
      <c r="AM111" s="78"/>
      <c r="AN111" s="78">
        <f t="shared" si="156"/>
        <v>0</v>
      </c>
      <c r="AO111" s="303" t="e">
        <f t="shared" si="157"/>
        <v>#DIV/0!</v>
      </c>
      <c r="AP111" s="75">
        <f t="shared" si="101"/>
        <v>0</v>
      </c>
      <c r="AQ111" s="102">
        <f t="shared" si="102"/>
        <v>0</v>
      </c>
      <c r="AR111" s="101">
        <f t="shared" si="158"/>
        <v>0</v>
      </c>
      <c r="AS111" s="101">
        <f t="shared" si="159"/>
        <v>0</v>
      </c>
      <c r="AT111" s="101">
        <f t="shared" si="160"/>
        <v>0</v>
      </c>
      <c r="AU111" s="103">
        <f t="shared" si="161"/>
        <v>0</v>
      </c>
      <c r="AV111" s="103">
        <f t="shared" si="162"/>
        <v>0</v>
      </c>
      <c r="AW111" s="103">
        <f t="shared" si="163"/>
        <v>0</v>
      </c>
      <c r="AY111" s="78">
        <f t="shared" si="164"/>
        <v>0</v>
      </c>
      <c r="AZ111" s="303" t="e">
        <f t="shared" si="165"/>
        <v>#DIV/0!</v>
      </c>
      <c r="BA111" s="75">
        <f t="shared" si="106"/>
        <v>0</v>
      </c>
      <c r="BB111" s="102">
        <f t="shared" si="107"/>
        <v>0</v>
      </c>
      <c r="BC111" s="101">
        <f t="shared" si="166"/>
        <v>0</v>
      </c>
      <c r="BD111" s="101">
        <f t="shared" si="167"/>
        <v>0</v>
      </c>
      <c r="BE111" s="101">
        <f t="shared" si="168"/>
        <v>0</v>
      </c>
      <c r="BF111" s="103">
        <f t="shared" si="169"/>
        <v>0</v>
      </c>
      <c r="BG111" s="103">
        <f t="shared" si="170"/>
        <v>0</v>
      </c>
      <c r="BH111" s="103">
        <f t="shared" si="171"/>
        <v>0</v>
      </c>
      <c r="BJ111" s="78">
        <f t="shared" si="172"/>
        <v>0</v>
      </c>
      <c r="BK111" s="303" t="e">
        <f t="shared" si="173"/>
        <v>#DIV/0!</v>
      </c>
      <c r="BL111" s="75">
        <f t="shared" si="112"/>
        <v>0</v>
      </c>
      <c r="BM111" s="102">
        <f t="shared" si="113"/>
        <v>0</v>
      </c>
      <c r="BN111" s="101">
        <f t="shared" si="174"/>
        <v>0</v>
      </c>
      <c r="BO111" s="101">
        <f t="shared" si="175"/>
        <v>0</v>
      </c>
      <c r="BP111" s="101">
        <f t="shared" si="176"/>
        <v>0</v>
      </c>
      <c r="BQ111" s="103">
        <f t="shared" si="177"/>
        <v>0</v>
      </c>
      <c r="BR111" s="103">
        <f t="shared" si="178"/>
        <v>0</v>
      </c>
      <c r="BS111" s="103">
        <f t="shared" si="179"/>
        <v>0</v>
      </c>
      <c r="BU111" s="78">
        <f t="shared" si="180"/>
        <v>0</v>
      </c>
      <c r="BV111" s="303" t="e">
        <f t="shared" si="181"/>
        <v>#DIV/0!</v>
      </c>
      <c r="BW111" s="75">
        <f t="shared" si="118"/>
        <v>0</v>
      </c>
      <c r="BX111" s="102">
        <f t="shared" si="119"/>
        <v>0</v>
      </c>
      <c r="BY111" s="101">
        <f t="shared" si="182"/>
        <v>0</v>
      </c>
      <c r="BZ111" s="101">
        <f t="shared" si="183"/>
        <v>0</v>
      </c>
      <c r="CA111" s="101">
        <f t="shared" si="184"/>
        <v>0</v>
      </c>
      <c r="CB111" s="103">
        <f t="shared" si="185"/>
        <v>0</v>
      </c>
      <c r="CC111" s="103">
        <f t="shared" si="186"/>
        <v>0</v>
      </c>
      <c r="CD111" s="103">
        <f t="shared" si="187"/>
        <v>0</v>
      </c>
    </row>
    <row r="112" spans="1:82" x14ac:dyDescent="0.2">
      <c r="A112" s="96">
        <f t="shared" si="147"/>
        <v>39753</v>
      </c>
      <c r="B112" s="97">
        <f t="shared" si="124"/>
        <v>3.7694999999999999</v>
      </c>
      <c r="C112" s="77">
        <f t="shared" si="148"/>
        <v>0.23</v>
      </c>
      <c r="D112" s="97">
        <f t="shared" si="80"/>
        <v>0</v>
      </c>
      <c r="E112" s="100">
        <f t="shared" si="81"/>
        <v>1</v>
      </c>
      <c r="F112" s="99">
        <f t="shared" ca="1" si="126"/>
        <v>2490</v>
      </c>
      <c r="G112" s="77" t="e">
        <f t="shared" si="149"/>
        <v>#DIV/0!</v>
      </c>
      <c r="H112" s="77" t="e">
        <f>IF(B$16=1,_xll.xCalcSkew(A112,I112-AO112,b)/100,0)</f>
        <v>#DIV/0!</v>
      </c>
      <c r="I112" s="98">
        <f t="shared" si="83"/>
        <v>4</v>
      </c>
      <c r="K112" s="97">
        <f t="shared" si="84"/>
        <v>-2.2499999999999999E-2</v>
      </c>
      <c r="L112" s="100">
        <f t="shared" si="85"/>
        <v>1</v>
      </c>
      <c r="M112" s="99">
        <f t="shared" ca="1" si="150"/>
        <v>2491</v>
      </c>
      <c r="N112" s="175" t="e">
        <f t="shared" si="151"/>
        <v>#DIV/0!</v>
      </c>
      <c r="O112" s="77" t="e">
        <f>IF(D$16=1,_xll.xCalcSkew($A112,P112-AZ112,b)/100,0)</f>
        <v>#DIV/0!</v>
      </c>
      <c r="P112" s="98">
        <f t="shared" si="88"/>
        <v>2.5</v>
      </c>
      <c r="R112" s="97">
        <f t="shared" si="89"/>
        <v>-2.2499999999999999E-2</v>
      </c>
      <c r="S112" s="100">
        <f t="shared" si="90"/>
        <v>1</v>
      </c>
      <c r="T112" s="99">
        <f t="shared" ca="1" si="152"/>
        <v>2491</v>
      </c>
      <c r="U112" s="175" t="e">
        <f t="shared" si="153"/>
        <v>#DIV/0!</v>
      </c>
      <c r="V112" s="77" t="e">
        <f>IF(F$16=1,_xll.xCalcSkew($A112,W112-BK112,b)/100,0)</f>
        <v>#DIV/0!</v>
      </c>
      <c r="W112" s="98">
        <f t="shared" si="93"/>
        <v>2.5</v>
      </c>
      <c r="X112" s="99"/>
      <c r="Y112" s="97">
        <f t="shared" si="94"/>
        <v>-2.2499999999999999E-2</v>
      </c>
      <c r="Z112" s="100">
        <f t="shared" si="95"/>
        <v>1</v>
      </c>
      <c r="AA112" s="99">
        <f t="shared" ca="1" si="154"/>
        <v>2491</v>
      </c>
      <c r="AB112" s="77" t="e">
        <f t="shared" si="155"/>
        <v>#DIV/0!</v>
      </c>
      <c r="AC112" s="77" t="e">
        <f>IF(H$16=1,_xll.xCalcSkew($A112,AD112-BV112,b)/100,0)</f>
        <v>#DIV/0!</v>
      </c>
      <c r="AD112" s="98">
        <f t="shared" si="98"/>
        <v>2.4900000000000002</v>
      </c>
      <c r="AF112" s="99">
        <f t="shared" ca="1" si="127"/>
        <v>2491</v>
      </c>
      <c r="AG112" s="99">
        <f t="shared" ca="1" si="128"/>
        <v>2490</v>
      </c>
      <c r="AH112" s="77">
        <f t="shared" si="129"/>
        <v>5.5314896077653899E-2</v>
      </c>
      <c r="AI112" s="154">
        <f t="shared" si="99"/>
        <v>30</v>
      </c>
      <c r="AL112" s="99"/>
      <c r="AM112" s="78"/>
      <c r="AN112" s="78">
        <f t="shared" si="156"/>
        <v>0</v>
      </c>
      <c r="AO112" s="303" t="e">
        <f t="shared" si="157"/>
        <v>#DIV/0!</v>
      </c>
      <c r="AP112" s="75">
        <f t="shared" si="101"/>
        <v>0</v>
      </c>
      <c r="AQ112" s="102">
        <f t="shared" si="102"/>
        <v>0</v>
      </c>
      <c r="AR112" s="101">
        <f t="shared" si="158"/>
        <v>0</v>
      </c>
      <c r="AS112" s="101">
        <f t="shared" si="159"/>
        <v>0</v>
      </c>
      <c r="AT112" s="101">
        <f t="shared" si="160"/>
        <v>0</v>
      </c>
      <c r="AU112" s="103">
        <f t="shared" si="161"/>
        <v>0</v>
      </c>
      <c r="AV112" s="103">
        <f t="shared" si="162"/>
        <v>0</v>
      </c>
      <c r="AW112" s="103">
        <f t="shared" si="163"/>
        <v>0</v>
      </c>
      <c r="AY112" s="78">
        <f t="shared" si="164"/>
        <v>0</v>
      </c>
      <c r="AZ112" s="303" t="e">
        <f t="shared" si="165"/>
        <v>#DIV/0!</v>
      </c>
      <c r="BA112" s="75">
        <f t="shared" si="106"/>
        <v>0</v>
      </c>
      <c r="BB112" s="102">
        <f t="shared" si="107"/>
        <v>0</v>
      </c>
      <c r="BC112" s="101">
        <f t="shared" si="166"/>
        <v>0</v>
      </c>
      <c r="BD112" s="101">
        <f t="shared" si="167"/>
        <v>0</v>
      </c>
      <c r="BE112" s="101">
        <f t="shared" si="168"/>
        <v>0</v>
      </c>
      <c r="BF112" s="103">
        <f t="shared" si="169"/>
        <v>0</v>
      </c>
      <c r="BG112" s="103">
        <f t="shared" si="170"/>
        <v>0</v>
      </c>
      <c r="BH112" s="103">
        <f t="shared" si="171"/>
        <v>0</v>
      </c>
      <c r="BJ112" s="78">
        <f t="shared" si="172"/>
        <v>0</v>
      </c>
      <c r="BK112" s="303" t="e">
        <f t="shared" si="173"/>
        <v>#DIV/0!</v>
      </c>
      <c r="BL112" s="75">
        <f t="shared" si="112"/>
        <v>0</v>
      </c>
      <c r="BM112" s="102">
        <f t="shared" si="113"/>
        <v>0</v>
      </c>
      <c r="BN112" s="101">
        <f t="shared" si="174"/>
        <v>0</v>
      </c>
      <c r="BO112" s="101">
        <f t="shared" si="175"/>
        <v>0</v>
      </c>
      <c r="BP112" s="101">
        <f t="shared" si="176"/>
        <v>0</v>
      </c>
      <c r="BQ112" s="103">
        <f t="shared" si="177"/>
        <v>0</v>
      </c>
      <c r="BR112" s="103">
        <f t="shared" si="178"/>
        <v>0</v>
      </c>
      <c r="BS112" s="103">
        <f t="shared" si="179"/>
        <v>0</v>
      </c>
      <c r="BU112" s="78">
        <f t="shared" si="180"/>
        <v>0</v>
      </c>
      <c r="BV112" s="303" t="e">
        <f t="shared" si="181"/>
        <v>#DIV/0!</v>
      </c>
      <c r="BW112" s="75">
        <f t="shared" si="118"/>
        <v>0</v>
      </c>
      <c r="BX112" s="102">
        <f t="shared" si="119"/>
        <v>0</v>
      </c>
      <c r="BY112" s="101">
        <f t="shared" si="182"/>
        <v>0</v>
      </c>
      <c r="BZ112" s="101">
        <f t="shared" si="183"/>
        <v>0</v>
      </c>
      <c r="CA112" s="101">
        <f t="shared" si="184"/>
        <v>0</v>
      </c>
      <c r="CB112" s="103">
        <f t="shared" si="185"/>
        <v>0</v>
      </c>
      <c r="CC112" s="103">
        <f t="shared" si="186"/>
        <v>0</v>
      </c>
      <c r="CD112" s="103">
        <f t="shared" si="187"/>
        <v>0</v>
      </c>
    </row>
    <row r="113" spans="1:82" x14ac:dyDescent="0.2">
      <c r="A113" s="96">
        <f t="shared" si="147"/>
        <v>39783</v>
      </c>
      <c r="B113" s="97">
        <f t="shared" si="124"/>
        <v>3.9125000000000001</v>
      </c>
      <c r="C113" s="77">
        <f t="shared" si="148"/>
        <v>0.23</v>
      </c>
      <c r="D113" s="97">
        <f t="shared" si="80"/>
        <v>0</v>
      </c>
      <c r="E113" s="100">
        <f t="shared" si="81"/>
        <v>1</v>
      </c>
      <c r="F113" s="99">
        <f t="shared" ca="1" si="126"/>
        <v>2517</v>
      </c>
      <c r="G113" s="77" t="e">
        <f t="shared" si="149"/>
        <v>#DIV/0!</v>
      </c>
      <c r="H113" s="77" t="e">
        <f>IF(B$16=1,_xll.xCalcSkew(A113,I113-AO113,b)/100,0)</f>
        <v>#DIV/0!</v>
      </c>
      <c r="I113" s="98">
        <f t="shared" si="83"/>
        <v>4</v>
      </c>
      <c r="K113" s="97">
        <f t="shared" si="84"/>
        <v>-4.4999999999999998E-2</v>
      </c>
      <c r="L113" s="100">
        <f t="shared" si="85"/>
        <v>1</v>
      </c>
      <c r="M113" s="99">
        <f t="shared" ca="1" si="150"/>
        <v>2518</v>
      </c>
      <c r="N113" s="175" t="e">
        <f t="shared" si="151"/>
        <v>#DIV/0!</v>
      </c>
      <c r="O113" s="77" t="e">
        <f>IF(D$16=1,_xll.xCalcSkew($A113,P113-AZ113,b)/100,0)</f>
        <v>#DIV/0!</v>
      </c>
      <c r="P113" s="98">
        <f t="shared" si="88"/>
        <v>2.5</v>
      </c>
      <c r="R113" s="97">
        <f t="shared" si="89"/>
        <v>-4.4999999999999998E-2</v>
      </c>
      <c r="S113" s="100">
        <f t="shared" si="90"/>
        <v>1</v>
      </c>
      <c r="T113" s="99">
        <f t="shared" ca="1" si="152"/>
        <v>2518</v>
      </c>
      <c r="U113" s="175" t="e">
        <f t="shared" si="153"/>
        <v>#DIV/0!</v>
      </c>
      <c r="V113" s="77" t="e">
        <f>IF(F$16=1,_xll.xCalcSkew($A113,W113-BK113,b)/100,0)</f>
        <v>#DIV/0!</v>
      </c>
      <c r="W113" s="98">
        <f t="shared" si="93"/>
        <v>2.5</v>
      </c>
      <c r="X113" s="99"/>
      <c r="Y113" s="97">
        <f t="shared" si="94"/>
        <v>-4.4999999999999998E-2</v>
      </c>
      <c r="Z113" s="100">
        <f t="shared" si="95"/>
        <v>1</v>
      </c>
      <c r="AA113" s="99">
        <f t="shared" ca="1" si="154"/>
        <v>2518</v>
      </c>
      <c r="AB113" s="77" t="e">
        <f t="shared" si="155"/>
        <v>#DIV/0!</v>
      </c>
      <c r="AC113" s="77" t="e">
        <f>IF(H$16=1,_xll.xCalcSkew($A113,AD113-BV113,b)/100,0)</f>
        <v>#DIV/0!</v>
      </c>
      <c r="AD113" s="98">
        <f t="shared" si="98"/>
        <v>2.4900000000000002</v>
      </c>
      <c r="AF113" s="99">
        <f t="shared" ca="1" si="127"/>
        <v>2518</v>
      </c>
      <c r="AG113" s="99">
        <f t="shared" ca="1" si="128"/>
        <v>2517</v>
      </c>
      <c r="AH113" s="77">
        <f t="shared" si="129"/>
        <v>5.5490554635397898E-2</v>
      </c>
      <c r="AI113" s="154">
        <f t="shared" si="99"/>
        <v>31</v>
      </c>
      <c r="AL113" s="99"/>
      <c r="AM113" s="78"/>
      <c r="AN113" s="78">
        <f t="shared" si="156"/>
        <v>0</v>
      </c>
      <c r="AO113" s="303" t="e">
        <f t="shared" si="157"/>
        <v>#DIV/0!</v>
      </c>
      <c r="AP113" s="75">
        <f t="shared" si="101"/>
        <v>0</v>
      </c>
      <c r="AQ113" s="102">
        <f t="shared" si="102"/>
        <v>0</v>
      </c>
      <c r="AR113" s="101">
        <f t="shared" si="158"/>
        <v>0</v>
      </c>
      <c r="AS113" s="101">
        <f t="shared" si="159"/>
        <v>0</v>
      </c>
      <c r="AT113" s="101">
        <f t="shared" si="160"/>
        <v>0</v>
      </c>
      <c r="AU113" s="103">
        <f t="shared" si="161"/>
        <v>0</v>
      </c>
      <c r="AV113" s="103">
        <f t="shared" si="162"/>
        <v>0</v>
      </c>
      <c r="AW113" s="103">
        <f t="shared" si="163"/>
        <v>0</v>
      </c>
      <c r="AY113" s="78">
        <f t="shared" si="164"/>
        <v>0</v>
      </c>
      <c r="AZ113" s="303" t="e">
        <f t="shared" si="165"/>
        <v>#DIV/0!</v>
      </c>
      <c r="BA113" s="75">
        <f t="shared" si="106"/>
        <v>0</v>
      </c>
      <c r="BB113" s="102">
        <f t="shared" si="107"/>
        <v>0</v>
      </c>
      <c r="BC113" s="101">
        <f t="shared" si="166"/>
        <v>0</v>
      </c>
      <c r="BD113" s="101">
        <f t="shared" si="167"/>
        <v>0</v>
      </c>
      <c r="BE113" s="101">
        <f t="shared" si="168"/>
        <v>0</v>
      </c>
      <c r="BF113" s="103">
        <f t="shared" si="169"/>
        <v>0</v>
      </c>
      <c r="BG113" s="103">
        <f t="shared" si="170"/>
        <v>0</v>
      </c>
      <c r="BH113" s="103">
        <f t="shared" si="171"/>
        <v>0</v>
      </c>
      <c r="BJ113" s="78">
        <f t="shared" si="172"/>
        <v>0</v>
      </c>
      <c r="BK113" s="303" t="e">
        <f t="shared" si="173"/>
        <v>#DIV/0!</v>
      </c>
      <c r="BL113" s="75">
        <f t="shared" si="112"/>
        <v>0</v>
      </c>
      <c r="BM113" s="102">
        <f t="shared" si="113"/>
        <v>0</v>
      </c>
      <c r="BN113" s="101">
        <f t="shared" si="174"/>
        <v>0</v>
      </c>
      <c r="BO113" s="101">
        <f t="shared" si="175"/>
        <v>0</v>
      </c>
      <c r="BP113" s="101">
        <f t="shared" si="176"/>
        <v>0</v>
      </c>
      <c r="BQ113" s="103">
        <f t="shared" si="177"/>
        <v>0</v>
      </c>
      <c r="BR113" s="103">
        <f t="shared" si="178"/>
        <v>0</v>
      </c>
      <c r="BS113" s="103">
        <f t="shared" si="179"/>
        <v>0</v>
      </c>
      <c r="BU113" s="78">
        <f t="shared" si="180"/>
        <v>0</v>
      </c>
      <c r="BV113" s="303" t="e">
        <f t="shared" si="181"/>
        <v>#DIV/0!</v>
      </c>
      <c r="BW113" s="75">
        <f t="shared" si="118"/>
        <v>0</v>
      </c>
      <c r="BX113" s="102">
        <f t="shared" si="119"/>
        <v>0</v>
      </c>
      <c r="BY113" s="101">
        <f t="shared" si="182"/>
        <v>0</v>
      </c>
      <c r="BZ113" s="101">
        <f t="shared" si="183"/>
        <v>0</v>
      </c>
      <c r="CA113" s="101">
        <f t="shared" si="184"/>
        <v>0</v>
      </c>
      <c r="CB113" s="103">
        <f t="shared" si="185"/>
        <v>0</v>
      </c>
      <c r="CC113" s="103">
        <f t="shared" si="186"/>
        <v>0</v>
      </c>
      <c r="CD113" s="103">
        <f t="shared" si="187"/>
        <v>0</v>
      </c>
    </row>
    <row r="114" spans="1:82" x14ac:dyDescent="0.2">
      <c r="A114" s="96">
        <f t="shared" si="147"/>
        <v>39814</v>
      </c>
      <c r="B114" s="97">
        <f t="shared" si="124"/>
        <v>3.9649999999999999</v>
      </c>
      <c r="C114" s="77">
        <f t="shared" si="148"/>
        <v>0.23</v>
      </c>
      <c r="D114" s="97">
        <f t="shared" si="80"/>
        <v>0</v>
      </c>
      <c r="E114" s="100">
        <f t="shared" si="81"/>
        <v>1</v>
      </c>
      <c r="F114" s="99">
        <f t="shared" ca="1" si="126"/>
        <v>2549</v>
      </c>
      <c r="G114" s="77" t="e">
        <f t="shared" si="149"/>
        <v>#DIV/0!</v>
      </c>
      <c r="H114" s="77" t="e">
        <f>IF(B$16=1,_xll.xCalcSkew(A114,I114-AO114,b)/100,0)</f>
        <v>#DIV/0!</v>
      </c>
      <c r="I114" s="98">
        <f t="shared" si="83"/>
        <v>4</v>
      </c>
      <c r="K114" s="97">
        <f t="shared" si="84"/>
        <v>-4.7500000000000001E-2</v>
      </c>
      <c r="L114" s="100">
        <f t="shared" si="85"/>
        <v>1</v>
      </c>
      <c r="M114" s="99">
        <f t="shared" ca="1" si="150"/>
        <v>2552</v>
      </c>
      <c r="N114" s="175" t="e">
        <f t="shared" si="151"/>
        <v>#DIV/0!</v>
      </c>
      <c r="O114" s="77" t="e">
        <f>IF(D$16=1,_xll.xCalcSkew($A114,P114-AZ114,b)/100,0)</f>
        <v>#DIV/0!</v>
      </c>
      <c r="P114" s="98">
        <f t="shared" si="88"/>
        <v>2.5</v>
      </c>
      <c r="R114" s="97">
        <f t="shared" si="89"/>
        <v>-4.7500000000000001E-2</v>
      </c>
      <c r="S114" s="100">
        <f t="shared" si="90"/>
        <v>1</v>
      </c>
      <c r="T114" s="99">
        <f t="shared" ca="1" si="152"/>
        <v>2552</v>
      </c>
      <c r="U114" s="175" t="e">
        <f t="shared" si="153"/>
        <v>#DIV/0!</v>
      </c>
      <c r="V114" s="77" t="e">
        <f>IF(F$16=1,_xll.xCalcSkew($A114,W114-BK114,b)/100,0)</f>
        <v>#DIV/0!</v>
      </c>
      <c r="W114" s="98">
        <f t="shared" si="93"/>
        <v>2.5</v>
      </c>
      <c r="X114" s="99"/>
      <c r="Y114" s="97">
        <f t="shared" si="94"/>
        <v>-4.7500000000000001E-2</v>
      </c>
      <c r="Z114" s="100">
        <f t="shared" si="95"/>
        <v>1</v>
      </c>
      <c r="AA114" s="99">
        <f t="shared" ca="1" si="154"/>
        <v>2552</v>
      </c>
      <c r="AB114" s="77" t="e">
        <f t="shared" si="155"/>
        <v>#DIV/0!</v>
      </c>
      <c r="AC114" s="77" t="e">
        <f>IF(H$16=1,_xll.xCalcSkew($A114,AD114-BV114,b)/100,0)</f>
        <v>#DIV/0!</v>
      </c>
      <c r="AD114" s="98">
        <f t="shared" si="98"/>
        <v>2.4900000000000002</v>
      </c>
      <c r="AF114" s="99">
        <f t="shared" ca="1" si="127"/>
        <v>2552</v>
      </c>
      <c r="AG114" s="99">
        <f t="shared" ca="1" si="128"/>
        <v>2549</v>
      </c>
      <c r="AH114" s="77">
        <f t="shared" si="129"/>
        <v>5.5629285809112097E-2</v>
      </c>
      <c r="AI114" s="154">
        <f t="shared" si="99"/>
        <v>31</v>
      </c>
      <c r="AL114" s="99"/>
      <c r="AM114" s="78"/>
      <c r="AN114" s="78">
        <f t="shared" si="156"/>
        <v>0</v>
      </c>
      <c r="AO114" s="303" t="e">
        <f t="shared" si="157"/>
        <v>#DIV/0!</v>
      </c>
      <c r="AP114" s="75">
        <f t="shared" si="101"/>
        <v>0</v>
      </c>
      <c r="AQ114" s="102">
        <f t="shared" si="102"/>
        <v>0</v>
      </c>
      <c r="AR114" s="101">
        <f t="shared" si="158"/>
        <v>0</v>
      </c>
      <c r="AS114" s="101">
        <f t="shared" si="159"/>
        <v>0</v>
      </c>
      <c r="AT114" s="101">
        <f t="shared" si="160"/>
        <v>0</v>
      </c>
      <c r="AU114" s="103">
        <f t="shared" si="161"/>
        <v>0</v>
      </c>
      <c r="AV114" s="103">
        <f t="shared" si="162"/>
        <v>0</v>
      </c>
      <c r="AW114" s="103">
        <f t="shared" si="163"/>
        <v>0</v>
      </c>
      <c r="AY114" s="78">
        <f t="shared" si="164"/>
        <v>0</v>
      </c>
      <c r="AZ114" s="303" t="e">
        <f t="shared" si="165"/>
        <v>#DIV/0!</v>
      </c>
      <c r="BA114" s="75">
        <f t="shared" si="106"/>
        <v>0</v>
      </c>
      <c r="BB114" s="102">
        <f t="shared" si="107"/>
        <v>0</v>
      </c>
      <c r="BC114" s="101">
        <f t="shared" si="166"/>
        <v>0</v>
      </c>
      <c r="BD114" s="101">
        <f t="shared" si="167"/>
        <v>0</v>
      </c>
      <c r="BE114" s="101">
        <f t="shared" si="168"/>
        <v>0</v>
      </c>
      <c r="BF114" s="103">
        <f t="shared" si="169"/>
        <v>0</v>
      </c>
      <c r="BG114" s="103">
        <f t="shared" si="170"/>
        <v>0</v>
      </c>
      <c r="BH114" s="103">
        <f t="shared" si="171"/>
        <v>0</v>
      </c>
      <c r="BJ114" s="78">
        <f t="shared" si="172"/>
        <v>0</v>
      </c>
      <c r="BK114" s="303" t="e">
        <f t="shared" si="173"/>
        <v>#DIV/0!</v>
      </c>
      <c r="BL114" s="75">
        <f t="shared" si="112"/>
        <v>0</v>
      </c>
      <c r="BM114" s="102">
        <f t="shared" si="113"/>
        <v>0</v>
      </c>
      <c r="BN114" s="101">
        <f t="shared" si="174"/>
        <v>0</v>
      </c>
      <c r="BO114" s="101">
        <f t="shared" si="175"/>
        <v>0</v>
      </c>
      <c r="BP114" s="101">
        <f t="shared" si="176"/>
        <v>0</v>
      </c>
      <c r="BQ114" s="103">
        <f t="shared" si="177"/>
        <v>0</v>
      </c>
      <c r="BR114" s="103">
        <f t="shared" si="178"/>
        <v>0</v>
      </c>
      <c r="BS114" s="103">
        <f t="shared" si="179"/>
        <v>0</v>
      </c>
      <c r="BU114" s="78">
        <f t="shared" si="180"/>
        <v>0</v>
      </c>
      <c r="BV114" s="303" t="e">
        <f t="shared" si="181"/>
        <v>#DIV/0!</v>
      </c>
      <c r="BW114" s="75">
        <f t="shared" si="118"/>
        <v>0</v>
      </c>
      <c r="BX114" s="102">
        <f t="shared" si="119"/>
        <v>0</v>
      </c>
      <c r="BY114" s="101">
        <f t="shared" si="182"/>
        <v>0</v>
      </c>
      <c r="BZ114" s="101">
        <f t="shared" si="183"/>
        <v>0</v>
      </c>
      <c r="CA114" s="101">
        <f t="shared" si="184"/>
        <v>0</v>
      </c>
      <c r="CB114" s="103">
        <f t="shared" si="185"/>
        <v>0</v>
      </c>
      <c r="CC114" s="103">
        <f t="shared" si="186"/>
        <v>0</v>
      </c>
      <c r="CD114" s="103">
        <f t="shared" si="187"/>
        <v>0</v>
      </c>
    </row>
    <row r="115" spans="1:82" x14ac:dyDescent="0.2">
      <c r="A115" s="96">
        <f t="shared" si="147"/>
        <v>39845</v>
      </c>
      <c r="B115" s="97">
        <f t="shared" si="124"/>
        <v>3.88</v>
      </c>
      <c r="C115" s="77">
        <f t="shared" si="148"/>
        <v>0.22750000000000001</v>
      </c>
      <c r="D115" s="97">
        <f t="shared" si="80"/>
        <v>0</v>
      </c>
      <c r="E115" s="100">
        <f t="shared" si="81"/>
        <v>1</v>
      </c>
      <c r="F115" s="99">
        <f t="shared" ca="1" si="126"/>
        <v>2581</v>
      </c>
      <c r="G115" s="77" t="e">
        <f t="shared" si="149"/>
        <v>#DIV/0!</v>
      </c>
      <c r="H115" s="77" t="e">
        <f>IF(B$16=1,_xll.xCalcSkew(A115,I115-AO115,b)/100,0)</f>
        <v>#DIV/0!</v>
      </c>
      <c r="I115" s="98">
        <f t="shared" si="83"/>
        <v>4</v>
      </c>
      <c r="K115" s="97">
        <f t="shared" si="84"/>
        <v>-0.03</v>
      </c>
      <c r="L115" s="100">
        <f t="shared" si="85"/>
        <v>1</v>
      </c>
      <c r="M115" s="99">
        <f t="shared" ca="1" si="150"/>
        <v>2582</v>
      </c>
      <c r="N115" s="175" t="e">
        <f t="shared" si="151"/>
        <v>#DIV/0!</v>
      </c>
      <c r="O115" s="77" t="e">
        <f>IF(D$16=1,_xll.xCalcSkew($A115,P115-AZ115,b)/100,0)</f>
        <v>#DIV/0!</v>
      </c>
      <c r="P115" s="98">
        <f t="shared" si="88"/>
        <v>2.5</v>
      </c>
      <c r="R115" s="97">
        <f t="shared" si="89"/>
        <v>-0.03</v>
      </c>
      <c r="S115" s="100">
        <f t="shared" si="90"/>
        <v>1</v>
      </c>
      <c r="T115" s="99">
        <f t="shared" ca="1" si="152"/>
        <v>2582</v>
      </c>
      <c r="U115" s="175" t="e">
        <f t="shared" si="153"/>
        <v>#DIV/0!</v>
      </c>
      <c r="V115" s="77" t="e">
        <f>IF(F$16=1,_xll.xCalcSkew($A115,W115-BK115,b)/100,0)</f>
        <v>#DIV/0!</v>
      </c>
      <c r="W115" s="98">
        <f t="shared" si="93"/>
        <v>2.5</v>
      </c>
      <c r="X115" s="99"/>
      <c r="Y115" s="97">
        <f t="shared" si="94"/>
        <v>-0.03</v>
      </c>
      <c r="Z115" s="100">
        <f t="shared" si="95"/>
        <v>1</v>
      </c>
      <c r="AA115" s="99">
        <f t="shared" ca="1" si="154"/>
        <v>2582</v>
      </c>
      <c r="AB115" s="77" t="e">
        <f t="shared" si="155"/>
        <v>#DIV/0!</v>
      </c>
      <c r="AC115" s="77" t="e">
        <f>IF(H$16=1,_xll.xCalcSkew($A115,AD115-BV115,b)/100,0)</f>
        <v>#DIV/0!</v>
      </c>
      <c r="AD115" s="98">
        <f t="shared" si="98"/>
        <v>2.4900000000000002</v>
      </c>
      <c r="AF115" s="99">
        <f t="shared" ca="1" si="127"/>
        <v>2582</v>
      </c>
      <c r="AG115" s="99">
        <f t="shared" ca="1" si="128"/>
        <v>2581</v>
      </c>
      <c r="AH115" s="77">
        <f t="shared" si="129"/>
        <v>5.5732784192703999E-2</v>
      </c>
      <c r="AI115" s="154">
        <f t="shared" si="99"/>
        <v>28</v>
      </c>
      <c r="AL115" s="99"/>
      <c r="AM115" s="78"/>
      <c r="AN115" s="78">
        <f t="shared" si="156"/>
        <v>0</v>
      </c>
      <c r="AO115" s="303" t="e">
        <f t="shared" si="157"/>
        <v>#DIV/0!</v>
      </c>
      <c r="AP115" s="75">
        <f t="shared" si="101"/>
        <v>0</v>
      </c>
      <c r="AQ115" s="102">
        <f t="shared" si="102"/>
        <v>0</v>
      </c>
      <c r="AR115" s="101">
        <f t="shared" si="158"/>
        <v>0</v>
      </c>
      <c r="AS115" s="101">
        <f t="shared" si="159"/>
        <v>0</v>
      </c>
      <c r="AT115" s="101">
        <f t="shared" si="160"/>
        <v>0</v>
      </c>
      <c r="AU115" s="103">
        <f t="shared" si="161"/>
        <v>0</v>
      </c>
      <c r="AV115" s="103">
        <f t="shared" si="162"/>
        <v>0</v>
      </c>
      <c r="AW115" s="103">
        <f t="shared" si="163"/>
        <v>0</v>
      </c>
      <c r="AY115" s="78">
        <f t="shared" si="164"/>
        <v>0</v>
      </c>
      <c r="AZ115" s="303" t="e">
        <f t="shared" si="165"/>
        <v>#DIV/0!</v>
      </c>
      <c r="BA115" s="75">
        <f t="shared" si="106"/>
        <v>0</v>
      </c>
      <c r="BB115" s="102">
        <f t="shared" si="107"/>
        <v>0</v>
      </c>
      <c r="BC115" s="101">
        <f t="shared" si="166"/>
        <v>0</v>
      </c>
      <c r="BD115" s="101">
        <f t="shared" si="167"/>
        <v>0</v>
      </c>
      <c r="BE115" s="101">
        <f t="shared" si="168"/>
        <v>0</v>
      </c>
      <c r="BF115" s="103">
        <f t="shared" si="169"/>
        <v>0</v>
      </c>
      <c r="BG115" s="103">
        <f t="shared" si="170"/>
        <v>0</v>
      </c>
      <c r="BH115" s="103">
        <f t="shared" si="171"/>
        <v>0</v>
      </c>
      <c r="BJ115" s="78">
        <f t="shared" si="172"/>
        <v>0</v>
      </c>
      <c r="BK115" s="303" t="e">
        <f t="shared" si="173"/>
        <v>#DIV/0!</v>
      </c>
      <c r="BL115" s="75">
        <f t="shared" si="112"/>
        <v>0</v>
      </c>
      <c r="BM115" s="102">
        <f t="shared" si="113"/>
        <v>0</v>
      </c>
      <c r="BN115" s="101">
        <f t="shared" si="174"/>
        <v>0</v>
      </c>
      <c r="BO115" s="101">
        <f t="shared" si="175"/>
        <v>0</v>
      </c>
      <c r="BP115" s="101">
        <f t="shared" si="176"/>
        <v>0</v>
      </c>
      <c r="BQ115" s="103">
        <f t="shared" si="177"/>
        <v>0</v>
      </c>
      <c r="BR115" s="103">
        <f t="shared" si="178"/>
        <v>0</v>
      </c>
      <c r="BS115" s="103">
        <f t="shared" si="179"/>
        <v>0</v>
      </c>
      <c r="BU115" s="78">
        <f t="shared" si="180"/>
        <v>0</v>
      </c>
      <c r="BV115" s="303" t="e">
        <f t="shared" si="181"/>
        <v>#DIV/0!</v>
      </c>
      <c r="BW115" s="75">
        <f t="shared" si="118"/>
        <v>0</v>
      </c>
      <c r="BX115" s="102">
        <f t="shared" si="119"/>
        <v>0</v>
      </c>
      <c r="BY115" s="101">
        <f t="shared" si="182"/>
        <v>0</v>
      </c>
      <c r="BZ115" s="101">
        <f t="shared" si="183"/>
        <v>0</v>
      </c>
      <c r="CA115" s="101">
        <f t="shared" si="184"/>
        <v>0</v>
      </c>
      <c r="CB115" s="103">
        <f t="shared" si="185"/>
        <v>0</v>
      </c>
      <c r="CC115" s="103">
        <f t="shared" si="186"/>
        <v>0</v>
      </c>
      <c r="CD115" s="103">
        <f t="shared" si="187"/>
        <v>0</v>
      </c>
    </row>
    <row r="116" spans="1:82" x14ac:dyDescent="0.2">
      <c r="A116" s="96">
        <f t="shared" si="147"/>
        <v>39873</v>
      </c>
      <c r="B116" s="97">
        <f t="shared" si="124"/>
        <v>3.75</v>
      </c>
      <c r="C116" s="77">
        <f t="shared" si="148"/>
        <v>0.22</v>
      </c>
      <c r="D116" s="97">
        <f t="shared" si="80"/>
        <v>0</v>
      </c>
      <c r="E116" s="100">
        <f t="shared" si="81"/>
        <v>1</v>
      </c>
      <c r="F116" s="99">
        <f t="shared" ca="1" si="126"/>
        <v>2609</v>
      </c>
      <c r="G116" s="77" t="e">
        <f t="shared" si="149"/>
        <v>#DIV/0!</v>
      </c>
      <c r="H116" s="77" t="e">
        <f>IF(B$16=1,_xll.xCalcSkew(A116,I116-AO116,b)/100,0)</f>
        <v>#DIV/0!</v>
      </c>
      <c r="I116" s="98">
        <f t="shared" si="83"/>
        <v>4</v>
      </c>
      <c r="K116" s="97">
        <f t="shared" si="84"/>
        <v>-1.7500000000000002E-2</v>
      </c>
      <c r="L116" s="100">
        <f t="shared" si="85"/>
        <v>1</v>
      </c>
      <c r="M116" s="99">
        <f t="shared" ca="1" si="150"/>
        <v>2610</v>
      </c>
      <c r="N116" s="175" t="e">
        <f t="shared" si="151"/>
        <v>#DIV/0!</v>
      </c>
      <c r="O116" s="77" t="e">
        <f>IF(D$16=1,_xll.xCalcSkew($A116,P116-AZ116,b)/100,0)</f>
        <v>#DIV/0!</v>
      </c>
      <c r="P116" s="98">
        <f t="shared" si="88"/>
        <v>2.5</v>
      </c>
      <c r="R116" s="97">
        <f t="shared" si="89"/>
        <v>-1.7500000000000002E-2</v>
      </c>
      <c r="S116" s="100">
        <f t="shared" si="90"/>
        <v>1</v>
      </c>
      <c r="T116" s="99">
        <f t="shared" ca="1" si="152"/>
        <v>2610</v>
      </c>
      <c r="U116" s="175" t="e">
        <f t="shared" si="153"/>
        <v>#DIV/0!</v>
      </c>
      <c r="V116" s="77" t="e">
        <f>IF(F$16=1,_xll.xCalcSkew($A116,W116-BK116,b)/100,0)</f>
        <v>#DIV/0!</v>
      </c>
      <c r="W116" s="98">
        <f t="shared" si="93"/>
        <v>2.5</v>
      </c>
      <c r="X116" s="99"/>
      <c r="Y116" s="97">
        <f t="shared" si="94"/>
        <v>-1.7500000000000002E-2</v>
      </c>
      <c r="Z116" s="100">
        <f t="shared" si="95"/>
        <v>1</v>
      </c>
      <c r="AA116" s="99">
        <f t="shared" ca="1" si="154"/>
        <v>2610</v>
      </c>
      <c r="AB116" s="77" t="e">
        <f t="shared" si="155"/>
        <v>#DIV/0!</v>
      </c>
      <c r="AC116" s="77" t="e">
        <f>IF(H$16=1,_xll.xCalcSkew($A116,AD116-BV116,b)/100,0)</f>
        <v>#DIV/0!</v>
      </c>
      <c r="AD116" s="98">
        <f t="shared" si="98"/>
        <v>2.4900000000000002</v>
      </c>
      <c r="AF116" s="99">
        <f t="shared" ca="1" si="127"/>
        <v>2610</v>
      </c>
      <c r="AG116" s="99">
        <f t="shared" ca="1" si="128"/>
        <v>2609</v>
      </c>
      <c r="AH116" s="77">
        <f t="shared" si="129"/>
        <v>5.5826266606755499E-2</v>
      </c>
      <c r="AI116" s="154">
        <f t="shared" si="99"/>
        <v>31</v>
      </c>
      <c r="AL116" s="99"/>
      <c r="AM116" s="78"/>
      <c r="AN116" s="78">
        <f t="shared" si="156"/>
        <v>0</v>
      </c>
      <c r="AO116" s="303" t="e">
        <f t="shared" si="157"/>
        <v>#DIV/0!</v>
      </c>
      <c r="AP116" s="75">
        <f t="shared" si="101"/>
        <v>0</v>
      </c>
      <c r="AQ116" s="102">
        <f t="shared" si="102"/>
        <v>0</v>
      </c>
      <c r="AR116" s="101">
        <f t="shared" si="158"/>
        <v>0</v>
      </c>
      <c r="AS116" s="101">
        <f t="shared" si="159"/>
        <v>0</v>
      </c>
      <c r="AT116" s="101">
        <f t="shared" si="160"/>
        <v>0</v>
      </c>
      <c r="AU116" s="103">
        <f t="shared" si="161"/>
        <v>0</v>
      </c>
      <c r="AV116" s="103">
        <f t="shared" si="162"/>
        <v>0</v>
      </c>
      <c r="AW116" s="103">
        <f t="shared" si="163"/>
        <v>0</v>
      </c>
      <c r="AY116" s="78">
        <f t="shared" si="164"/>
        <v>0</v>
      </c>
      <c r="AZ116" s="303" t="e">
        <f t="shared" si="165"/>
        <v>#DIV/0!</v>
      </c>
      <c r="BA116" s="75">
        <f t="shared" si="106"/>
        <v>0</v>
      </c>
      <c r="BB116" s="102">
        <f t="shared" si="107"/>
        <v>0</v>
      </c>
      <c r="BC116" s="101">
        <f t="shared" si="166"/>
        <v>0</v>
      </c>
      <c r="BD116" s="101">
        <f t="shared" si="167"/>
        <v>0</v>
      </c>
      <c r="BE116" s="101">
        <f t="shared" si="168"/>
        <v>0</v>
      </c>
      <c r="BF116" s="103">
        <f t="shared" si="169"/>
        <v>0</v>
      </c>
      <c r="BG116" s="103">
        <f t="shared" si="170"/>
        <v>0</v>
      </c>
      <c r="BH116" s="103">
        <f t="shared" si="171"/>
        <v>0</v>
      </c>
      <c r="BJ116" s="78">
        <f t="shared" si="172"/>
        <v>0</v>
      </c>
      <c r="BK116" s="303" t="e">
        <f t="shared" si="173"/>
        <v>#DIV/0!</v>
      </c>
      <c r="BL116" s="75">
        <f t="shared" si="112"/>
        <v>0</v>
      </c>
      <c r="BM116" s="102">
        <f t="shared" si="113"/>
        <v>0</v>
      </c>
      <c r="BN116" s="101">
        <f t="shared" si="174"/>
        <v>0</v>
      </c>
      <c r="BO116" s="101">
        <f t="shared" si="175"/>
        <v>0</v>
      </c>
      <c r="BP116" s="101">
        <f t="shared" si="176"/>
        <v>0</v>
      </c>
      <c r="BQ116" s="103">
        <f t="shared" si="177"/>
        <v>0</v>
      </c>
      <c r="BR116" s="103">
        <f t="shared" si="178"/>
        <v>0</v>
      </c>
      <c r="BS116" s="103">
        <f t="shared" si="179"/>
        <v>0</v>
      </c>
      <c r="BU116" s="78">
        <f t="shared" si="180"/>
        <v>0</v>
      </c>
      <c r="BV116" s="303" t="e">
        <f t="shared" si="181"/>
        <v>#DIV/0!</v>
      </c>
      <c r="BW116" s="75">
        <f t="shared" si="118"/>
        <v>0</v>
      </c>
      <c r="BX116" s="102">
        <f t="shared" si="119"/>
        <v>0</v>
      </c>
      <c r="BY116" s="101">
        <f t="shared" si="182"/>
        <v>0</v>
      </c>
      <c r="BZ116" s="101">
        <f t="shared" si="183"/>
        <v>0</v>
      </c>
      <c r="CA116" s="101">
        <f t="shared" si="184"/>
        <v>0</v>
      </c>
      <c r="CB116" s="103">
        <f t="shared" si="185"/>
        <v>0</v>
      </c>
      <c r="CC116" s="103">
        <f t="shared" si="186"/>
        <v>0</v>
      </c>
      <c r="CD116" s="103">
        <f t="shared" si="187"/>
        <v>0</v>
      </c>
    </row>
    <row r="117" spans="1:82" x14ac:dyDescent="0.2">
      <c r="A117" s="96">
        <f t="shared" si="147"/>
        <v>39904</v>
      </c>
      <c r="B117" s="97">
        <f t="shared" si="124"/>
        <v>3.5649999999999999</v>
      </c>
      <c r="C117" s="77">
        <f t="shared" si="148"/>
        <v>0.20250000000000001</v>
      </c>
      <c r="D117" s="97">
        <f t="shared" si="80"/>
        <v>0</v>
      </c>
      <c r="E117" s="100">
        <f t="shared" si="81"/>
        <v>1</v>
      </c>
      <c r="F117" s="99">
        <f t="shared" ca="1" si="126"/>
        <v>2639</v>
      </c>
      <c r="G117" s="77" t="e">
        <f t="shared" si="149"/>
        <v>#DIV/0!</v>
      </c>
      <c r="H117" s="77" t="e">
        <f>IF(B$16=1,_xll.xCalcSkew(A117,I117-AO117,b)/100,0)</f>
        <v>#DIV/0!</v>
      </c>
      <c r="I117" s="98">
        <f t="shared" si="83"/>
        <v>4</v>
      </c>
      <c r="K117" s="97">
        <f t="shared" si="84"/>
        <v>0.02</v>
      </c>
      <c r="L117" s="100">
        <f t="shared" si="85"/>
        <v>1</v>
      </c>
      <c r="M117" s="99">
        <f t="shared" ca="1" si="150"/>
        <v>2640</v>
      </c>
      <c r="N117" s="175" t="e">
        <f t="shared" si="151"/>
        <v>#DIV/0!</v>
      </c>
      <c r="O117" s="77" t="e">
        <f>IF(D$16=1,_xll.xCalcSkew($A117,P117-AZ117,b)/100,0)</f>
        <v>#DIV/0!</v>
      </c>
      <c r="P117" s="98">
        <f t="shared" si="88"/>
        <v>2.5</v>
      </c>
      <c r="R117" s="97">
        <f t="shared" si="89"/>
        <v>0.02</v>
      </c>
      <c r="S117" s="100">
        <f t="shared" si="90"/>
        <v>1</v>
      </c>
      <c r="T117" s="99">
        <f t="shared" ca="1" si="152"/>
        <v>2640</v>
      </c>
      <c r="U117" s="175" t="e">
        <f t="shared" si="153"/>
        <v>#DIV/0!</v>
      </c>
      <c r="V117" s="77" t="e">
        <f>IF(F$16=1,_xll.xCalcSkew($A117,W117-BK117,b)/100,0)</f>
        <v>#DIV/0!</v>
      </c>
      <c r="W117" s="98">
        <f t="shared" si="93"/>
        <v>2.5</v>
      </c>
      <c r="X117" s="99"/>
      <c r="Y117" s="97">
        <f t="shared" si="94"/>
        <v>0.02</v>
      </c>
      <c r="Z117" s="100">
        <f t="shared" si="95"/>
        <v>1</v>
      </c>
      <c r="AA117" s="99">
        <f t="shared" ca="1" si="154"/>
        <v>2640</v>
      </c>
      <c r="AB117" s="77" t="e">
        <f t="shared" si="155"/>
        <v>#DIV/0!</v>
      </c>
      <c r="AC117" s="77" t="e">
        <f>IF(H$16=1,_xll.xCalcSkew($A117,AD117-BV117,b)/100,0)</f>
        <v>#DIV/0!</v>
      </c>
      <c r="AD117" s="98">
        <f t="shared" si="98"/>
        <v>2.4900000000000002</v>
      </c>
      <c r="AF117" s="99">
        <f t="shared" ca="1" si="127"/>
        <v>2640</v>
      </c>
      <c r="AG117" s="99">
        <f t="shared" ca="1" si="128"/>
        <v>2639</v>
      </c>
      <c r="AH117" s="77">
        <f t="shared" si="129"/>
        <v>5.5929764997134403E-2</v>
      </c>
      <c r="AI117" s="154">
        <f t="shared" si="99"/>
        <v>30</v>
      </c>
      <c r="AL117" s="99"/>
      <c r="AM117" s="78"/>
      <c r="AN117" s="78">
        <f t="shared" si="156"/>
        <v>0</v>
      </c>
      <c r="AO117" s="303" t="e">
        <f t="shared" si="157"/>
        <v>#DIV/0!</v>
      </c>
      <c r="AP117" s="75">
        <f t="shared" si="101"/>
        <v>0</v>
      </c>
      <c r="AQ117" s="102">
        <f t="shared" si="102"/>
        <v>0</v>
      </c>
      <c r="AR117" s="101">
        <f t="shared" si="158"/>
        <v>0</v>
      </c>
      <c r="AS117" s="101">
        <f t="shared" si="159"/>
        <v>0</v>
      </c>
      <c r="AT117" s="101">
        <f t="shared" si="160"/>
        <v>0</v>
      </c>
      <c r="AU117" s="103">
        <f t="shared" si="161"/>
        <v>0</v>
      </c>
      <c r="AV117" s="103">
        <f t="shared" si="162"/>
        <v>0</v>
      </c>
      <c r="AW117" s="103">
        <f t="shared" si="163"/>
        <v>0</v>
      </c>
      <c r="AY117" s="78">
        <f t="shared" si="164"/>
        <v>0</v>
      </c>
      <c r="AZ117" s="303" t="e">
        <f t="shared" si="165"/>
        <v>#DIV/0!</v>
      </c>
      <c r="BA117" s="75">
        <f t="shared" si="106"/>
        <v>0</v>
      </c>
      <c r="BB117" s="102">
        <f t="shared" si="107"/>
        <v>0</v>
      </c>
      <c r="BC117" s="101">
        <f t="shared" si="166"/>
        <v>0</v>
      </c>
      <c r="BD117" s="101">
        <f t="shared" si="167"/>
        <v>0</v>
      </c>
      <c r="BE117" s="101">
        <f t="shared" si="168"/>
        <v>0</v>
      </c>
      <c r="BF117" s="103">
        <f t="shared" si="169"/>
        <v>0</v>
      </c>
      <c r="BG117" s="103">
        <f t="shared" si="170"/>
        <v>0</v>
      </c>
      <c r="BH117" s="103">
        <f t="shared" si="171"/>
        <v>0</v>
      </c>
      <c r="BJ117" s="78">
        <f t="shared" si="172"/>
        <v>0</v>
      </c>
      <c r="BK117" s="303" t="e">
        <f t="shared" si="173"/>
        <v>#DIV/0!</v>
      </c>
      <c r="BL117" s="75">
        <f t="shared" si="112"/>
        <v>0</v>
      </c>
      <c r="BM117" s="102">
        <f t="shared" si="113"/>
        <v>0</v>
      </c>
      <c r="BN117" s="101">
        <f t="shared" si="174"/>
        <v>0</v>
      </c>
      <c r="BO117" s="101">
        <f t="shared" si="175"/>
        <v>0</v>
      </c>
      <c r="BP117" s="101">
        <f t="shared" si="176"/>
        <v>0</v>
      </c>
      <c r="BQ117" s="103">
        <f t="shared" si="177"/>
        <v>0</v>
      </c>
      <c r="BR117" s="103">
        <f t="shared" si="178"/>
        <v>0</v>
      </c>
      <c r="BS117" s="103">
        <f t="shared" si="179"/>
        <v>0</v>
      </c>
      <c r="BU117" s="78">
        <f t="shared" si="180"/>
        <v>0</v>
      </c>
      <c r="BV117" s="303" t="e">
        <f t="shared" si="181"/>
        <v>#DIV/0!</v>
      </c>
      <c r="BW117" s="75">
        <f t="shared" si="118"/>
        <v>0</v>
      </c>
      <c r="BX117" s="102">
        <f t="shared" si="119"/>
        <v>0</v>
      </c>
      <c r="BY117" s="101">
        <f t="shared" si="182"/>
        <v>0</v>
      </c>
      <c r="BZ117" s="101">
        <f t="shared" si="183"/>
        <v>0</v>
      </c>
      <c r="CA117" s="101">
        <f t="shared" si="184"/>
        <v>0</v>
      </c>
      <c r="CB117" s="103">
        <f t="shared" si="185"/>
        <v>0</v>
      </c>
      <c r="CC117" s="103">
        <f t="shared" si="186"/>
        <v>0</v>
      </c>
      <c r="CD117" s="103">
        <f t="shared" si="187"/>
        <v>0</v>
      </c>
    </row>
    <row r="118" spans="1:82" x14ac:dyDescent="0.2">
      <c r="A118" s="96">
        <f t="shared" si="147"/>
        <v>39934</v>
      </c>
      <c r="B118" s="97">
        <f t="shared" si="124"/>
        <v>3.56</v>
      </c>
      <c r="C118" s="77">
        <f t="shared" si="148"/>
        <v>0.20250000000000001</v>
      </c>
      <c r="D118" s="97">
        <f t="shared" si="80"/>
        <v>0</v>
      </c>
      <c r="E118" s="100">
        <f t="shared" si="81"/>
        <v>1</v>
      </c>
      <c r="F118" s="99">
        <f t="shared" ca="1" si="126"/>
        <v>2671</v>
      </c>
      <c r="G118" s="77" t="e">
        <f t="shared" si="149"/>
        <v>#DIV/0!</v>
      </c>
      <c r="H118" s="77" t="e">
        <f>IF(B$16=1,_xll.xCalcSkew(A118,I118-AO118,b)/100,0)</f>
        <v>#DIV/0!</v>
      </c>
      <c r="I118" s="98">
        <f t="shared" si="83"/>
        <v>4</v>
      </c>
      <c r="K118" s="97">
        <f t="shared" si="84"/>
        <v>0.02</v>
      </c>
      <c r="L118" s="100">
        <f t="shared" si="85"/>
        <v>1</v>
      </c>
      <c r="M118" s="99">
        <f t="shared" ca="1" si="150"/>
        <v>2672</v>
      </c>
      <c r="N118" s="175" t="e">
        <f t="shared" si="151"/>
        <v>#DIV/0!</v>
      </c>
      <c r="O118" s="77" t="e">
        <f>IF(D$16=1,_xll.xCalcSkew($A118,P118-AZ118,b)/100,0)</f>
        <v>#DIV/0!</v>
      </c>
      <c r="P118" s="98">
        <f t="shared" si="88"/>
        <v>2.5</v>
      </c>
      <c r="R118" s="97">
        <f t="shared" si="89"/>
        <v>0.02</v>
      </c>
      <c r="S118" s="100">
        <f t="shared" si="90"/>
        <v>1</v>
      </c>
      <c r="T118" s="99">
        <f t="shared" ca="1" si="152"/>
        <v>2672</v>
      </c>
      <c r="U118" s="175" t="e">
        <f t="shared" si="153"/>
        <v>#DIV/0!</v>
      </c>
      <c r="V118" s="77" t="e">
        <f>IF(F$16=1,_xll.xCalcSkew($A118,W118-BK118,b)/100,0)</f>
        <v>#DIV/0!</v>
      </c>
      <c r="W118" s="98">
        <f t="shared" si="93"/>
        <v>2.5</v>
      </c>
      <c r="X118" s="99"/>
      <c r="Y118" s="97">
        <f t="shared" si="94"/>
        <v>0.02</v>
      </c>
      <c r="Z118" s="100">
        <f t="shared" si="95"/>
        <v>1</v>
      </c>
      <c r="AA118" s="99">
        <f t="shared" ca="1" si="154"/>
        <v>2672</v>
      </c>
      <c r="AB118" s="77" t="e">
        <f t="shared" si="155"/>
        <v>#DIV/0!</v>
      </c>
      <c r="AC118" s="77" t="e">
        <f>IF(H$16=1,_xll.xCalcSkew($A118,AD118-BV118,b)/100,0)</f>
        <v>#DIV/0!</v>
      </c>
      <c r="AD118" s="98">
        <f t="shared" si="98"/>
        <v>2.4900000000000002</v>
      </c>
      <c r="AF118" s="99">
        <f t="shared" ca="1" si="127"/>
        <v>2672</v>
      </c>
      <c r="AG118" s="99">
        <f t="shared" ca="1" si="128"/>
        <v>2671</v>
      </c>
      <c r="AH118" s="77">
        <f t="shared" si="129"/>
        <v>5.6029924733155503E-2</v>
      </c>
      <c r="AI118" s="154">
        <f t="shared" si="99"/>
        <v>31</v>
      </c>
      <c r="AL118" s="99"/>
      <c r="AM118" s="78"/>
      <c r="AN118" s="78">
        <f t="shared" si="156"/>
        <v>0</v>
      </c>
      <c r="AO118" s="303" t="e">
        <f t="shared" si="157"/>
        <v>#DIV/0!</v>
      </c>
      <c r="AP118" s="75">
        <f t="shared" si="101"/>
        <v>0</v>
      </c>
      <c r="AQ118" s="102">
        <f t="shared" si="102"/>
        <v>0</v>
      </c>
      <c r="AR118" s="101">
        <f t="shared" si="158"/>
        <v>0</v>
      </c>
      <c r="AS118" s="101">
        <f t="shared" si="159"/>
        <v>0</v>
      </c>
      <c r="AT118" s="101">
        <f t="shared" si="160"/>
        <v>0</v>
      </c>
      <c r="AU118" s="103">
        <f t="shared" si="161"/>
        <v>0</v>
      </c>
      <c r="AV118" s="103">
        <f t="shared" si="162"/>
        <v>0</v>
      </c>
      <c r="AW118" s="103">
        <f t="shared" si="163"/>
        <v>0</v>
      </c>
      <c r="AY118" s="78">
        <f t="shared" si="164"/>
        <v>0</v>
      </c>
      <c r="AZ118" s="303" t="e">
        <f t="shared" si="165"/>
        <v>#DIV/0!</v>
      </c>
      <c r="BA118" s="75">
        <f t="shared" si="106"/>
        <v>0</v>
      </c>
      <c r="BB118" s="102">
        <f t="shared" si="107"/>
        <v>0</v>
      </c>
      <c r="BC118" s="101">
        <f t="shared" si="166"/>
        <v>0</v>
      </c>
      <c r="BD118" s="101">
        <f t="shared" si="167"/>
        <v>0</v>
      </c>
      <c r="BE118" s="101">
        <f t="shared" si="168"/>
        <v>0</v>
      </c>
      <c r="BF118" s="103">
        <f t="shared" si="169"/>
        <v>0</v>
      </c>
      <c r="BG118" s="103">
        <f t="shared" si="170"/>
        <v>0</v>
      </c>
      <c r="BH118" s="103">
        <f t="shared" si="171"/>
        <v>0</v>
      </c>
      <c r="BJ118" s="78">
        <f t="shared" si="172"/>
        <v>0</v>
      </c>
      <c r="BK118" s="303" t="e">
        <f t="shared" si="173"/>
        <v>#DIV/0!</v>
      </c>
      <c r="BL118" s="75">
        <f t="shared" si="112"/>
        <v>0</v>
      </c>
      <c r="BM118" s="102">
        <f t="shared" si="113"/>
        <v>0</v>
      </c>
      <c r="BN118" s="101">
        <f t="shared" si="174"/>
        <v>0</v>
      </c>
      <c r="BO118" s="101">
        <f t="shared" si="175"/>
        <v>0</v>
      </c>
      <c r="BP118" s="101">
        <f t="shared" si="176"/>
        <v>0</v>
      </c>
      <c r="BQ118" s="103">
        <f t="shared" si="177"/>
        <v>0</v>
      </c>
      <c r="BR118" s="103">
        <f t="shared" si="178"/>
        <v>0</v>
      </c>
      <c r="BS118" s="103">
        <f t="shared" si="179"/>
        <v>0</v>
      </c>
      <c r="BU118" s="78">
        <f t="shared" si="180"/>
        <v>0</v>
      </c>
      <c r="BV118" s="303" t="e">
        <f t="shared" si="181"/>
        <v>#DIV/0!</v>
      </c>
      <c r="BW118" s="75">
        <f t="shared" si="118"/>
        <v>0</v>
      </c>
      <c r="BX118" s="102">
        <f t="shared" si="119"/>
        <v>0</v>
      </c>
      <c r="BY118" s="101">
        <f t="shared" si="182"/>
        <v>0</v>
      </c>
      <c r="BZ118" s="101">
        <f t="shared" si="183"/>
        <v>0</v>
      </c>
      <c r="CA118" s="101">
        <f t="shared" si="184"/>
        <v>0</v>
      </c>
      <c r="CB118" s="103">
        <f t="shared" si="185"/>
        <v>0</v>
      </c>
      <c r="CC118" s="103">
        <f t="shared" si="186"/>
        <v>0</v>
      </c>
      <c r="CD118" s="103">
        <f t="shared" si="187"/>
        <v>0</v>
      </c>
    </row>
    <row r="119" spans="1:82" x14ac:dyDescent="0.2">
      <c r="A119" s="96">
        <f t="shared" si="147"/>
        <v>39965</v>
      </c>
      <c r="B119" s="97">
        <f t="shared" si="124"/>
        <v>3.5950000000000002</v>
      </c>
      <c r="C119" s="77">
        <f t="shared" si="148"/>
        <v>0.20250000000000001</v>
      </c>
      <c r="D119" s="97">
        <f t="shared" si="80"/>
        <v>0</v>
      </c>
      <c r="E119" s="100">
        <f t="shared" si="81"/>
        <v>1</v>
      </c>
      <c r="F119" s="99">
        <f t="shared" ca="1" si="126"/>
        <v>2700</v>
      </c>
      <c r="G119" s="77" t="e">
        <f t="shared" si="149"/>
        <v>#DIV/0!</v>
      </c>
      <c r="H119" s="77" t="e">
        <f>IF(B$16=1,_xll.xCalcSkew(A119,I119-AO119,b)/100,0)</f>
        <v>#DIV/0!</v>
      </c>
      <c r="I119" s="98">
        <f t="shared" si="83"/>
        <v>4</v>
      </c>
      <c r="K119" s="97">
        <f t="shared" si="84"/>
        <v>2.5000000000000001E-2</v>
      </c>
      <c r="L119" s="100">
        <f t="shared" si="85"/>
        <v>1</v>
      </c>
      <c r="M119" s="99">
        <f t="shared" ca="1" si="150"/>
        <v>2701</v>
      </c>
      <c r="N119" s="175" t="e">
        <f t="shared" si="151"/>
        <v>#DIV/0!</v>
      </c>
      <c r="O119" s="77" t="e">
        <f>IF(D$16=1,_xll.xCalcSkew($A119,P119-AZ119,b)/100,0)</f>
        <v>#DIV/0!</v>
      </c>
      <c r="P119" s="98">
        <f t="shared" si="88"/>
        <v>2.5</v>
      </c>
      <c r="R119" s="97">
        <f t="shared" si="89"/>
        <v>2.5000000000000001E-2</v>
      </c>
      <c r="S119" s="100">
        <f t="shared" si="90"/>
        <v>1</v>
      </c>
      <c r="T119" s="99">
        <f t="shared" ca="1" si="152"/>
        <v>2701</v>
      </c>
      <c r="U119" s="175" t="e">
        <f t="shared" si="153"/>
        <v>#DIV/0!</v>
      </c>
      <c r="V119" s="77" t="e">
        <f>IF(F$16=1,_xll.xCalcSkew($A119,W119-BK119,b)/100,0)</f>
        <v>#DIV/0!</v>
      </c>
      <c r="W119" s="98">
        <f t="shared" si="93"/>
        <v>2.5</v>
      </c>
      <c r="X119" s="99"/>
      <c r="Y119" s="97">
        <f t="shared" si="94"/>
        <v>2.5000000000000001E-2</v>
      </c>
      <c r="Z119" s="100">
        <f t="shared" si="95"/>
        <v>1</v>
      </c>
      <c r="AA119" s="99">
        <f t="shared" ca="1" si="154"/>
        <v>2701</v>
      </c>
      <c r="AB119" s="77" t="e">
        <f t="shared" si="155"/>
        <v>#DIV/0!</v>
      </c>
      <c r="AC119" s="77" t="e">
        <f>IF(H$16=1,_xll.xCalcSkew($A119,AD119-BV119,b)/100,0)</f>
        <v>#DIV/0!</v>
      </c>
      <c r="AD119" s="98">
        <f t="shared" si="98"/>
        <v>2.4900000000000002</v>
      </c>
      <c r="AF119" s="99">
        <f t="shared" ca="1" si="127"/>
        <v>2701</v>
      </c>
      <c r="AG119" s="99">
        <f t="shared" ca="1" si="128"/>
        <v>2700</v>
      </c>
      <c r="AH119" s="77">
        <f t="shared" si="129"/>
        <v>5.6133423130551502E-2</v>
      </c>
      <c r="AI119" s="154">
        <f t="shared" si="99"/>
        <v>30</v>
      </c>
      <c r="AL119" s="99"/>
      <c r="AM119" s="78"/>
      <c r="AN119" s="78">
        <f t="shared" si="156"/>
        <v>0</v>
      </c>
      <c r="AO119" s="303" t="e">
        <f t="shared" si="157"/>
        <v>#DIV/0!</v>
      </c>
      <c r="AP119" s="75">
        <f t="shared" si="101"/>
        <v>0</v>
      </c>
      <c r="AQ119" s="102">
        <f t="shared" si="102"/>
        <v>0</v>
      </c>
      <c r="AR119" s="101">
        <f t="shared" si="158"/>
        <v>0</v>
      </c>
      <c r="AS119" s="101">
        <f t="shared" si="159"/>
        <v>0</v>
      </c>
      <c r="AT119" s="101">
        <f t="shared" si="160"/>
        <v>0</v>
      </c>
      <c r="AU119" s="103">
        <f t="shared" si="161"/>
        <v>0</v>
      </c>
      <c r="AV119" s="103">
        <f t="shared" si="162"/>
        <v>0</v>
      </c>
      <c r="AW119" s="103">
        <f t="shared" si="163"/>
        <v>0</v>
      </c>
      <c r="AY119" s="78">
        <f t="shared" si="164"/>
        <v>0</v>
      </c>
      <c r="AZ119" s="303" t="e">
        <f t="shared" si="165"/>
        <v>#DIV/0!</v>
      </c>
      <c r="BA119" s="75">
        <f t="shared" si="106"/>
        <v>0</v>
      </c>
      <c r="BB119" s="102">
        <f t="shared" si="107"/>
        <v>0</v>
      </c>
      <c r="BC119" s="101">
        <f t="shared" si="166"/>
        <v>0</v>
      </c>
      <c r="BD119" s="101">
        <f t="shared" si="167"/>
        <v>0</v>
      </c>
      <c r="BE119" s="101">
        <f t="shared" si="168"/>
        <v>0</v>
      </c>
      <c r="BF119" s="103">
        <f t="shared" si="169"/>
        <v>0</v>
      </c>
      <c r="BG119" s="103">
        <f t="shared" si="170"/>
        <v>0</v>
      </c>
      <c r="BH119" s="103">
        <f t="shared" si="171"/>
        <v>0</v>
      </c>
      <c r="BJ119" s="78">
        <f t="shared" si="172"/>
        <v>0</v>
      </c>
      <c r="BK119" s="303" t="e">
        <f t="shared" si="173"/>
        <v>#DIV/0!</v>
      </c>
      <c r="BL119" s="75">
        <f t="shared" si="112"/>
        <v>0</v>
      </c>
      <c r="BM119" s="102">
        <f t="shared" si="113"/>
        <v>0</v>
      </c>
      <c r="BN119" s="101">
        <f t="shared" si="174"/>
        <v>0</v>
      </c>
      <c r="BO119" s="101">
        <f t="shared" si="175"/>
        <v>0</v>
      </c>
      <c r="BP119" s="101">
        <f t="shared" si="176"/>
        <v>0</v>
      </c>
      <c r="BQ119" s="103">
        <f t="shared" si="177"/>
        <v>0</v>
      </c>
      <c r="BR119" s="103">
        <f t="shared" si="178"/>
        <v>0</v>
      </c>
      <c r="BS119" s="103">
        <f t="shared" si="179"/>
        <v>0</v>
      </c>
      <c r="BU119" s="78">
        <f t="shared" si="180"/>
        <v>0</v>
      </c>
      <c r="BV119" s="303" t="e">
        <f t="shared" si="181"/>
        <v>#DIV/0!</v>
      </c>
      <c r="BW119" s="75">
        <f t="shared" si="118"/>
        <v>0</v>
      </c>
      <c r="BX119" s="102">
        <f t="shared" si="119"/>
        <v>0</v>
      </c>
      <c r="BY119" s="101">
        <f t="shared" si="182"/>
        <v>0</v>
      </c>
      <c r="BZ119" s="101">
        <f t="shared" si="183"/>
        <v>0</v>
      </c>
      <c r="CA119" s="101">
        <f t="shared" si="184"/>
        <v>0</v>
      </c>
      <c r="CB119" s="103">
        <f t="shared" si="185"/>
        <v>0</v>
      </c>
      <c r="CC119" s="103">
        <f t="shared" si="186"/>
        <v>0</v>
      </c>
      <c r="CD119" s="103">
        <f t="shared" si="187"/>
        <v>0</v>
      </c>
    </row>
    <row r="120" spans="1:82" x14ac:dyDescent="0.2">
      <c r="A120" s="96">
        <f t="shared" si="147"/>
        <v>39995</v>
      </c>
      <c r="B120" s="97">
        <f t="shared" si="124"/>
        <v>3.6349999999999998</v>
      </c>
      <c r="C120" s="77">
        <f t="shared" si="148"/>
        <v>0.20250000000000001</v>
      </c>
      <c r="D120" s="97">
        <f t="shared" si="80"/>
        <v>0</v>
      </c>
      <c r="E120" s="100">
        <f t="shared" si="81"/>
        <v>1</v>
      </c>
      <c r="F120" s="99">
        <f t="shared" ca="1" si="126"/>
        <v>2730</v>
      </c>
      <c r="G120" s="77" t="e">
        <f t="shared" si="149"/>
        <v>#DIV/0!</v>
      </c>
      <c r="H120" s="77" t="e">
        <f>IF(B$16=1,_xll.xCalcSkew(A120,I120-AO120,b)/100,0)</f>
        <v>#DIV/0!</v>
      </c>
      <c r="I120" s="98">
        <f t="shared" si="83"/>
        <v>4</v>
      </c>
      <c r="K120" s="97">
        <f t="shared" si="84"/>
        <v>2.75E-2</v>
      </c>
      <c r="L120" s="100">
        <f t="shared" si="85"/>
        <v>1</v>
      </c>
      <c r="M120" s="99">
        <f t="shared" ca="1" si="150"/>
        <v>2731</v>
      </c>
      <c r="N120" s="175" t="e">
        <f t="shared" si="151"/>
        <v>#DIV/0!</v>
      </c>
      <c r="O120" s="77" t="e">
        <f>IF(D$16=1,_xll.xCalcSkew($A120,P120-AZ120,b)/100,0)</f>
        <v>#DIV/0!</v>
      </c>
      <c r="P120" s="98">
        <f t="shared" si="88"/>
        <v>2.5</v>
      </c>
      <c r="R120" s="97">
        <f t="shared" si="89"/>
        <v>2.75E-2</v>
      </c>
      <c r="S120" s="100">
        <f t="shared" si="90"/>
        <v>1</v>
      </c>
      <c r="T120" s="99">
        <f t="shared" ca="1" si="152"/>
        <v>2731</v>
      </c>
      <c r="U120" s="175" t="e">
        <f t="shared" si="153"/>
        <v>#DIV/0!</v>
      </c>
      <c r="V120" s="77" t="e">
        <f>IF(F$16=1,_xll.xCalcSkew($A120,W120-BK120,b)/100,0)</f>
        <v>#DIV/0!</v>
      </c>
      <c r="W120" s="98">
        <f t="shared" si="93"/>
        <v>2.5</v>
      </c>
      <c r="X120" s="99"/>
      <c r="Y120" s="97">
        <f t="shared" si="94"/>
        <v>2.75E-2</v>
      </c>
      <c r="Z120" s="100">
        <f t="shared" si="95"/>
        <v>1</v>
      </c>
      <c r="AA120" s="99">
        <f t="shared" ca="1" si="154"/>
        <v>2731</v>
      </c>
      <c r="AB120" s="77" t="e">
        <f t="shared" si="155"/>
        <v>#DIV/0!</v>
      </c>
      <c r="AC120" s="77" t="e">
        <f>IF(H$16=1,_xll.xCalcSkew($A120,AD120-BV120,b)/100,0)</f>
        <v>#DIV/0!</v>
      </c>
      <c r="AD120" s="98">
        <f t="shared" si="98"/>
        <v>2.4900000000000002</v>
      </c>
      <c r="AF120" s="99">
        <f t="shared" ca="1" si="127"/>
        <v>2731</v>
      </c>
      <c r="AG120" s="99">
        <f t="shared" ca="1" si="128"/>
        <v>2730</v>
      </c>
      <c r="AH120" s="77">
        <f t="shared" si="129"/>
        <v>5.6233582873363101E-2</v>
      </c>
      <c r="AI120" s="154">
        <f t="shared" si="99"/>
        <v>31</v>
      </c>
      <c r="AL120" s="99"/>
      <c r="AM120" s="78"/>
      <c r="AN120" s="78">
        <f t="shared" si="156"/>
        <v>0</v>
      </c>
      <c r="AO120" s="303" t="e">
        <f t="shared" si="157"/>
        <v>#DIV/0!</v>
      </c>
      <c r="AP120" s="75">
        <f t="shared" si="101"/>
        <v>0</v>
      </c>
      <c r="AQ120" s="102">
        <f t="shared" si="102"/>
        <v>0</v>
      </c>
      <c r="AR120" s="101">
        <f t="shared" si="158"/>
        <v>0</v>
      </c>
      <c r="AS120" s="101">
        <f t="shared" si="159"/>
        <v>0</v>
      </c>
      <c r="AT120" s="101">
        <f t="shared" si="160"/>
        <v>0</v>
      </c>
      <c r="AU120" s="103">
        <f t="shared" si="161"/>
        <v>0</v>
      </c>
      <c r="AV120" s="103">
        <f t="shared" si="162"/>
        <v>0</v>
      </c>
      <c r="AW120" s="103">
        <f t="shared" si="163"/>
        <v>0</v>
      </c>
      <c r="AY120" s="78">
        <f t="shared" si="164"/>
        <v>0</v>
      </c>
      <c r="AZ120" s="303" t="e">
        <f t="shared" si="165"/>
        <v>#DIV/0!</v>
      </c>
      <c r="BA120" s="75">
        <f t="shared" si="106"/>
        <v>0</v>
      </c>
      <c r="BB120" s="102">
        <f t="shared" si="107"/>
        <v>0</v>
      </c>
      <c r="BC120" s="101">
        <f t="shared" si="166"/>
        <v>0</v>
      </c>
      <c r="BD120" s="101">
        <f t="shared" si="167"/>
        <v>0</v>
      </c>
      <c r="BE120" s="101">
        <f t="shared" si="168"/>
        <v>0</v>
      </c>
      <c r="BF120" s="103">
        <f t="shared" si="169"/>
        <v>0</v>
      </c>
      <c r="BG120" s="103">
        <f t="shared" si="170"/>
        <v>0</v>
      </c>
      <c r="BH120" s="103">
        <f t="shared" si="171"/>
        <v>0</v>
      </c>
      <c r="BJ120" s="78">
        <f t="shared" si="172"/>
        <v>0</v>
      </c>
      <c r="BK120" s="303" t="e">
        <f t="shared" si="173"/>
        <v>#DIV/0!</v>
      </c>
      <c r="BL120" s="75">
        <f t="shared" si="112"/>
        <v>0</v>
      </c>
      <c r="BM120" s="102">
        <f t="shared" si="113"/>
        <v>0</v>
      </c>
      <c r="BN120" s="101">
        <f t="shared" si="174"/>
        <v>0</v>
      </c>
      <c r="BO120" s="101">
        <f t="shared" si="175"/>
        <v>0</v>
      </c>
      <c r="BP120" s="101">
        <f t="shared" si="176"/>
        <v>0</v>
      </c>
      <c r="BQ120" s="103">
        <f t="shared" si="177"/>
        <v>0</v>
      </c>
      <c r="BR120" s="103">
        <f t="shared" si="178"/>
        <v>0</v>
      </c>
      <c r="BS120" s="103">
        <f t="shared" si="179"/>
        <v>0</v>
      </c>
      <c r="BU120" s="78">
        <f t="shared" si="180"/>
        <v>0</v>
      </c>
      <c r="BV120" s="303" t="e">
        <f t="shared" si="181"/>
        <v>#DIV/0!</v>
      </c>
      <c r="BW120" s="75">
        <f t="shared" si="118"/>
        <v>0</v>
      </c>
      <c r="BX120" s="102">
        <f t="shared" si="119"/>
        <v>0</v>
      </c>
      <c r="BY120" s="101">
        <f t="shared" si="182"/>
        <v>0</v>
      </c>
      <c r="BZ120" s="101">
        <f t="shared" si="183"/>
        <v>0</v>
      </c>
      <c r="CA120" s="101">
        <f t="shared" si="184"/>
        <v>0</v>
      </c>
      <c r="CB120" s="103">
        <f t="shared" si="185"/>
        <v>0</v>
      </c>
      <c r="CC120" s="103">
        <f t="shared" si="186"/>
        <v>0</v>
      </c>
      <c r="CD120" s="103">
        <f t="shared" si="187"/>
        <v>0</v>
      </c>
    </row>
    <row r="121" spans="1:82" x14ac:dyDescent="0.2">
      <c r="A121" s="96">
        <f t="shared" si="147"/>
        <v>40026</v>
      </c>
      <c r="B121" s="97">
        <f t="shared" si="124"/>
        <v>3.6749999999999998</v>
      </c>
      <c r="C121" s="77">
        <f t="shared" si="148"/>
        <v>0.20250000000000001</v>
      </c>
      <c r="D121" s="97">
        <f t="shared" si="80"/>
        <v>0</v>
      </c>
      <c r="E121" s="100">
        <f t="shared" si="81"/>
        <v>1</v>
      </c>
      <c r="F121" s="99">
        <f t="shared" ca="1" si="126"/>
        <v>2763</v>
      </c>
      <c r="G121" s="77" t="e">
        <f t="shared" si="149"/>
        <v>#DIV/0!</v>
      </c>
      <c r="H121" s="77" t="e">
        <f>IF(B$16=1,_xll.xCalcSkew(A121,I121-AO121,b)/100,0)</f>
        <v>#DIV/0!</v>
      </c>
      <c r="I121" s="98">
        <f t="shared" si="83"/>
        <v>4</v>
      </c>
      <c r="K121" s="97">
        <f t="shared" si="84"/>
        <v>0.03</v>
      </c>
      <c r="L121" s="100">
        <f t="shared" si="85"/>
        <v>1</v>
      </c>
      <c r="M121" s="99">
        <f t="shared" ca="1" si="150"/>
        <v>2764</v>
      </c>
      <c r="N121" s="175" t="e">
        <f t="shared" si="151"/>
        <v>#DIV/0!</v>
      </c>
      <c r="O121" s="77" t="e">
        <f>IF(D$16=1,_xll.xCalcSkew($A121,P121-AZ121,b)/100,0)</f>
        <v>#DIV/0!</v>
      </c>
      <c r="P121" s="98">
        <f t="shared" si="88"/>
        <v>2.5</v>
      </c>
      <c r="R121" s="97">
        <f t="shared" si="89"/>
        <v>0.03</v>
      </c>
      <c r="S121" s="100">
        <f t="shared" si="90"/>
        <v>1</v>
      </c>
      <c r="T121" s="99">
        <f t="shared" ca="1" si="152"/>
        <v>2764</v>
      </c>
      <c r="U121" s="175" t="e">
        <f t="shared" si="153"/>
        <v>#DIV/0!</v>
      </c>
      <c r="V121" s="77" t="e">
        <f>IF(F$16=1,_xll.xCalcSkew($A121,W121-BK121,b)/100,0)</f>
        <v>#DIV/0!</v>
      </c>
      <c r="W121" s="98">
        <f t="shared" si="93"/>
        <v>2.5</v>
      </c>
      <c r="X121" s="99"/>
      <c r="Y121" s="97">
        <f t="shared" si="94"/>
        <v>0.03</v>
      </c>
      <c r="Z121" s="100">
        <f t="shared" si="95"/>
        <v>1</v>
      </c>
      <c r="AA121" s="99">
        <f t="shared" ca="1" si="154"/>
        <v>2764</v>
      </c>
      <c r="AB121" s="77" t="e">
        <f t="shared" si="155"/>
        <v>#DIV/0!</v>
      </c>
      <c r="AC121" s="77" t="e">
        <f>IF(H$16=1,_xll.xCalcSkew($A121,AD121-BV121,b)/100,0)</f>
        <v>#DIV/0!</v>
      </c>
      <c r="AD121" s="98">
        <f t="shared" si="98"/>
        <v>2.4900000000000002</v>
      </c>
      <c r="AF121" s="99">
        <f t="shared" ca="1" si="127"/>
        <v>2764</v>
      </c>
      <c r="AG121" s="99">
        <f t="shared" ca="1" si="128"/>
        <v>2763</v>
      </c>
      <c r="AH121" s="77">
        <f t="shared" si="129"/>
        <v>5.6337081277775702E-2</v>
      </c>
      <c r="AI121" s="154">
        <f t="shared" si="99"/>
        <v>31</v>
      </c>
      <c r="AL121" s="99"/>
      <c r="AM121" s="78"/>
      <c r="AN121" s="78">
        <f t="shared" si="156"/>
        <v>0</v>
      </c>
      <c r="AO121" s="303" t="e">
        <f t="shared" si="157"/>
        <v>#DIV/0!</v>
      </c>
      <c r="AP121" s="75">
        <f t="shared" si="101"/>
        <v>0</v>
      </c>
      <c r="AQ121" s="102">
        <f t="shared" si="102"/>
        <v>0</v>
      </c>
      <c r="AR121" s="101">
        <f t="shared" si="158"/>
        <v>0</v>
      </c>
      <c r="AS121" s="101">
        <f t="shared" si="159"/>
        <v>0</v>
      </c>
      <c r="AT121" s="101">
        <f t="shared" si="160"/>
        <v>0</v>
      </c>
      <c r="AU121" s="103">
        <f t="shared" si="161"/>
        <v>0</v>
      </c>
      <c r="AV121" s="103">
        <f t="shared" si="162"/>
        <v>0</v>
      </c>
      <c r="AW121" s="103">
        <f t="shared" si="163"/>
        <v>0</v>
      </c>
      <c r="AY121" s="78">
        <f t="shared" si="164"/>
        <v>0</v>
      </c>
      <c r="AZ121" s="303" t="e">
        <f t="shared" si="165"/>
        <v>#DIV/0!</v>
      </c>
      <c r="BA121" s="75">
        <f t="shared" si="106"/>
        <v>0</v>
      </c>
      <c r="BB121" s="102">
        <f t="shared" si="107"/>
        <v>0</v>
      </c>
      <c r="BC121" s="101">
        <f t="shared" si="166"/>
        <v>0</v>
      </c>
      <c r="BD121" s="101">
        <f t="shared" si="167"/>
        <v>0</v>
      </c>
      <c r="BE121" s="101">
        <f t="shared" si="168"/>
        <v>0</v>
      </c>
      <c r="BF121" s="103">
        <f t="shared" si="169"/>
        <v>0</v>
      </c>
      <c r="BG121" s="103">
        <f t="shared" si="170"/>
        <v>0</v>
      </c>
      <c r="BH121" s="103">
        <f t="shared" si="171"/>
        <v>0</v>
      </c>
      <c r="BJ121" s="78">
        <f t="shared" si="172"/>
        <v>0</v>
      </c>
      <c r="BK121" s="303" t="e">
        <f t="shared" si="173"/>
        <v>#DIV/0!</v>
      </c>
      <c r="BL121" s="75">
        <f t="shared" si="112"/>
        <v>0</v>
      </c>
      <c r="BM121" s="102">
        <f t="shared" si="113"/>
        <v>0</v>
      </c>
      <c r="BN121" s="101">
        <f t="shared" si="174"/>
        <v>0</v>
      </c>
      <c r="BO121" s="101">
        <f t="shared" si="175"/>
        <v>0</v>
      </c>
      <c r="BP121" s="101">
        <f t="shared" si="176"/>
        <v>0</v>
      </c>
      <c r="BQ121" s="103">
        <f t="shared" si="177"/>
        <v>0</v>
      </c>
      <c r="BR121" s="103">
        <f t="shared" si="178"/>
        <v>0</v>
      </c>
      <c r="BS121" s="103">
        <f t="shared" si="179"/>
        <v>0</v>
      </c>
      <c r="BU121" s="78">
        <f t="shared" si="180"/>
        <v>0</v>
      </c>
      <c r="BV121" s="303" t="e">
        <f t="shared" si="181"/>
        <v>#DIV/0!</v>
      </c>
      <c r="BW121" s="75">
        <f t="shared" si="118"/>
        <v>0</v>
      </c>
      <c r="BX121" s="102">
        <f t="shared" si="119"/>
        <v>0</v>
      </c>
      <c r="BY121" s="101">
        <f t="shared" si="182"/>
        <v>0</v>
      </c>
      <c r="BZ121" s="101">
        <f t="shared" si="183"/>
        <v>0</v>
      </c>
      <c r="CA121" s="101">
        <f t="shared" si="184"/>
        <v>0</v>
      </c>
      <c r="CB121" s="103">
        <f t="shared" si="185"/>
        <v>0</v>
      </c>
      <c r="CC121" s="103">
        <f t="shared" si="186"/>
        <v>0</v>
      </c>
      <c r="CD121" s="103">
        <f t="shared" si="187"/>
        <v>0</v>
      </c>
    </row>
    <row r="122" spans="1:82" x14ac:dyDescent="0.2">
      <c r="A122" s="96">
        <f t="shared" si="147"/>
        <v>40057</v>
      </c>
      <c r="B122" s="97">
        <f t="shared" si="124"/>
        <v>3.67</v>
      </c>
      <c r="C122" s="77">
        <f t="shared" si="148"/>
        <v>0.20250000000000001</v>
      </c>
      <c r="D122" s="97">
        <f t="shared" si="80"/>
        <v>0</v>
      </c>
      <c r="E122" s="100">
        <f t="shared" si="81"/>
        <v>1</v>
      </c>
      <c r="F122" s="99">
        <f t="shared" ca="1" si="126"/>
        <v>2792</v>
      </c>
      <c r="G122" s="77" t="e">
        <f t="shared" si="149"/>
        <v>#DIV/0!</v>
      </c>
      <c r="H122" s="77" t="e">
        <f>IF(B$16=1,_xll.xCalcSkew(A122,I122-AO122,b)/100,0)</f>
        <v>#DIV/0!</v>
      </c>
      <c r="I122" s="98">
        <f t="shared" si="83"/>
        <v>4</v>
      </c>
      <c r="K122" s="97">
        <f t="shared" si="84"/>
        <v>2.2499999999999999E-2</v>
      </c>
      <c r="L122" s="100">
        <f t="shared" si="85"/>
        <v>1</v>
      </c>
      <c r="M122" s="99">
        <f t="shared" ca="1" si="150"/>
        <v>2793</v>
      </c>
      <c r="N122" s="175" t="e">
        <f t="shared" si="151"/>
        <v>#DIV/0!</v>
      </c>
      <c r="O122" s="77" t="e">
        <f>IF(D$16=1,_xll.xCalcSkew($A122,P122-AZ122,b)/100,0)</f>
        <v>#DIV/0!</v>
      </c>
      <c r="P122" s="98">
        <f t="shared" si="88"/>
        <v>2.5</v>
      </c>
      <c r="R122" s="97">
        <f t="shared" si="89"/>
        <v>2.2499999999999999E-2</v>
      </c>
      <c r="S122" s="100">
        <f t="shared" si="90"/>
        <v>1</v>
      </c>
      <c r="T122" s="99">
        <f t="shared" ca="1" si="152"/>
        <v>2793</v>
      </c>
      <c r="U122" s="175" t="e">
        <f t="shared" si="153"/>
        <v>#DIV/0!</v>
      </c>
      <c r="V122" s="77" t="e">
        <f>IF(F$16=1,_xll.xCalcSkew($A122,W122-BK122,b)/100,0)</f>
        <v>#DIV/0!</v>
      </c>
      <c r="W122" s="98">
        <f t="shared" si="93"/>
        <v>2.5</v>
      </c>
      <c r="X122" s="99"/>
      <c r="Y122" s="97">
        <f t="shared" si="94"/>
        <v>2.2499999999999999E-2</v>
      </c>
      <c r="Z122" s="100">
        <f t="shared" si="95"/>
        <v>1</v>
      </c>
      <c r="AA122" s="99">
        <f t="shared" ca="1" si="154"/>
        <v>2793</v>
      </c>
      <c r="AB122" s="77" t="e">
        <f t="shared" si="155"/>
        <v>#DIV/0!</v>
      </c>
      <c r="AC122" s="77" t="e">
        <f>IF(H$16=1,_xll.xCalcSkew($A122,AD122-BV122,b)/100,0)</f>
        <v>#DIV/0!</v>
      </c>
      <c r="AD122" s="98">
        <f t="shared" si="98"/>
        <v>2.4900000000000002</v>
      </c>
      <c r="AF122" s="99">
        <f t="shared" ca="1" si="127"/>
        <v>2793</v>
      </c>
      <c r="AG122" s="99">
        <f t="shared" ca="1" si="128"/>
        <v>2792</v>
      </c>
      <c r="AH122" s="77">
        <f t="shared" si="129"/>
        <v>5.6440579685754798E-2</v>
      </c>
      <c r="AI122" s="154">
        <f t="shared" si="99"/>
        <v>30</v>
      </c>
      <c r="AL122" s="99"/>
      <c r="AM122" s="78"/>
      <c r="AN122" s="78">
        <f t="shared" si="156"/>
        <v>0</v>
      </c>
      <c r="AO122" s="303" t="e">
        <f t="shared" si="157"/>
        <v>#DIV/0!</v>
      </c>
      <c r="AP122" s="75">
        <f t="shared" si="101"/>
        <v>0</v>
      </c>
      <c r="AQ122" s="102">
        <f t="shared" si="102"/>
        <v>0</v>
      </c>
      <c r="AR122" s="101">
        <f t="shared" si="158"/>
        <v>0</v>
      </c>
      <c r="AS122" s="101">
        <f t="shared" si="159"/>
        <v>0</v>
      </c>
      <c r="AT122" s="101">
        <f t="shared" si="160"/>
        <v>0</v>
      </c>
      <c r="AU122" s="103">
        <f t="shared" si="161"/>
        <v>0</v>
      </c>
      <c r="AV122" s="103">
        <f t="shared" si="162"/>
        <v>0</v>
      </c>
      <c r="AW122" s="103">
        <f t="shared" si="163"/>
        <v>0</v>
      </c>
      <c r="AY122" s="78">
        <f t="shared" si="164"/>
        <v>0</v>
      </c>
      <c r="AZ122" s="303" t="e">
        <f t="shared" si="165"/>
        <v>#DIV/0!</v>
      </c>
      <c r="BA122" s="75">
        <f t="shared" si="106"/>
        <v>0</v>
      </c>
      <c r="BB122" s="102">
        <f t="shared" si="107"/>
        <v>0</v>
      </c>
      <c r="BC122" s="101">
        <f t="shared" si="166"/>
        <v>0</v>
      </c>
      <c r="BD122" s="101">
        <f t="shared" si="167"/>
        <v>0</v>
      </c>
      <c r="BE122" s="101">
        <f t="shared" si="168"/>
        <v>0</v>
      </c>
      <c r="BF122" s="103">
        <f t="shared" si="169"/>
        <v>0</v>
      </c>
      <c r="BG122" s="103">
        <f t="shared" si="170"/>
        <v>0</v>
      </c>
      <c r="BH122" s="103">
        <f t="shared" si="171"/>
        <v>0</v>
      </c>
      <c r="BJ122" s="78">
        <f t="shared" si="172"/>
        <v>0</v>
      </c>
      <c r="BK122" s="303" t="e">
        <f t="shared" si="173"/>
        <v>#DIV/0!</v>
      </c>
      <c r="BL122" s="75">
        <f t="shared" si="112"/>
        <v>0</v>
      </c>
      <c r="BM122" s="102">
        <f t="shared" si="113"/>
        <v>0</v>
      </c>
      <c r="BN122" s="101">
        <f t="shared" si="174"/>
        <v>0</v>
      </c>
      <c r="BO122" s="101">
        <f t="shared" si="175"/>
        <v>0</v>
      </c>
      <c r="BP122" s="101">
        <f t="shared" si="176"/>
        <v>0</v>
      </c>
      <c r="BQ122" s="103">
        <f t="shared" si="177"/>
        <v>0</v>
      </c>
      <c r="BR122" s="103">
        <f t="shared" si="178"/>
        <v>0</v>
      </c>
      <c r="BS122" s="103">
        <f t="shared" si="179"/>
        <v>0</v>
      </c>
      <c r="BU122" s="78">
        <f t="shared" si="180"/>
        <v>0</v>
      </c>
      <c r="BV122" s="303" t="e">
        <f t="shared" si="181"/>
        <v>#DIV/0!</v>
      </c>
      <c r="BW122" s="75">
        <f t="shared" si="118"/>
        <v>0</v>
      </c>
      <c r="BX122" s="102">
        <f t="shared" si="119"/>
        <v>0</v>
      </c>
      <c r="BY122" s="101">
        <f t="shared" si="182"/>
        <v>0</v>
      </c>
      <c r="BZ122" s="101">
        <f t="shared" si="183"/>
        <v>0</v>
      </c>
      <c r="CA122" s="101">
        <f t="shared" si="184"/>
        <v>0</v>
      </c>
      <c r="CB122" s="103">
        <f t="shared" si="185"/>
        <v>0</v>
      </c>
      <c r="CC122" s="103">
        <f t="shared" si="186"/>
        <v>0</v>
      </c>
      <c r="CD122" s="103">
        <f t="shared" si="187"/>
        <v>0</v>
      </c>
    </row>
    <row r="123" spans="1:82" x14ac:dyDescent="0.2">
      <c r="A123" s="96">
        <f t="shared" si="147"/>
        <v>40087</v>
      </c>
      <c r="B123" s="97">
        <f t="shared" si="124"/>
        <v>3.6949999999999998</v>
      </c>
      <c r="C123" s="77">
        <f t="shared" si="148"/>
        <v>0.20250000000000001</v>
      </c>
      <c r="D123" s="97">
        <f t="shared" si="80"/>
        <v>0</v>
      </c>
      <c r="E123" s="100">
        <f t="shared" si="81"/>
        <v>1</v>
      </c>
      <c r="F123" s="99">
        <f t="shared" ca="1" si="126"/>
        <v>2822</v>
      </c>
      <c r="G123" s="77" t="e">
        <f t="shared" si="149"/>
        <v>#DIV/0!</v>
      </c>
      <c r="H123" s="77" t="e">
        <f>IF(B$16=1,_xll.xCalcSkew(A123,I123-AO123,b)/100,0)</f>
        <v>#DIV/0!</v>
      </c>
      <c r="I123" s="98">
        <f t="shared" si="83"/>
        <v>4</v>
      </c>
      <c r="K123" s="97">
        <f t="shared" si="84"/>
        <v>1.2500000000000001E-2</v>
      </c>
      <c r="L123" s="100">
        <f t="shared" si="85"/>
        <v>1</v>
      </c>
      <c r="M123" s="99">
        <f t="shared" ca="1" si="150"/>
        <v>2825</v>
      </c>
      <c r="N123" s="175" t="e">
        <f t="shared" si="151"/>
        <v>#DIV/0!</v>
      </c>
      <c r="O123" s="77" t="e">
        <f>IF(D$16=1,_xll.xCalcSkew($A123,P123-AZ123,b)/100,0)</f>
        <v>#DIV/0!</v>
      </c>
      <c r="P123" s="98">
        <f t="shared" si="88"/>
        <v>2.5</v>
      </c>
      <c r="R123" s="97">
        <f t="shared" si="89"/>
        <v>1.2500000000000001E-2</v>
      </c>
      <c r="S123" s="100">
        <f t="shared" si="90"/>
        <v>1</v>
      </c>
      <c r="T123" s="99">
        <f t="shared" ca="1" si="152"/>
        <v>2825</v>
      </c>
      <c r="U123" s="175" t="e">
        <f t="shared" si="153"/>
        <v>#DIV/0!</v>
      </c>
      <c r="V123" s="77" t="e">
        <f>IF(F$16=1,_xll.xCalcSkew($A123,W123-BK123,b)/100,0)</f>
        <v>#DIV/0!</v>
      </c>
      <c r="W123" s="98">
        <f t="shared" si="93"/>
        <v>2.5</v>
      </c>
      <c r="X123" s="99"/>
      <c r="Y123" s="97">
        <f t="shared" si="94"/>
        <v>1.2500000000000001E-2</v>
      </c>
      <c r="Z123" s="100">
        <f t="shared" si="95"/>
        <v>1</v>
      </c>
      <c r="AA123" s="99">
        <f t="shared" ca="1" si="154"/>
        <v>2825</v>
      </c>
      <c r="AB123" s="77" t="e">
        <f t="shared" si="155"/>
        <v>#DIV/0!</v>
      </c>
      <c r="AC123" s="77" t="e">
        <f>IF(H$16=1,_xll.xCalcSkew($A123,AD123-BV123,b)/100,0)</f>
        <v>#DIV/0!</v>
      </c>
      <c r="AD123" s="98">
        <f t="shared" si="98"/>
        <v>2.4900000000000002</v>
      </c>
      <c r="AF123" s="99">
        <f t="shared" ca="1" si="127"/>
        <v>2825</v>
      </c>
      <c r="AG123" s="99">
        <f t="shared" ca="1" si="128"/>
        <v>2822</v>
      </c>
      <c r="AH123" s="77">
        <f t="shared" si="129"/>
        <v>5.6540739438806199E-2</v>
      </c>
      <c r="AI123" s="154">
        <f t="shared" si="99"/>
        <v>31</v>
      </c>
      <c r="AL123" s="99"/>
      <c r="AM123" s="78"/>
      <c r="AN123" s="78">
        <f t="shared" si="156"/>
        <v>0</v>
      </c>
      <c r="AO123" s="303" t="e">
        <f t="shared" si="157"/>
        <v>#DIV/0!</v>
      </c>
      <c r="AP123" s="75">
        <f t="shared" si="101"/>
        <v>0</v>
      </c>
      <c r="AQ123" s="102">
        <f t="shared" si="102"/>
        <v>0</v>
      </c>
      <c r="AR123" s="101">
        <f t="shared" si="158"/>
        <v>0</v>
      </c>
      <c r="AS123" s="101">
        <f t="shared" si="159"/>
        <v>0</v>
      </c>
      <c r="AT123" s="101">
        <f t="shared" si="160"/>
        <v>0</v>
      </c>
      <c r="AU123" s="103">
        <f t="shared" si="161"/>
        <v>0</v>
      </c>
      <c r="AV123" s="103">
        <f t="shared" si="162"/>
        <v>0</v>
      </c>
      <c r="AW123" s="103">
        <f t="shared" si="163"/>
        <v>0</v>
      </c>
      <c r="AY123" s="78">
        <f t="shared" si="164"/>
        <v>0</v>
      </c>
      <c r="AZ123" s="303" t="e">
        <f t="shared" si="165"/>
        <v>#DIV/0!</v>
      </c>
      <c r="BA123" s="75">
        <f t="shared" si="106"/>
        <v>0</v>
      </c>
      <c r="BB123" s="102">
        <f t="shared" si="107"/>
        <v>0</v>
      </c>
      <c r="BC123" s="101">
        <f t="shared" si="166"/>
        <v>0</v>
      </c>
      <c r="BD123" s="101">
        <f t="shared" si="167"/>
        <v>0</v>
      </c>
      <c r="BE123" s="101">
        <f t="shared" si="168"/>
        <v>0</v>
      </c>
      <c r="BF123" s="103">
        <f t="shared" si="169"/>
        <v>0</v>
      </c>
      <c r="BG123" s="103">
        <f t="shared" si="170"/>
        <v>0</v>
      </c>
      <c r="BH123" s="103">
        <f t="shared" si="171"/>
        <v>0</v>
      </c>
      <c r="BJ123" s="78">
        <f t="shared" si="172"/>
        <v>0</v>
      </c>
      <c r="BK123" s="303" t="e">
        <f t="shared" si="173"/>
        <v>#DIV/0!</v>
      </c>
      <c r="BL123" s="75">
        <f t="shared" si="112"/>
        <v>0</v>
      </c>
      <c r="BM123" s="102">
        <f t="shared" si="113"/>
        <v>0</v>
      </c>
      <c r="BN123" s="101">
        <f t="shared" si="174"/>
        <v>0</v>
      </c>
      <c r="BO123" s="101">
        <f t="shared" si="175"/>
        <v>0</v>
      </c>
      <c r="BP123" s="101">
        <f t="shared" si="176"/>
        <v>0</v>
      </c>
      <c r="BQ123" s="103">
        <f t="shared" si="177"/>
        <v>0</v>
      </c>
      <c r="BR123" s="103">
        <f t="shared" si="178"/>
        <v>0</v>
      </c>
      <c r="BS123" s="103">
        <f t="shared" si="179"/>
        <v>0</v>
      </c>
      <c r="BU123" s="78">
        <f t="shared" si="180"/>
        <v>0</v>
      </c>
      <c r="BV123" s="303" t="e">
        <f t="shared" si="181"/>
        <v>#DIV/0!</v>
      </c>
      <c r="BW123" s="75">
        <f t="shared" si="118"/>
        <v>0</v>
      </c>
      <c r="BX123" s="102">
        <f t="shared" si="119"/>
        <v>0</v>
      </c>
      <c r="BY123" s="101">
        <f t="shared" si="182"/>
        <v>0</v>
      </c>
      <c r="BZ123" s="101">
        <f t="shared" si="183"/>
        <v>0</v>
      </c>
      <c r="CA123" s="101">
        <f t="shared" si="184"/>
        <v>0</v>
      </c>
      <c r="CB123" s="103">
        <f t="shared" si="185"/>
        <v>0</v>
      </c>
      <c r="CC123" s="103">
        <f t="shared" si="186"/>
        <v>0</v>
      </c>
      <c r="CD123" s="103">
        <f t="shared" si="187"/>
        <v>0</v>
      </c>
    </row>
    <row r="124" spans="1:82" x14ac:dyDescent="0.2">
      <c r="A124" s="96">
        <f t="shared" si="147"/>
        <v>40118</v>
      </c>
      <c r="B124" s="97">
        <f t="shared" si="124"/>
        <v>3.847</v>
      </c>
      <c r="C124" s="77">
        <f t="shared" si="148"/>
        <v>0.20250000000000001</v>
      </c>
      <c r="D124" s="97">
        <f t="shared" si="80"/>
        <v>0</v>
      </c>
      <c r="E124" s="100">
        <f t="shared" si="81"/>
        <v>1</v>
      </c>
      <c r="F124" s="99">
        <f t="shared" ca="1" si="126"/>
        <v>2854</v>
      </c>
      <c r="G124" s="77" t="e">
        <f t="shared" si="149"/>
        <v>#DIV/0!</v>
      </c>
      <c r="H124" s="77" t="e">
        <f>IF(B$16=1,_xll.xCalcSkew(A124,I124-AO124,b)/100,0)</f>
        <v>#DIV/0!</v>
      </c>
      <c r="I124" s="98">
        <f t="shared" si="83"/>
        <v>4</v>
      </c>
      <c r="K124" s="97">
        <f t="shared" si="84"/>
        <v>-2.2499999999999999E-2</v>
      </c>
      <c r="L124" s="100">
        <f t="shared" si="85"/>
        <v>1</v>
      </c>
      <c r="M124" s="99">
        <f t="shared" ca="1" si="150"/>
        <v>2855</v>
      </c>
      <c r="N124" s="175" t="e">
        <f t="shared" si="151"/>
        <v>#DIV/0!</v>
      </c>
      <c r="O124" s="77" t="e">
        <f>IF(D$16=1,_xll.xCalcSkew($A124,P124-AZ124,b)/100,0)</f>
        <v>#DIV/0!</v>
      </c>
      <c r="P124" s="98">
        <f t="shared" si="88"/>
        <v>2.5</v>
      </c>
      <c r="R124" s="97">
        <f t="shared" si="89"/>
        <v>-2.2499999999999999E-2</v>
      </c>
      <c r="S124" s="100">
        <f t="shared" si="90"/>
        <v>1</v>
      </c>
      <c r="T124" s="99">
        <f t="shared" ca="1" si="152"/>
        <v>2855</v>
      </c>
      <c r="U124" s="175" t="e">
        <f t="shared" si="153"/>
        <v>#DIV/0!</v>
      </c>
      <c r="V124" s="77" t="e">
        <f>IF(F$16=1,_xll.xCalcSkew($A124,W124-BK124,b)/100,0)</f>
        <v>#DIV/0!</v>
      </c>
      <c r="W124" s="98">
        <f t="shared" si="93"/>
        <v>2.5</v>
      </c>
      <c r="X124" s="99"/>
      <c r="Y124" s="97">
        <f t="shared" si="94"/>
        <v>-2.2499999999999999E-2</v>
      </c>
      <c r="Z124" s="100">
        <f t="shared" si="95"/>
        <v>1</v>
      </c>
      <c r="AA124" s="99">
        <f t="shared" ca="1" si="154"/>
        <v>2855</v>
      </c>
      <c r="AB124" s="77" t="e">
        <f t="shared" si="155"/>
        <v>#DIV/0!</v>
      </c>
      <c r="AC124" s="77" t="e">
        <f>IF(H$16=1,_xll.xCalcSkew($A124,AD124-BV124,b)/100,0)</f>
        <v>#DIV/0!</v>
      </c>
      <c r="AD124" s="98">
        <f t="shared" si="98"/>
        <v>2.4900000000000002</v>
      </c>
      <c r="AF124" s="99">
        <f t="shared" ca="1" si="127"/>
        <v>2855</v>
      </c>
      <c r="AG124" s="99">
        <f t="shared" ca="1" si="128"/>
        <v>2854</v>
      </c>
      <c r="AH124" s="77">
        <f t="shared" si="129"/>
        <v>5.66442378538001E-2</v>
      </c>
      <c r="AI124" s="154">
        <f t="shared" si="99"/>
        <v>30</v>
      </c>
      <c r="AL124" s="99"/>
      <c r="AM124" s="78"/>
      <c r="AN124" s="78">
        <f t="shared" si="156"/>
        <v>0</v>
      </c>
      <c r="AO124" s="303" t="e">
        <f t="shared" si="157"/>
        <v>#DIV/0!</v>
      </c>
      <c r="AP124" s="75">
        <f t="shared" si="101"/>
        <v>0</v>
      </c>
      <c r="AQ124" s="102">
        <f t="shared" si="102"/>
        <v>0</v>
      </c>
      <c r="AR124" s="101">
        <f t="shared" si="158"/>
        <v>0</v>
      </c>
      <c r="AS124" s="101">
        <f t="shared" si="159"/>
        <v>0</v>
      </c>
      <c r="AT124" s="101">
        <f t="shared" si="160"/>
        <v>0</v>
      </c>
      <c r="AU124" s="103">
        <f t="shared" si="161"/>
        <v>0</v>
      </c>
      <c r="AV124" s="103">
        <f t="shared" si="162"/>
        <v>0</v>
      </c>
      <c r="AW124" s="103">
        <f t="shared" si="163"/>
        <v>0</v>
      </c>
      <c r="AY124" s="78">
        <f t="shared" si="164"/>
        <v>0</v>
      </c>
      <c r="AZ124" s="303" t="e">
        <f t="shared" si="165"/>
        <v>#DIV/0!</v>
      </c>
      <c r="BA124" s="75">
        <f t="shared" si="106"/>
        <v>0</v>
      </c>
      <c r="BB124" s="102">
        <f t="shared" si="107"/>
        <v>0</v>
      </c>
      <c r="BC124" s="101">
        <f t="shared" si="166"/>
        <v>0</v>
      </c>
      <c r="BD124" s="101">
        <f t="shared" si="167"/>
        <v>0</v>
      </c>
      <c r="BE124" s="101">
        <f t="shared" si="168"/>
        <v>0</v>
      </c>
      <c r="BF124" s="103">
        <f t="shared" si="169"/>
        <v>0</v>
      </c>
      <c r="BG124" s="103">
        <f t="shared" si="170"/>
        <v>0</v>
      </c>
      <c r="BH124" s="103">
        <f t="shared" si="171"/>
        <v>0</v>
      </c>
      <c r="BJ124" s="78">
        <f t="shared" si="172"/>
        <v>0</v>
      </c>
      <c r="BK124" s="303" t="e">
        <f t="shared" si="173"/>
        <v>#DIV/0!</v>
      </c>
      <c r="BL124" s="75">
        <f t="shared" si="112"/>
        <v>0</v>
      </c>
      <c r="BM124" s="102">
        <f t="shared" si="113"/>
        <v>0</v>
      </c>
      <c r="BN124" s="101">
        <f t="shared" si="174"/>
        <v>0</v>
      </c>
      <c r="BO124" s="101">
        <f t="shared" si="175"/>
        <v>0</v>
      </c>
      <c r="BP124" s="101">
        <f t="shared" si="176"/>
        <v>0</v>
      </c>
      <c r="BQ124" s="103">
        <f t="shared" si="177"/>
        <v>0</v>
      </c>
      <c r="BR124" s="103">
        <f t="shared" si="178"/>
        <v>0</v>
      </c>
      <c r="BS124" s="103">
        <f t="shared" si="179"/>
        <v>0</v>
      </c>
      <c r="BU124" s="78">
        <f t="shared" si="180"/>
        <v>0</v>
      </c>
      <c r="BV124" s="303" t="e">
        <f t="shared" si="181"/>
        <v>#DIV/0!</v>
      </c>
      <c r="BW124" s="75">
        <f t="shared" si="118"/>
        <v>0</v>
      </c>
      <c r="BX124" s="102">
        <f t="shared" si="119"/>
        <v>0</v>
      </c>
      <c r="BY124" s="101">
        <f t="shared" si="182"/>
        <v>0</v>
      </c>
      <c r="BZ124" s="101">
        <f t="shared" si="183"/>
        <v>0</v>
      </c>
      <c r="CA124" s="101">
        <f t="shared" si="184"/>
        <v>0</v>
      </c>
      <c r="CB124" s="103">
        <f t="shared" si="185"/>
        <v>0</v>
      </c>
      <c r="CC124" s="103">
        <f t="shared" si="186"/>
        <v>0</v>
      </c>
      <c r="CD124" s="103">
        <f t="shared" si="187"/>
        <v>0</v>
      </c>
    </row>
    <row r="125" spans="1:82" x14ac:dyDescent="0.2">
      <c r="A125" s="96">
        <f t="shared" si="147"/>
        <v>40148</v>
      </c>
      <c r="B125" s="97">
        <f t="shared" si="124"/>
        <v>3.99</v>
      </c>
      <c r="C125" s="77">
        <f t="shared" si="148"/>
        <v>0.20250000000000001</v>
      </c>
      <c r="D125" s="97">
        <f t="shared" si="80"/>
        <v>0</v>
      </c>
      <c r="E125" s="100">
        <f t="shared" si="81"/>
        <v>1</v>
      </c>
      <c r="F125" s="99">
        <f t="shared" ca="1" si="126"/>
        <v>2882</v>
      </c>
      <c r="G125" s="77" t="e">
        <f t="shared" si="149"/>
        <v>#DIV/0!</v>
      </c>
      <c r="H125" s="77" t="e">
        <f>IF(B$16=1,_xll.xCalcSkew(A125,I125-AO125,b)/100,0)</f>
        <v>#DIV/0!</v>
      </c>
      <c r="I125" s="98">
        <f t="shared" si="83"/>
        <v>4</v>
      </c>
      <c r="K125" s="97">
        <f t="shared" si="84"/>
        <v>-4.4999999999999998E-2</v>
      </c>
      <c r="L125" s="100">
        <f t="shared" si="85"/>
        <v>1</v>
      </c>
      <c r="M125" s="99">
        <f t="shared" ca="1" si="150"/>
        <v>2883</v>
      </c>
      <c r="N125" s="175" t="e">
        <f t="shared" si="151"/>
        <v>#DIV/0!</v>
      </c>
      <c r="O125" s="77" t="e">
        <f>IF(D$16=1,_xll.xCalcSkew($A125,P125-AZ125,b)/100,0)</f>
        <v>#DIV/0!</v>
      </c>
      <c r="P125" s="98">
        <f t="shared" si="88"/>
        <v>2.5</v>
      </c>
      <c r="R125" s="97">
        <f t="shared" si="89"/>
        <v>-4.4999999999999998E-2</v>
      </c>
      <c r="S125" s="100">
        <f t="shared" si="90"/>
        <v>1</v>
      </c>
      <c r="T125" s="99">
        <f t="shared" ca="1" si="152"/>
        <v>2883</v>
      </c>
      <c r="U125" s="175" t="e">
        <f t="shared" si="153"/>
        <v>#DIV/0!</v>
      </c>
      <c r="V125" s="77" t="e">
        <f>IF(F$16=1,_xll.xCalcSkew($A125,W125-BK125,b)/100,0)</f>
        <v>#DIV/0!</v>
      </c>
      <c r="W125" s="98">
        <f t="shared" si="93"/>
        <v>2.5</v>
      </c>
      <c r="X125" s="99"/>
      <c r="Y125" s="97">
        <f t="shared" si="94"/>
        <v>-4.4999999999999998E-2</v>
      </c>
      <c r="Z125" s="100">
        <f t="shared" si="95"/>
        <v>1</v>
      </c>
      <c r="AA125" s="99">
        <f t="shared" ca="1" si="154"/>
        <v>2883</v>
      </c>
      <c r="AB125" s="77" t="e">
        <f t="shared" si="155"/>
        <v>#DIV/0!</v>
      </c>
      <c r="AC125" s="77" t="e">
        <f>IF(H$16=1,_xll.xCalcSkew($A125,AD125-BV125,b)/100,0)</f>
        <v>#DIV/0!</v>
      </c>
      <c r="AD125" s="98">
        <f t="shared" si="98"/>
        <v>2.4900000000000002</v>
      </c>
      <c r="AF125" s="99">
        <f t="shared" ca="1" si="127"/>
        <v>2883</v>
      </c>
      <c r="AG125" s="99">
        <f t="shared" ca="1" si="128"/>
        <v>2882</v>
      </c>
      <c r="AH125" s="77">
        <f t="shared" si="129"/>
        <v>5.67443976136408E-2</v>
      </c>
      <c r="AI125" s="154">
        <f t="shared" si="99"/>
        <v>31</v>
      </c>
      <c r="AL125" s="99"/>
      <c r="AM125" s="78"/>
      <c r="AN125" s="78">
        <f t="shared" si="156"/>
        <v>0</v>
      </c>
      <c r="AO125" s="303" t="e">
        <f t="shared" si="157"/>
        <v>#DIV/0!</v>
      </c>
      <c r="AP125" s="75">
        <f t="shared" si="101"/>
        <v>0</v>
      </c>
      <c r="AQ125" s="102">
        <f t="shared" si="102"/>
        <v>0</v>
      </c>
      <c r="AR125" s="101">
        <f t="shared" si="158"/>
        <v>0</v>
      </c>
      <c r="AS125" s="101">
        <f t="shared" si="159"/>
        <v>0</v>
      </c>
      <c r="AT125" s="101">
        <f t="shared" si="160"/>
        <v>0</v>
      </c>
      <c r="AU125" s="103">
        <f t="shared" si="161"/>
        <v>0</v>
      </c>
      <c r="AV125" s="103">
        <f t="shared" si="162"/>
        <v>0</v>
      </c>
      <c r="AW125" s="103">
        <f t="shared" si="163"/>
        <v>0</v>
      </c>
      <c r="AY125" s="78">
        <f t="shared" si="164"/>
        <v>0</v>
      </c>
      <c r="AZ125" s="303" t="e">
        <f t="shared" si="165"/>
        <v>#DIV/0!</v>
      </c>
      <c r="BA125" s="75">
        <f t="shared" si="106"/>
        <v>0</v>
      </c>
      <c r="BB125" s="102">
        <f t="shared" si="107"/>
        <v>0</v>
      </c>
      <c r="BC125" s="101">
        <f t="shared" si="166"/>
        <v>0</v>
      </c>
      <c r="BD125" s="101">
        <f t="shared" si="167"/>
        <v>0</v>
      </c>
      <c r="BE125" s="101">
        <f t="shared" si="168"/>
        <v>0</v>
      </c>
      <c r="BF125" s="103">
        <f t="shared" si="169"/>
        <v>0</v>
      </c>
      <c r="BG125" s="103">
        <f t="shared" si="170"/>
        <v>0</v>
      </c>
      <c r="BH125" s="103">
        <f t="shared" si="171"/>
        <v>0</v>
      </c>
      <c r="BJ125" s="78">
        <f t="shared" si="172"/>
        <v>0</v>
      </c>
      <c r="BK125" s="303" t="e">
        <f t="shared" si="173"/>
        <v>#DIV/0!</v>
      </c>
      <c r="BL125" s="75">
        <f t="shared" si="112"/>
        <v>0</v>
      </c>
      <c r="BM125" s="102">
        <f t="shared" si="113"/>
        <v>0</v>
      </c>
      <c r="BN125" s="101">
        <f t="shared" si="174"/>
        <v>0</v>
      </c>
      <c r="BO125" s="101">
        <f t="shared" si="175"/>
        <v>0</v>
      </c>
      <c r="BP125" s="101">
        <f t="shared" si="176"/>
        <v>0</v>
      </c>
      <c r="BQ125" s="103">
        <f t="shared" si="177"/>
        <v>0</v>
      </c>
      <c r="BR125" s="103">
        <f t="shared" si="178"/>
        <v>0</v>
      </c>
      <c r="BS125" s="103">
        <f t="shared" si="179"/>
        <v>0</v>
      </c>
      <c r="BU125" s="78">
        <f t="shared" si="180"/>
        <v>0</v>
      </c>
      <c r="BV125" s="303" t="e">
        <f t="shared" si="181"/>
        <v>#DIV/0!</v>
      </c>
      <c r="BW125" s="75">
        <f t="shared" si="118"/>
        <v>0</v>
      </c>
      <c r="BX125" s="102">
        <f t="shared" si="119"/>
        <v>0</v>
      </c>
      <c r="BY125" s="101">
        <f t="shared" si="182"/>
        <v>0</v>
      </c>
      <c r="BZ125" s="101">
        <f t="shared" si="183"/>
        <v>0</v>
      </c>
      <c r="CA125" s="101">
        <f t="shared" si="184"/>
        <v>0</v>
      </c>
      <c r="CB125" s="103">
        <f t="shared" si="185"/>
        <v>0</v>
      </c>
      <c r="CC125" s="103">
        <f t="shared" si="186"/>
        <v>0</v>
      </c>
      <c r="CD125" s="103">
        <f t="shared" si="187"/>
        <v>0</v>
      </c>
    </row>
    <row r="126" spans="1:82" x14ac:dyDescent="0.2">
      <c r="A126" s="96">
        <f t="shared" si="147"/>
        <v>40179</v>
      </c>
      <c r="B126" s="97">
        <f t="shared" si="124"/>
        <v>4.0449999999999999</v>
      </c>
      <c r="C126" s="77">
        <f t="shared" si="148"/>
        <v>0.20250000000000001</v>
      </c>
      <c r="D126" s="97">
        <f t="shared" si="80"/>
        <v>0</v>
      </c>
      <c r="E126" s="100">
        <f t="shared" si="81"/>
        <v>1</v>
      </c>
      <c r="F126" s="99">
        <f t="shared" ca="1" si="126"/>
        <v>2916</v>
      </c>
      <c r="G126" s="77" t="e">
        <f t="shared" si="149"/>
        <v>#DIV/0!</v>
      </c>
      <c r="H126" s="77" t="e">
        <f>IF(B$16=1,_xll.xCalcSkew(A126,I126-AO126,b)/100,0)</f>
        <v>#DIV/0!</v>
      </c>
      <c r="I126" s="98">
        <f t="shared" si="83"/>
        <v>4</v>
      </c>
      <c r="K126" s="97">
        <f t="shared" si="84"/>
        <v>-4.7500000000000001E-2</v>
      </c>
      <c r="L126" s="100">
        <f t="shared" si="85"/>
        <v>1</v>
      </c>
      <c r="M126" s="99">
        <f t="shared" ca="1" si="150"/>
        <v>2917</v>
      </c>
      <c r="N126" s="175" t="e">
        <f t="shared" si="151"/>
        <v>#DIV/0!</v>
      </c>
      <c r="O126" s="77" t="e">
        <f>IF(D$16=1,_xll.xCalcSkew($A126,P126-AZ126,b)/100,0)</f>
        <v>#DIV/0!</v>
      </c>
      <c r="P126" s="98">
        <f t="shared" si="88"/>
        <v>2.5</v>
      </c>
      <c r="R126" s="97">
        <f t="shared" si="89"/>
        <v>-4.7500000000000001E-2</v>
      </c>
      <c r="S126" s="100">
        <f t="shared" si="90"/>
        <v>1</v>
      </c>
      <c r="T126" s="99">
        <f t="shared" ca="1" si="152"/>
        <v>2917</v>
      </c>
      <c r="U126" s="175" t="e">
        <f t="shared" si="153"/>
        <v>#DIV/0!</v>
      </c>
      <c r="V126" s="77" t="e">
        <f>IF(F$16=1,_xll.xCalcSkew($A126,W126-BK126,b)/100,0)</f>
        <v>#DIV/0!</v>
      </c>
      <c r="W126" s="98">
        <f t="shared" si="93"/>
        <v>2.5</v>
      </c>
      <c r="X126" s="99"/>
      <c r="Y126" s="97">
        <f t="shared" si="94"/>
        <v>-4.7500000000000001E-2</v>
      </c>
      <c r="Z126" s="100">
        <f t="shared" si="95"/>
        <v>1</v>
      </c>
      <c r="AA126" s="99">
        <f t="shared" ca="1" si="154"/>
        <v>2917</v>
      </c>
      <c r="AB126" s="77" t="e">
        <f t="shared" si="155"/>
        <v>#DIV/0!</v>
      </c>
      <c r="AC126" s="77" t="e">
        <f>IF(H$16=1,_xll.xCalcSkew($A126,AD126-BV126,b)/100,0)</f>
        <v>#DIV/0!</v>
      </c>
      <c r="AD126" s="98">
        <f t="shared" si="98"/>
        <v>2.4900000000000002</v>
      </c>
      <c r="AF126" s="99">
        <f t="shared" ca="1" si="127"/>
        <v>2917</v>
      </c>
      <c r="AG126" s="99">
        <f t="shared" ca="1" si="128"/>
        <v>2916</v>
      </c>
      <c r="AH126" s="77">
        <f t="shared" si="129"/>
        <v>5.6847896035649603E-2</v>
      </c>
      <c r="AI126" s="154">
        <f t="shared" si="99"/>
        <v>31</v>
      </c>
      <c r="AL126" s="99"/>
      <c r="AM126" s="78"/>
      <c r="AN126" s="78">
        <f t="shared" si="156"/>
        <v>0</v>
      </c>
      <c r="AO126" s="303" t="e">
        <f t="shared" si="157"/>
        <v>#DIV/0!</v>
      </c>
      <c r="AP126" s="75">
        <f t="shared" si="101"/>
        <v>0</v>
      </c>
      <c r="AQ126" s="102">
        <f t="shared" si="102"/>
        <v>0</v>
      </c>
      <c r="AR126" s="101">
        <f t="shared" si="158"/>
        <v>0</v>
      </c>
      <c r="AS126" s="101">
        <f t="shared" si="159"/>
        <v>0</v>
      </c>
      <c r="AT126" s="101">
        <f t="shared" si="160"/>
        <v>0</v>
      </c>
      <c r="AU126" s="103">
        <f t="shared" si="161"/>
        <v>0</v>
      </c>
      <c r="AV126" s="103">
        <f t="shared" si="162"/>
        <v>0</v>
      </c>
      <c r="AW126" s="103">
        <f t="shared" si="163"/>
        <v>0</v>
      </c>
      <c r="AY126" s="78">
        <f t="shared" si="164"/>
        <v>0</v>
      </c>
      <c r="AZ126" s="303" t="e">
        <f t="shared" si="165"/>
        <v>#DIV/0!</v>
      </c>
      <c r="BA126" s="75">
        <f t="shared" si="106"/>
        <v>0</v>
      </c>
      <c r="BB126" s="102">
        <f t="shared" si="107"/>
        <v>0</v>
      </c>
      <c r="BC126" s="101">
        <f t="shared" si="166"/>
        <v>0</v>
      </c>
      <c r="BD126" s="101">
        <f t="shared" si="167"/>
        <v>0</v>
      </c>
      <c r="BE126" s="101">
        <f t="shared" si="168"/>
        <v>0</v>
      </c>
      <c r="BF126" s="103">
        <f t="shared" si="169"/>
        <v>0</v>
      </c>
      <c r="BG126" s="103">
        <f t="shared" si="170"/>
        <v>0</v>
      </c>
      <c r="BH126" s="103">
        <f t="shared" si="171"/>
        <v>0</v>
      </c>
      <c r="BJ126" s="78">
        <f t="shared" si="172"/>
        <v>0</v>
      </c>
      <c r="BK126" s="303" t="e">
        <f t="shared" si="173"/>
        <v>#DIV/0!</v>
      </c>
      <c r="BL126" s="75">
        <f t="shared" si="112"/>
        <v>0</v>
      </c>
      <c r="BM126" s="102">
        <f t="shared" si="113"/>
        <v>0</v>
      </c>
      <c r="BN126" s="101">
        <f t="shared" si="174"/>
        <v>0</v>
      </c>
      <c r="BO126" s="101">
        <f t="shared" si="175"/>
        <v>0</v>
      </c>
      <c r="BP126" s="101">
        <f t="shared" si="176"/>
        <v>0</v>
      </c>
      <c r="BQ126" s="103">
        <f t="shared" si="177"/>
        <v>0</v>
      </c>
      <c r="BR126" s="103">
        <f t="shared" si="178"/>
        <v>0</v>
      </c>
      <c r="BS126" s="103">
        <f t="shared" si="179"/>
        <v>0</v>
      </c>
      <c r="BU126" s="78">
        <f t="shared" si="180"/>
        <v>0</v>
      </c>
      <c r="BV126" s="303" t="e">
        <f t="shared" si="181"/>
        <v>#DIV/0!</v>
      </c>
      <c r="BW126" s="75">
        <f t="shared" si="118"/>
        <v>0</v>
      </c>
      <c r="BX126" s="102">
        <f t="shared" si="119"/>
        <v>0</v>
      </c>
      <c r="BY126" s="101">
        <f t="shared" si="182"/>
        <v>0</v>
      </c>
      <c r="BZ126" s="101">
        <f t="shared" si="183"/>
        <v>0</v>
      </c>
      <c r="CA126" s="101">
        <f t="shared" si="184"/>
        <v>0</v>
      </c>
      <c r="CB126" s="103">
        <f t="shared" si="185"/>
        <v>0</v>
      </c>
      <c r="CC126" s="103">
        <f t="shared" si="186"/>
        <v>0</v>
      </c>
      <c r="CD126" s="103">
        <f t="shared" si="187"/>
        <v>0</v>
      </c>
    </row>
    <row r="127" spans="1:82" x14ac:dyDescent="0.2">
      <c r="A127" s="96">
        <f t="shared" si="147"/>
        <v>40210</v>
      </c>
      <c r="B127" s="97">
        <f t="shared" si="124"/>
        <v>3.96</v>
      </c>
      <c r="C127" s="77">
        <f t="shared" si="148"/>
        <v>0.2</v>
      </c>
      <c r="D127" s="97">
        <f t="shared" si="80"/>
        <v>0</v>
      </c>
      <c r="E127" s="100">
        <f t="shared" si="81"/>
        <v>1</v>
      </c>
      <c r="F127" s="99">
        <f t="shared" ca="1" si="126"/>
        <v>2945</v>
      </c>
      <c r="G127" s="77" t="e">
        <f t="shared" si="149"/>
        <v>#DIV/0!</v>
      </c>
      <c r="H127" s="77" t="e">
        <f>IF(B$16=1,_xll.xCalcSkew(A127,I127-AO127,b)/100,0)</f>
        <v>#DIV/0!</v>
      </c>
      <c r="I127" s="98">
        <f t="shared" ref="I127:I149" si="188">IF($B$19=4,$AO127,$B$18)</f>
        <v>4</v>
      </c>
      <c r="K127" s="97">
        <f t="shared" si="84"/>
        <v>-0.03</v>
      </c>
      <c r="L127" s="100">
        <f t="shared" si="85"/>
        <v>1</v>
      </c>
      <c r="M127" s="99">
        <f t="shared" ca="1" si="150"/>
        <v>2946</v>
      </c>
      <c r="N127" s="175" t="e">
        <f t="shared" si="151"/>
        <v>#DIV/0!</v>
      </c>
      <c r="O127" s="77" t="e">
        <f>IF(D$16=1,_xll.xCalcSkew($A127,P127-AZ127,b)/100,0)</f>
        <v>#DIV/0!</v>
      </c>
      <c r="P127" s="98">
        <f t="shared" ref="P127:P149" si="189">IF($D$19=4,$AZ127,$D$18)</f>
        <v>2.5</v>
      </c>
      <c r="R127" s="97">
        <f t="shared" si="89"/>
        <v>-0.03</v>
      </c>
      <c r="S127" s="100">
        <f t="shared" si="90"/>
        <v>1</v>
      </c>
      <c r="T127" s="99">
        <f t="shared" ca="1" si="152"/>
        <v>2946</v>
      </c>
      <c r="U127" s="175" t="e">
        <f t="shared" si="153"/>
        <v>#DIV/0!</v>
      </c>
      <c r="V127" s="77" t="e">
        <f>IF(F$16=1,_xll.xCalcSkew($A127,W127-BK127,b)/100,0)</f>
        <v>#DIV/0!</v>
      </c>
      <c r="W127" s="98">
        <f t="shared" ref="W127:W149" si="190">IF($F$19=4,$BK127,$F$18)</f>
        <v>2.5</v>
      </c>
      <c r="X127" s="99"/>
      <c r="Y127" s="97">
        <f t="shared" si="94"/>
        <v>-0.03</v>
      </c>
      <c r="Z127" s="100">
        <f t="shared" si="95"/>
        <v>1</v>
      </c>
      <c r="AA127" s="99">
        <f t="shared" ca="1" si="154"/>
        <v>2946</v>
      </c>
      <c r="AB127" s="77" t="e">
        <f t="shared" si="155"/>
        <v>#DIV/0!</v>
      </c>
      <c r="AC127" s="77" t="e">
        <f>IF(H$16=1,_xll.xCalcSkew($A127,AD127-BV127,b)/100,0)</f>
        <v>#DIV/0!</v>
      </c>
      <c r="AD127" s="98">
        <f t="shared" ref="AD127:AD149" si="191">IF($H$19=4,$BV127,$H$18)</f>
        <v>2.4900000000000002</v>
      </c>
      <c r="AF127" s="99">
        <f t="shared" ca="1" si="127"/>
        <v>2946</v>
      </c>
      <c r="AG127" s="99">
        <f t="shared" ca="1" si="128"/>
        <v>2945</v>
      </c>
      <c r="AH127" s="77">
        <f t="shared" si="129"/>
        <v>5.6951394461223E-2</v>
      </c>
      <c r="AI127" s="154">
        <f t="shared" si="99"/>
        <v>28</v>
      </c>
      <c r="AL127" s="99"/>
      <c r="AM127" s="78"/>
      <c r="AN127" s="78">
        <f t="shared" si="156"/>
        <v>0</v>
      </c>
      <c r="AO127" s="303" t="e">
        <f t="shared" si="157"/>
        <v>#DIV/0!</v>
      </c>
      <c r="AP127" s="75">
        <f t="shared" ref="AP127:AP149" si="192">AN127*($B127+B$13)</f>
        <v>0</v>
      </c>
      <c r="AQ127" s="102">
        <f t="shared" ref="AQ127:AQ149" si="193">IF(ISNUMBER(((AP127/AN127)+B$14+$D127)*AN127),((AP127/AN127)+B$14+$D127)*AN127,0)</f>
        <v>0</v>
      </c>
      <c r="AR127" s="101">
        <f t="shared" si="158"/>
        <v>0</v>
      </c>
      <c r="AS127" s="101">
        <f t="shared" si="159"/>
        <v>0</v>
      </c>
      <c r="AT127" s="101">
        <f t="shared" si="160"/>
        <v>0</v>
      </c>
      <c r="AU127" s="103">
        <f t="shared" si="161"/>
        <v>0</v>
      </c>
      <c r="AV127" s="103">
        <f t="shared" si="162"/>
        <v>0</v>
      </c>
      <c r="AW127" s="103">
        <f t="shared" si="163"/>
        <v>0</v>
      </c>
      <c r="AY127" s="78">
        <f t="shared" si="164"/>
        <v>0</v>
      </c>
      <c r="AZ127" s="303" t="e">
        <f t="shared" si="165"/>
        <v>#DIV/0!</v>
      </c>
      <c r="BA127" s="75">
        <f t="shared" ref="BA127:BA149" si="194">AY127*($B127+D$13)</f>
        <v>0</v>
      </c>
      <c r="BB127" s="102">
        <f t="shared" ref="BB127:BB149" si="195">IF(ISNUMBER(((BA127/AY127)+D$14+$K127)*AY127),((BA127/AY127)+D$14+$K127)*AY127,0)</f>
        <v>0</v>
      </c>
      <c r="BC127" s="101">
        <f t="shared" si="166"/>
        <v>0</v>
      </c>
      <c r="BD127" s="101">
        <f t="shared" si="167"/>
        <v>0</v>
      </c>
      <c r="BE127" s="101">
        <f t="shared" si="168"/>
        <v>0</v>
      </c>
      <c r="BF127" s="103">
        <f t="shared" si="169"/>
        <v>0</v>
      </c>
      <c r="BG127" s="103">
        <f t="shared" si="170"/>
        <v>0</v>
      </c>
      <c r="BH127" s="103">
        <f t="shared" si="171"/>
        <v>0</v>
      </c>
      <c r="BJ127" s="78">
        <f t="shared" si="172"/>
        <v>0</v>
      </c>
      <c r="BK127" s="303" t="e">
        <f t="shared" si="173"/>
        <v>#DIV/0!</v>
      </c>
      <c r="BL127" s="75">
        <f t="shared" ref="BL127:BL149" si="196">BJ127*($B127+F$13)</f>
        <v>0</v>
      </c>
      <c r="BM127" s="102">
        <f t="shared" ref="BM127:BM149" si="197">IF(ISNUMBER(((BL127/BJ127)+F$14+$R127)*BJ127),((BL127/BJ127)+F$14+$R127)*BJ127,0)</f>
        <v>0</v>
      </c>
      <c r="BN127" s="101">
        <f t="shared" si="174"/>
        <v>0</v>
      </c>
      <c r="BO127" s="101">
        <f t="shared" si="175"/>
        <v>0</v>
      </c>
      <c r="BP127" s="101">
        <f t="shared" si="176"/>
        <v>0</v>
      </c>
      <c r="BQ127" s="103">
        <f t="shared" si="177"/>
        <v>0</v>
      </c>
      <c r="BR127" s="103">
        <f t="shared" si="178"/>
        <v>0</v>
      </c>
      <c r="BS127" s="103">
        <f t="shared" si="179"/>
        <v>0</v>
      </c>
      <c r="BU127" s="78">
        <f t="shared" si="180"/>
        <v>0</v>
      </c>
      <c r="BV127" s="303" t="e">
        <f t="shared" si="181"/>
        <v>#DIV/0!</v>
      </c>
      <c r="BW127" s="75">
        <f t="shared" ref="BW127:BW149" si="198">BU127*($B127+H$13)</f>
        <v>0</v>
      </c>
      <c r="BX127" s="102">
        <f t="shared" ref="BX127:BX149" si="199">IF(ISNUMBER(((BW127/BU127)+H$14+$Y127)*BU127),((BW127/BU127)+H$14+$Y127)*BU127,0)</f>
        <v>0</v>
      </c>
      <c r="BY127" s="101">
        <f t="shared" si="182"/>
        <v>0</v>
      </c>
      <c r="BZ127" s="101">
        <f t="shared" si="183"/>
        <v>0</v>
      </c>
      <c r="CA127" s="101">
        <f t="shared" si="184"/>
        <v>0</v>
      </c>
      <c r="CB127" s="103">
        <f t="shared" si="185"/>
        <v>0</v>
      </c>
      <c r="CC127" s="103">
        <f t="shared" si="186"/>
        <v>0</v>
      </c>
      <c r="CD127" s="103">
        <f t="shared" si="187"/>
        <v>0</v>
      </c>
    </row>
    <row r="128" spans="1:82" x14ac:dyDescent="0.2">
      <c r="A128" s="96">
        <f t="shared" si="147"/>
        <v>40238</v>
      </c>
      <c r="B128" s="97">
        <f t="shared" si="124"/>
        <v>3.83</v>
      </c>
      <c r="C128" s="77">
        <f t="shared" si="148"/>
        <v>0.19500000000000001</v>
      </c>
      <c r="D128" s="97">
        <f t="shared" si="80"/>
        <v>0</v>
      </c>
      <c r="E128" s="100">
        <f t="shared" si="81"/>
        <v>1</v>
      </c>
      <c r="F128" s="99">
        <f t="shared" ca="1" si="126"/>
        <v>2973</v>
      </c>
      <c r="G128" s="77" t="e">
        <f t="shared" si="149"/>
        <v>#DIV/0!</v>
      </c>
      <c r="H128" s="77" t="e">
        <f>IF(B$16=1,_xll.xCalcSkew(A128,I128-AO128,b)/100,0)</f>
        <v>#DIV/0!</v>
      </c>
      <c r="I128" s="98">
        <f t="shared" si="188"/>
        <v>4</v>
      </c>
      <c r="K128" s="97">
        <f t="shared" si="84"/>
        <v>-1.7500000000000002E-2</v>
      </c>
      <c r="L128" s="100">
        <f t="shared" si="85"/>
        <v>1</v>
      </c>
      <c r="M128" s="99">
        <f t="shared" ca="1" si="150"/>
        <v>2974</v>
      </c>
      <c r="N128" s="175" t="e">
        <f t="shared" si="151"/>
        <v>#DIV/0!</v>
      </c>
      <c r="O128" s="77" t="e">
        <f>IF(D$16=1,_xll.xCalcSkew($A128,P128-AZ128,b)/100,0)</f>
        <v>#DIV/0!</v>
      </c>
      <c r="P128" s="98">
        <f t="shared" si="189"/>
        <v>2.5</v>
      </c>
      <c r="R128" s="97">
        <f t="shared" si="89"/>
        <v>-1.7500000000000002E-2</v>
      </c>
      <c r="S128" s="100">
        <f t="shared" si="90"/>
        <v>1</v>
      </c>
      <c r="T128" s="99">
        <f t="shared" ca="1" si="152"/>
        <v>2974</v>
      </c>
      <c r="U128" s="175" t="e">
        <f t="shared" si="153"/>
        <v>#DIV/0!</v>
      </c>
      <c r="V128" s="77" t="e">
        <f>IF(F$16=1,_xll.xCalcSkew($A128,W128-BK128,b)/100,0)</f>
        <v>#DIV/0!</v>
      </c>
      <c r="W128" s="98">
        <f t="shared" si="190"/>
        <v>2.5</v>
      </c>
      <c r="X128" s="99"/>
      <c r="Y128" s="97">
        <f t="shared" si="94"/>
        <v>-1.7500000000000002E-2</v>
      </c>
      <c r="Z128" s="100">
        <f t="shared" si="95"/>
        <v>1</v>
      </c>
      <c r="AA128" s="99">
        <f t="shared" ca="1" si="154"/>
        <v>2974</v>
      </c>
      <c r="AB128" s="77" t="e">
        <f t="shared" si="155"/>
        <v>#DIV/0!</v>
      </c>
      <c r="AC128" s="77" t="e">
        <f>IF(H$16=1,_xll.xCalcSkew($A128,AD128-BV128,b)/100,0)</f>
        <v>#DIV/0!</v>
      </c>
      <c r="AD128" s="98">
        <f t="shared" si="191"/>
        <v>2.4900000000000002</v>
      </c>
      <c r="AF128" s="99">
        <f t="shared" ca="1" si="127"/>
        <v>2974</v>
      </c>
      <c r="AG128" s="99">
        <f t="shared" ca="1" si="128"/>
        <v>2973</v>
      </c>
      <c r="AH128" s="77">
        <f t="shared" si="129"/>
        <v>5.7044876913192197E-2</v>
      </c>
      <c r="AI128" s="154">
        <f t="shared" si="99"/>
        <v>31</v>
      </c>
      <c r="AL128" s="99"/>
      <c r="AM128" s="78"/>
      <c r="AN128" s="78">
        <f t="shared" si="156"/>
        <v>0</v>
      </c>
      <c r="AO128" s="303" t="e">
        <f t="shared" si="157"/>
        <v>#DIV/0!</v>
      </c>
      <c r="AP128" s="75">
        <f t="shared" si="192"/>
        <v>0</v>
      </c>
      <c r="AQ128" s="102">
        <f t="shared" si="193"/>
        <v>0</v>
      </c>
      <c r="AR128" s="101">
        <f t="shared" si="158"/>
        <v>0</v>
      </c>
      <c r="AS128" s="101">
        <f t="shared" si="159"/>
        <v>0</v>
      </c>
      <c r="AT128" s="101">
        <f t="shared" si="160"/>
        <v>0</v>
      </c>
      <c r="AU128" s="103">
        <f t="shared" si="161"/>
        <v>0</v>
      </c>
      <c r="AV128" s="103">
        <f t="shared" si="162"/>
        <v>0</v>
      </c>
      <c r="AW128" s="103">
        <f t="shared" si="163"/>
        <v>0</v>
      </c>
      <c r="AY128" s="78">
        <f t="shared" si="164"/>
        <v>0</v>
      </c>
      <c r="AZ128" s="303" t="e">
        <f t="shared" si="165"/>
        <v>#DIV/0!</v>
      </c>
      <c r="BA128" s="75">
        <f t="shared" si="194"/>
        <v>0</v>
      </c>
      <c r="BB128" s="102">
        <f t="shared" si="195"/>
        <v>0</v>
      </c>
      <c r="BC128" s="101">
        <f t="shared" si="166"/>
        <v>0</v>
      </c>
      <c r="BD128" s="101">
        <f t="shared" si="167"/>
        <v>0</v>
      </c>
      <c r="BE128" s="101">
        <f t="shared" si="168"/>
        <v>0</v>
      </c>
      <c r="BF128" s="103">
        <f t="shared" si="169"/>
        <v>0</v>
      </c>
      <c r="BG128" s="103">
        <f t="shared" si="170"/>
        <v>0</v>
      </c>
      <c r="BH128" s="103">
        <f t="shared" si="171"/>
        <v>0</v>
      </c>
      <c r="BJ128" s="78">
        <f t="shared" si="172"/>
        <v>0</v>
      </c>
      <c r="BK128" s="303" t="e">
        <f t="shared" si="173"/>
        <v>#DIV/0!</v>
      </c>
      <c r="BL128" s="75">
        <f t="shared" si="196"/>
        <v>0</v>
      </c>
      <c r="BM128" s="102">
        <f t="shared" si="197"/>
        <v>0</v>
      </c>
      <c r="BN128" s="101">
        <f t="shared" si="174"/>
        <v>0</v>
      </c>
      <c r="BO128" s="101">
        <f t="shared" si="175"/>
        <v>0</v>
      </c>
      <c r="BP128" s="101">
        <f t="shared" si="176"/>
        <v>0</v>
      </c>
      <c r="BQ128" s="103">
        <f t="shared" si="177"/>
        <v>0</v>
      </c>
      <c r="BR128" s="103">
        <f t="shared" si="178"/>
        <v>0</v>
      </c>
      <c r="BS128" s="103">
        <f t="shared" si="179"/>
        <v>0</v>
      </c>
      <c r="BU128" s="78">
        <f t="shared" si="180"/>
        <v>0</v>
      </c>
      <c r="BV128" s="303" t="e">
        <f t="shared" si="181"/>
        <v>#DIV/0!</v>
      </c>
      <c r="BW128" s="75">
        <f t="shared" si="198"/>
        <v>0</v>
      </c>
      <c r="BX128" s="102">
        <f t="shared" si="199"/>
        <v>0</v>
      </c>
      <c r="BY128" s="101">
        <f t="shared" si="182"/>
        <v>0</v>
      </c>
      <c r="BZ128" s="101">
        <f t="shared" si="183"/>
        <v>0</v>
      </c>
      <c r="CA128" s="101">
        <f t="shared" si="184"/>
        <v>0</v>
      </c>
      <c r="CB128" s="103">
        <f t="shared" si="185"/>
        <v>0</v>
      </c>
      <c r="CC128" s="103">
        <f t="shared" si="186"/>
        <v>0</v>
      </c>
      <c r="CD128" s="103">
        <f t="shared" si="187"/>
        <v>0</v>
      </c>
    </row>
    <row r="129" spans="1:82" x14ac:dyDescent="0.2">
      <c r="A129" s="96">
        <f t="shared" si="147"/>
        <v>40269</v>
      </c>
      <c r="B129" s="97">
        <f t="shared" si="124"/>
        <v>3.645</v>
      </c>
      <c r="C129" s="77">
        <f t="shared" si="148"/>
        <v>0.19</v>
      </c>
      <c r="D129" s="97">
        <f t="shared" si="80"/>
        <v>0</v>
      </c>
      <c r="E129" s="100">
        <f t="shared" si="81"/>
        <v>1</v>
      </c>
      <c r="F129" s="99">
        <f t="shared" ca="1" si="126"/>
        <v>3004</v>
      </c>
      <c r="G129" s="77" t="e">
        <f t="shared" si="149"/>
        <v>#DIV/0!</v>
      </c>
      <c r="H129" s="77" t="e">
        <f>IF(B$16=1,_xll.xCalcSkew(A129,I129-AO129,b)/100,0)</f>
        <v>#DIV/0!</v>
      </c>
      <c r="I129" s="98">
        <f t="shared" si="188"/>
        <v>4</v>
      </c>
      <c r="K129" s="97">
        <f t="shared" si="84"/>
        <v>0.02</v>
      </c>
      <c r="L129" s="100">
        <f t="shared" si="85"/>
        <v>1</v>
      </c>
      <c r="M129" s="99">
        <f t="shared" ca="1" si="150"/>
        <v>3007</v>
      </c>
      <c r="N129" s="175" t="e">
        <f t="shared" si="151"/>
        <v>#DIV/0!</v>
      </c>
      <c r="O129" s="77" t="e">
        <f>IF(D$16=1,_xll.xCalcSkew($A129,P129-AZ129,b)/100,0)</f>
        <v>#DIV/0!</v>
      </c>
      <c r="P129" s="98">
        <f t="shared" si="189"/>
        <v>2.5</v>
      </c>
      <c r="R129" s="97">
        <f t="shared" si="89"/>
        <v>0.02</v>
      </c>
      <c r="S129" s="100">
        <f t="shared" si="90"/>
        <v>1</v>
      </c>
      <c r="T129" s="99">
        <f t="shared" ca="1" si="152"/>
        <v>3007</v>
      </c>
      <c r="U129" s="175" t="e">
        <f t="shared" si="153"/>
        <v>#DIV/0!</v>
      </c>
      <c r="V129" s="77" t="e">
        <f>IF(F$16=1,_xll.xCalcSkew($A129,W129-BK129,b)/100,0)</f>
        <v>#DIV/0!</v>
      </c>
      <c r="W129" s="98">
        <f t="shared" si="190"/>
        <v>2.5</v>
      </c>
      <c r="X129" s="99"/>
      <c r="Y129" s="97">
        <f t="shared" si="94"/>
        <v>0.02</v>
      </c>
      <c r="Z129" s="100">
        <f t="shared" si="95"/>
        <v>1</v>
      </c>
      <c r="AA129" s="99">
        <f t="shared" ca="1" si="154"/>
        <v>3007</v>
      </c>
      <c r="AB129" s="77" t="e">
        <f t="shared" si="155"/>
        <v>#DIV/0!</v>
      </c>
      <c r="AC129" s="77" t="e">
        <f>IF(H$16=1,_xll.xCalcSkew($A129,AD129-BV129,b)/100,0)</f>
        <v>#DIV/0!</v>
      </c>
      <c r="AD129" s="98">
        <f t="shared" si="191"/>
        <v>2.4900000000000002</v>
      </c>
      <c r="AF129" s="99">
        <f t="shared" ca="1" si="127"/>
        <v>3007</v>
      </c>
      <c r="AG129" s="99">
        <f t="shared" ca="1" si="128"/>
        <v>3004</v>
      </c>
      <c r="AH129" s="77">
        <f t="shared" si="129"/>
        <v>5.7148375345549098E-2</v>
      </c>
      <c r="AI129" s="154">
        <f t="shared" si="99"/>
        <v>30</v>
      </c>
      <c r="AL129" s="99"/>
      <c r="AM129" s="78"/>
      <c r="AN129" s="78">
        <f t="shared" si="156"/>
        <v>0</v>
      </c>
      <c r="AO129" s="303" t="e">
        <f t="shared" si="157"/>
        <v>#DIV/0!</v>
      </c>
      <c r="AP129" s="75">
        <f t="shared" si="192"/>
        <v>0</v>
      </c>
      <c r="AQ129" s="102">
        <f t="shared" si="193"/>
        <v>0</v>
      </c>
      <c r="AR129" s="101">
        <f t="shared" si="158"/>
        <v>0</v>
      </c>
      <c r="AS129" s="101">
        <f t="shared" si="159"/>
        <v>0</v>
      </c>
      <c r="AT129" s="101">
        <f t="shared" si="160"/>
        <v>0</v>
      </c>
      <c r="AU129" s="103">
        <f t="shared" si="161"/>
        <v>0</v>
      </c>
      <c r="AV129" s="103">
        <f t="shared" si="162"/>
        <v>0</v>
      </c>
      <c r="AW129" s="103">
        <f t="shared" si="163"/>
        <v>0</v>
      </c>
      <c r="AY129" s="78">
        <f t="shared" si="164"/>
        <v>0</v>
      </c>
      <c r="AZ129" s="303" t="e">
        <f t="shared" si="165"/>
        <v>#DIV/0!</v>
      </c>
      <c r="BA129" s="75">
        <f t="shared" si="194"/>
        <v>0</v>
      </c>
      <c r="BB129" s="102">
        <f t="shared" si="195"/>
        <v>0</v>
      </c>
      <c r="BC129" s="101">
        <f t="shared" si="166"/>
        <v>0</v>
      </c>
      <c r="BD129" s="101">
        <f t="shared" si="167"/>
        <v>0</v>
      </c>
      <c r="BE129" s="101">
        <f t="shared" si="168"/>
        <v>0</v>
      </c>
      <c r="BF129" s="103">
        <f t="shared" si="169"/>
        <v>0</v>
      </c>
      <c r="BG129" s="103">
        <f t="shared" si="170"/>
        <v>0</v>
      </c>
      <c r="BH129" s="103">
        <f t="shared" si="171"/>
        <v>0</v>
      </c>
      <c r="BJ129" s="78">
        <f t="shared" si="172"/>
        <v>0</v>
      </c>
      <c r="BK129" s="303" t="e">
        <f t="shared" si="173"/>
        <v>#DIV/0!</v>
      </c>
      <c r="BL129" s="75">
        <f t="shared" si="196"/>
        <v>0</v>
      </c>
      <c r="BM129" s="102">
        <f t="shared" si="197"/>
        <v>0</v>
      </c>
      <c r="BN129" s="101">
        <f t="shared" si="174"/>
        <v>0</v>
      </c>
      <c r="BO129" s="101">
        <f t="shared" si="175"/>
        <v>0</v>
      </c>
      <c r="BP129" s="101">
        <f t="shared" si="176"/>
        <v>0</v>
      </c>
      <c r="BQ129" s="103">
        <f t="shared" si="177"/>
        <v>0</v>
      </c>
      <c r="BR129" s="103">
        <f t="shared" si="178"/>
        <v>0</v>
      </c>
      <c r="BS129" s="103">
        <f t="shared" si="179"/>
        <v>0</v>
      </c>
      <c r="BU129" s="78">
        <f t="shared" si="180"/>
        <v>0</v>
      </c>
      <c r="BV129" s="303" t="e">
        <f t="shared" si="181"/>
        <v>#DIV/0!</v>
      </c>
      <c r="BW129" s="75">
        <f t="shared" si="198"/>
        <v>0</v>
      </c>
      <c r="BX129" s="102">
        <f t="shared" si="199"/>
        <v>0</v>
      </c>
      <c r="BY129" s="101">
        <f t="shared" si="182"/>
        <v>0</v>
      </c>
      <c r="BZ129" s="101">
        <f t="shared" si="183"/>
        <v>0</v>
      </c>
      <c r="CA129" s="101">
        <f t="shared" si="184"/>
        <v>0</v>
      </c>
      <c r="CB129" s="103">
        <f t="shared" si="185"/>
        <v>0</v>
      </c>
      <c r="CC129" s="103">
        <f t="shared" si="186"/>
        <v>0</v>
      </c>
      <c r="CD129" s="103">
        <f t="shared" si="187"/>
        <v>0</v>
      </c>
    </row>
    <row r="130" spans="1:82" x14ac:dyDescent="0.2">
      <c r="A130" s="96">
        <f t="shared" si="147"/>
        <v>40299</v>
      </c>
      <c r="B130" s="97">
        <f t="shared" si="124"/>
        <v>3.64</v>
      </c>
      <c r="C130" s="77">
        <f t="shared" si="148"/>
        <v>0.185</v>
      </c>
      <c r="D130" s="97">
        <f t="shared" si="80"/>
        <v>0</v>
      </c>
      <c r="E130" s="100">
        <f t="shared" si="81"/>
        <v>1</v>
      </c>
      <c r="F130" s="99">
        <f t="shared" ca="1" si="126"/>
        <v>3036</v>
      </c>
      <c r="G130" s="77" t="e">
        <f t="shared" si="149"/>
        <v>#DIV/0!</v>
      </c>
      <c r="H130" s="77" t="e">
        <f>IF(B$16=1,_xll.xCalcSkew(A130,I130-AO130,b)/100,0)</f>
        <v>#DIV/0!</v>
      </c>
      <c r="I130" s="98">
        <f t="shared" si="188"/>
        <v>4</v>
      </c>
      <c r="K130" s="97">
        <f t="shared" si="84"/>
        <v>0.02</v>
      </c>
      <c r="L130" s="100">
        <f t="shared" si="85"/>
        <v>1</v>
      </c>
      <c r="M130" s="99">
        <f t="shared" ca="1" si="150"/>
        <v>3037</v>
      </c>
      <c r="N130" s="175" t="e">
        <f t="shared" si="151"/>
        <v>#DIV/0!</v>
      </c>
      <c r="O130" s="77" t="e">
        <f>IF(D$16=1,_xll.xCalcSkew($A130,P130-AZ130,b)/100,0)</f>
        <v>#DIV/0!</v>
      </c>
      <c r="P130" s="98">
        <f t="shared" si="189"/>
        <v>2.5</v>
      </c>
      <c r="R130" s="97">
        <f t="shared" si="89"/>
        <v>0.02</v>
      </c>
      <c r="S130" s="100">
        <f t="shared" si="90"/>
        <v>1</v>
      </c>
      <c r="T130" s="99">
        <f t="shared" ca="1" si="152"/>
        <v>3037</v>
      </c>
      <c r="U130" s="175" t="e">
        <f t="shared" si="153"/>
        <v>#DIV/0!</v>
      </c>
      <c r="V130" s="77" t="e">
        <f>IF(F$16=1,_xll.xCalcSkew($A130,W130-BK130,b)/100,0)</f>
        <v>#DIV/0!</v>
      </c>
      <c r="W130" s="98">
        <f t="shared" si="190"/>
        <v>2.5</v>
      </c>
      <c r="X130" s="99"/>
      <c r="Y130" s="97">
        <f t="shared" si="94"/>
        <v>0.02</v>
      </c>
      <c r="Z130" s="100">
        <f t="shared" si="95"/>
        <v>1</v>
      </c>
      <c r="AA130" s="99">
        <f t="shared" ca="1" si="154"/>
        <v>3037</v>
      </c>
      <c r="AB130" s="77" t="e">
        <f t="shared" si="155"/>
        <v>#DIV/0!</v>
      </c>
      <c r="AC130" s="77" t="e">
        <f>IF(H$16=1,_xll.xCalcSkew($A130,AD130-BV130,b)/100,0)</f>
        <v>#DIV/0!</v>
      </c>
      <c r="AD130" s="98">
        <f t="shared" si="191"/>
        <v>2.4900000000000002</v>
      </c>
      <c r="AF130" s="99">
        <f t="shared" ca="1" si="127"/>
        <v>3037</v>
      </c>
      <c r="AG130" s="99">
        <f t="shared" ca="1" si="128"/>
        <v>3036</v>
      </c>
      <c r="AH130" s="77">
        <f t="shared" si="129"/>
        <v>5.7248535122191899E-2</v>
      </c>
      <c r="AI130" s="154">
        <f t="shared" si="99"/>
        <v>31</v>
      </c>
      <c r="AL130" s="99"/>
      <c r="AM130" s="78"/>
      <c r="AN130" s="78">
        <f t="shared" si="156"/>
        <v>0</v>
      </c>
      <c r="AO130" s="303" t="e">
        <f t="shared" si="157"/>
        <v>#DIV/0!</v>
      </c>
      <c r="AP130" s="75">
        <f t="shared" si="192"/>
        <v>0</v>
      </c>
      <c r="AQ130" s="102">
        <f t="shared" si="193"/>
        <v>0</v>
      </c>
      <c r="AR130" s="101">
        <f t="shared" si="158"/>
        <v>0</v>
      </c>
      <c r="AS130" s="101">
        <f t="shared" si="159"/>
        <v>0</v>
      </c>
      <c r="AT130" s="101">
        <f t="shared" si="160"/>
        <v>0</v>
      </c>
      <c r="AU130" s="103">
        <f t="shared" si="161"/>
        <v>0</v>
      </c>
      <c r="AV130" s="103">
        <f t="shared" si="162"/>
        <v>0</v>
      </c>
      <c r="AW130" s="103">
        <f t="shared" si="163"/>
        <v>0</v>
      </c>
      <c r="AY130" s="78">
        <f t="shared" si="164"/>
        <v>0</v>
      </c>
      <c r="AZ130" s="303" t="e">
        <f t="shared" si="165"/>
        <v>#DIV/0!</v>
      </c>
      <c r="BA130" s="75">
        <f t="shared" si="194"/>
        <v>0</v>
      </c>
      <c r="BB130" s="102">
        <f t="shared" si="195"/>
        <v>0</v>
      </c>
      <c r="BC130" s="101">
        <f t="shared" si="166"/>
        <v>0</v>
      </c>
      <c r="BD130" s="101">
        <f t="shared" si="167"/>
        <v>0</v>
      </c>
      <c r="BE130" s="101">
        <f t="shared" si="168"/>
        <v>0</v>
      </c>
      <c r="BF130" s="103">
        <f t="shared" si="169"/>
        <v>0</v>
      </c>
      <c r="BG130" s="103">
        <f t="shared" si="170"/>
        <v>0</v>
      </c>
      <c r="BH130" s="103">
        <f t="shared" si="171"/>
        <v>0</v>
      </c>
      <c r="BJ130" s="78">
        <f t="shared" si="172"/>
        <v>0</v>
      </c>
      <c r="BK130" s="303" t="e">
        <f t="shared" si="173"/>
        <v>#DIV/0!</v>
      </c>
      <c r="BL130" s="75">
        <f t="shared" si="196"/>
        <v>0</v>
      </c>
      <c r="BM130" s="102">
        <f t="shared" si="197"/>
        <v>0</v>
      </c>
      <c r="BN130" s="101">
        <f t="shared" si="174"/>
        <v>0</v>
      </c>
      <c r="BO130" s="101">
        <f t="shared" si="175"/>
        <v>0</v>
      </c>
      <c r="BP130" s="101">
        <f t="shared" si="176"/>
        <v>0</v>
      </c>
      <c r="BQ130" s="103">
        <f t="shared" si="177"/>
        <v>0</v>
      </c>
      <c r="BR130" s="103">
        <f t="shared" si="178"/>
        <v>0</v>
      </c>
      <c r="BS130" s="103">
        <f t="shared" si="179"/>
        <v>0</v>
      </c>
      <c r="BU130" s="78">
        <f t="shared" si="180"/>
        <v>0</v>
      </c>
      <c r="BV130" s="303" t="e">
        <f t="shared" si="181"/>
        <v>#DIV/0!</v>
      </c>
      <c r="BW130" s="75">
        <f t="shared" si="198"/>
        <v>0</v>
      </c>
      <c r="BX130" s="102">
        <f t="shared" si="199"/>
        <v>0</v>
      </c>
      <c r="BY130" s="101">
        <f t="shared" si="182"/>
        <v>0</v>
      </c>
      <c r="BZ130" s="101">
        <f t="shared" si="183"/>
        <v>0</v>
      </c>
      <c r="CA130" s="101">
        <f t="shared" si="184"/>
        <v>0</v>
      </c>
      <c r="CB130" s="103">
        <f t="shared" si="185"/>
        <v>0</v>
      </c>
      <c r="CC130" s="103">
        <f t="shared" si="186"/>
        <v>0</v>
      </c>
      <c r="CD130" s="103">
        <f t="shared" si="187"/>
        <v>0</v>
      </c>
    </row>
    <row r="131" spans="1:82" x14ac:dyDescent="0.2">
      <c r="A131" s="96">
        <f t="shared" si="147"/>
        <v>40330</v>
      </c>
      <c r="B131" s="97">
        <f t="shared" si="124"/>
        <v>3.6749999999999998</v>
      </c>
      <c r="C131" s="77">
        <f t="shared" si="148"/>
        <v>0.185</v>
      </c>
      <c r="D131" s="97">
        <f t="shared" si="80"/>
        <v>0</v>
      </c>
      <c r="E131" s="100">
        <f t="shared" si="81"/>
        <v>1</v>
      </c>
      <c r="F131" s="99">
        <f t="shared" ca="1" si="126"/>
        <v>3064</v>
      </c>
      <c r="G131" s="77" t="e">
        <f t="shared" si="149"/>
        <v>#DIV/0!</v>
      </c>
      <c r="H131" s="77" t="e">
        <f>IF(B$16=1,_xll.xCalcSkew(A131,I131-AO131,b)/100,0)</f>
        <v>#DIV/0!</v>
      </c>
      <c r="I131" s="98">
        <f t="shared" si="188"/>
        <v>4</v>
      </c>
      <c r="K131" s="97">
        <f t="shared" si="84"/>
        <v>2.5000000000000001E-2</v>
      </c>
      <c r="L131" s="100">
        <f t="shared" si="85"/>
        <v>1</v>
      </c>
      <c r="M131" s="99">
        <f t="shared" ca="1" si="150"/>
        <v>3065</v>
      </c>
      <c r="N131" s="175" t="e">
        <f t="shared" si="151"/>
        <v>#DIV/0!</v>
      </c>
      <c r="O131" s="77" t="e">
        <f>IF(D$16=1,_xll.xCalcSkew($A131,P131-AZ131,b)/100,0)</f>
        <v>#DIV/0!</v>
      </c>
      <c r="P131" s="98">
        <f t="shared" si="189"/>
        <v>2.5</v>
      </c>
      <c r="R131" s="97">
        <f t="shared" si="89"/>
        <v>2.5000000000000001E-2</v>
      </c>
      <c r="S131" s="100">
        <f t="shared" si="90"/>
        <v>1</v>
      </c>
      <c r="T131" s="99">
        <f t="shared" ca="1" si="152"/>
        <v>3065</v>
      </c>
      <c r="U131" s="175" t="e">
        <f t="shared" si="153"/>
        <v>#DIV/0!</v>
      </c>
      <c r="V131" s="77" t="e">
        <f>IF(F$16=1,_xll.xCalcSkew($A131,W131-BK131,b)/100,0)</f>
        <v>#DIV/0!</v>
      </c>
      <c r="W131" s="98">
        <f t="shared" si="190"/>
        <v>2.5</v>
      </c>
      <c r="X131" s="99"/>
      <c r="Y131" s="97">
        <f t="shared" si="94"/>
        <v>2.5000000000000001E-2</v>
      </c>
      <c r="Z131" s="100">
        <f t="shared" si="95"/>
        <v>1</v>
      </c>
      <c r="AA131" s="99">
        <f t="shared" ca="1" si="154"/>
        <v>3065</v>
      </c>
      <c r="AB131" s="77" t="e">
        <f t="shared" si="155"/>
        <v>#DIV/0!</v>
      </c>
      <c r="AC131" s="77" t="e">
        <f>IF(H$16=1,_xll.xCalcSkew($A131,AD131-BV131,b)/100,0)</f>
        <v>#DIV/0!</v>
      </c>
      <c r="AD131" s="98">
        <f t="shared" si="191"/>
        <v>2.4900000000000002</v>
      </c>
      <c r="AF131" s="99">
        <f t="shared" ca="1" si="127"/>
        <v>3065</v>
      </c>
      <c r="AG131" s="99">
        <f t="shared" ca="1" si="128"/>
        <v>3064</v>
      </c>
      <c r="AH131" s="77">
        <f t="shared" si="129"/>
        <v>5.7352033561562703E-2</v>
      </c>
      <c r="AI131" s="154">
        <f t="shared" si="99"/>
        <v>30</v>
      </c>
      <c r="AL131" s="99"/>
      <c r="AM131" s="78"/>
      <c r="AN131" s="78">
        <f t="shared" si="156"/>
        <v>0</v>
      </c>
      <c r="AO131" s="303" t="e">
        <f t="shared" si="157"/>
        <v>#DIV/0!</v>
      </c>
      <c r="AP131" s="75">
        <f t="shared" si="192"/>
        <v>0</v>
      </c>
      <c r="AQ131" s="102">
        <f t="shared" si="193"/>
        <v>0</v>
      </c>
      <c r="AR131" s="101">
        <f t="shared" si="158"/>
        <v>0</v>
      </c>
      <c r="AS131" s="101">
        <f t="shared" si="159"/>
        <v>0</v>
      </c>
      <c r="AT131" s="101">
        <f t="shared" si="160"/>
        <v>0</v>
      </c>
      <c r="AU131" s="103">
        <f t="shared" si="161"/>
        <v>0</v>
      </c>
      <c r="AV131" s="103">
        <f t="shared" si="162"/>
        <v>0</v>
      </c>
      <c r="AW131" s="103">
        <f t="shared" si="163"/>
        <v>0</v>
      </c>
      <c r="AY131" s="78">
        <f t="shared" si="164"/>
        <v>0</v>
      </c>
      <c r="AZ131" s="303" t="e">
        <f t="shared" si="165"/>
        <v>#DIV/0!</v>
      </c>
      <c r="BA131" s="75">
        <f t="shared" si="194"/>
        <v>0</v>
      </c>
      <c r="BB131" s="102">
        <f t="shared" si="195"/>
        <v>0</v>
      </c>
      <c r="BC131" s="101">
        <f t="shared" si="166"/>
        <v>0</v>
      </c>
      <c r="BD131" s="101">
        <f t="shared" si="167"/>
        <v>0</v>
      </c>
      <c r="BE131" s="101">
        <f t="shared" si="168"/>
        <v>0</v>
      </c>
      <c r="BF131" s="103">
        <f t="shared" si="169"/>
        <v>0</v>
      </c>
      <c r="BG131" s="103">
        <f t="shared" si="170"/>
        <v>0</v>
      </c>
      <c r="BH131" s="103">
        <f t="shared" si="171"/>
        <v>0</v>
      </c>
      <c r="BJ131" s="78">
        <f t="shared" si="172"/>
        <v>0</v>
      </c>
      <c r="BK131" s="303" t="e">
        <f t="shared" si="173"/>
        <v>#DIV/0!</v>
      </c>
      <c r="BL131" s="75">
        <f t="shared" si="196"/>
        <v>0</v>
      </c>
      <c r="BM131" s="102">
        <f t="shared" si="197"/>
        <v>0</v>
      </c>
      <c r="BN131" s="101">
        <f t="shared" si="174"/>
        <v>0</v>
      </c>
      <c r="BO131" s="101">
        <f t="shared" si="175"/>
        <v>0</v>
      </c>
      <c r="BP131" s="101">
        <f t="shared" si="176"/>
        <v>0</v>
      </c>
      <c r="BQ131" s="103">
        <f t="shared" si="177"/>
        <v>0</v>
      </c>
      <c r="BR131" s="103">
        <f t="shared" si="178"/>
        <v>0</v>
      </c>
      <c r="BS131" s="103">
        <f t="shared" si="179"/>
        <v>0</v>
      </c>
      <c r="BU131" s="78">
        <f t="shared" si="180"/>
        <v>0</v>
      </c>
      <c r="BV131" s="303" t="e">
        <f t="shared" si="181"/>
        <v>#DIV/0!</v>
      </c>
      <c r="BW131" s="75">
        <f t="shared" si="198"/>
        <v>0</v>
      </c>
      <c r="BX131" s="102">
        <f t="shared" si="199"/>
        <v>0</v>
      </c>
      <c r="BY131" s="101">
        <f t="shared" si="182"/>
        <v>0</v>
      </c>
      <c r="BZ131" s="101">
        <f t="shared" si="183"/>
        <v>0</v>
      </c>
      <c r="CA131" s="101">
        <f t="shared" si="184"/>
        <v>0</v>
      </c>
      <c r="CB131" s="103">
        <f t="shared" si="185"/>
        <v>0</v>
      </c>
      <c r="CC131" s="103">
        <f t="shared" si="186"/>
        <v>0</v>
      </c>
      <c r="CD131" s="103">
        <f t="shared" si="187"/>
        <v>0</v>
      </c>
    </row>
    <row r="132" spans="1:82" x14ac:dyDescent="0.2">
      <c r="A132" s="96">
        <f t="shared" si="147"/>
        <v>40360</v>
      </c>
      <c r="B132" s="97">
        <f t="shared" si="124"/>
        <v>3.7149999999999999</v>
      </c>
      <c r="C132" s="77">
        <f t="shared" si="148"/>
        <v>0.185</v>
      </c>
      <c r="D132" s="97">
        <f t="shared" si="80"/>
        <v>0</v>
      </c>
      <c r="E132" s="100">
        <f t="shared" si="81"/>
        <v>1</v>
      </c>
      <c r="F132" s="99">
        <f t="shared" ca="1" si="126"/>
        <v>3095</v>
      </c>
      <c r="G132" s="77" t="e">
        <f t="shared" si="149"/>
        <v>#DIV/0!</v>
      </c>
      <c r="H132" s="77" t="e">
        <f>IF(B$16=1,_xll.xCalcSkew(A132,I132-AO132,b)/100,0)</f>
        <v>#DIV/0!</v>
      </c>
      <c r="I132" s="98">
        <f t="shared" si="188"/>
        <v>4</v>
      </c>
      <c r="K132" s="97">
        <f t="shared" si="84"/>
        <v>2.75E-2</v>
      </c>
      <c r="L132" s="100">
        <f t="shared" si="85"/>
        <v>1</v>
      </c>
      <c r="M132" s="99">
        <f t="shared" ca="1" si="150"/>
        <v>3098</v>
      </c>
      <c r="N132" s="175" t="e">
        <f t="shared" si="151"/>
        <v>#DIV/0!</v>
      </c>
      <c r="O132" s="77" t="e">
        <f>IF(D$16=1,_xll.xCalcSkew($A132,P132-AZ132,b)/100,0)</f>
        <v>#DIV/0!</v>
      </c>
      <c r="P132" s="98">
        <f t="shared" si="189"/>
        <v>2.5</v>
      </c>
      <c r="R132" s="97">
        <f t="shared" si="89"/>
        <v>2.75E-2</v>
      </c>
      <c r="S132" s="100">
        <f t="shared" si="90"/>
        <v>1</v>
      </c>
      <c r="T132" s="99">
        <f t="shared" ca="1" si="152"/>
        <v>3098</v>
      </c>
      <c r="U132" s="175" t="e">
        <f t="shared" si="153"/>
        <v>#DIV/0!</v>
      </c>
      <c r="V132" s="77" t="e">
        <f>IF(F$16=1,_xll.xCalcSkew($A132,W132-BK132,b)/100,0)</f>
        <v>#DIV/0!</v>
      </c>
      <c r="W132" s="98">
        <f t="shared" si="190"/>
        <v>2.5</v>
      </c>
      <c r="X132" s="99"/>
      <c r="Y132" s="97">
        <f t="shared" si="94"/>
        <v>2.75E-2</v>
      </c>
      <c r="Z132" s="100">
        <f t="shared" si="95"/>
        <v>1</v>
      </c>
      <c r="AA132" s="99">
        <f t="shared" ca="1" si="154"/>
        <v>3098</v>
      </c>
      <c r="AB132" s="77" t="e">
        <f t="shared" si="155"/>
        <v>#DIV/0!</v>
      </c>
      <c r="AC132" s="77" t="e">
        <f>IF(H$16=1,_xll.xCalcSkew($A132,AD132-BV132,b)/100,0)</f>
        <v>#DIV/0!</v>
      </c>
      <c r="AD132" s="98">
        <f t="shared" si="191"/>
        <v>2.4900000000000002</v>
      </c>
      <c r="AF132" s="99">
        <f t="shared" ca="1" si="127"/>
        <v>3098</v>
      </c>
      <c r="AG132" s="99">
        <f t="shared" ca="1" si="128"/>
        <v>3095</v>
      </c>
      <c r="AH132" s="77">
        <f t="shared" si="129"/>
        <v>5.7452193344991603E-2</v>
      </c>
      <c r="AI132" s="154">
        <f t="shared" si="99"/>
        <v>31</v>
      </c>
      <c r="AL132" s="99"/>
      <c r="AM132" s="78"/>
      <c r="AN132" s="78">
        <f t="shared" si="156"/>
        <v>0</v>
      </c>
      <c r="AO132" s="303" t="e">
        <f t="shared" si="157"/>
        <v>#DIV/0!</v>
      </c>
      <c r="AP132" s="75">
        <f t="shared" si="192"/>
        <v>0</v>
      </c>
      <c r="AQ132" s="102">
        <f t="shared" si="193"/>
        <v>0</v>
      </c>
      <c r="AR132" s="101">
        <f t="shared" si="158"/>
        <v>0</v>
      </c>
      <c r="AS132" s="101">
        <f t="shared" si="159"/>
        <v>0</v>
      </c>
      <c r="AT132" s="101">
        <f t="shared" si="160"/>
        <v>0</v>
      </c>
      <c r="AU132" s="103">
        <f t="shared" si="161"/>
        <v>0</v>
      </c>
      <c r="AV132" s="103">
        <f t="shared" si="162"/>
        <v>0</v>
      </c>
      <c r="AW132" s="103">
        <f t="shared" si="163"/>
        <v>0</v>
      </c>
      <c r="AY132" s="78">
        <f t="shared" si="164"/>
        <v>0</v>
      </c>
      <c r="AZ132" s="303" t="e">
        <f t="shared" si="165"/>
        <v>#DIV/0!</v>
      </c>
      <c r="BA132" s="75">
        <f t="shared" si="194"/>
        <v>0</v>
      </c>
      <c r="BB132" s="102">
        <f t="shared" si="195"/>
        <v>0</v>
      </c>
      <c r="BC132" s="101">
        <f t="shared" si="166"/>
        <v>0</v>
      </c>
      <c r="BD132" s="101">
        <f t="shared" si="167"/>
        <v>0</v>
      </c>
      <c r="BE132" s="101">
        <f t="shared" si="168"/>
        <v>0</v>
      </c>
      <c r="BF132" s="103">
        <f t="shared" si="169"/>
        <v>0</v>
      </c>
      <c r="BG132" s="103">
        <f t="shared" si="170"/>
        <v>0</v>
      </c>
      <c r="BH132" s="103">
        <f t="shared" si="171"/>
        <v>0</v>
      </c>
      <c r="BJ132" s="78">
        <f t="shared" si="172"/>
        <v>0</v>
      </c>
      <c r="BK132" s="303" t="e">
        <f t="shared" si="173"/>
        <v>#DIV/0!</v>
      </c>
      <c r="BL132" s="75">
        <f t="shared" si="196"/>
        <v>0</v>
      </c>
      <c r="BM132" s="102">
        <f t="shared" si="197"/>
        <v>0</v>
      </c>
      <c r="BN132" s="101">
        <f t="shared" si="174"/>
        <v>0</v>
      </c>
      <c r="BO132" s="101">
        <f t="shared" si="175"/>
        <v>0</v>
      </c>
      <c r="BP132" s="101">
        <f t="shared" si="176"/>
        <v>0</v>
      </c>
      <c r="BQ132" s="103">
        <f t="shared" si="177"/>
        <v>0</v>
      </c>
      <c r="BR132" s="103">
        <f t="shared" si="178"/>
        <v>0</v>
      </c>
      <c r="BS132" s="103">
        <f t="shared" si="179"/>
        <v>0</v>
      </c>
      <c r="BU132" s="78">
        <f t="shared" si="180"/>
        <v>0</v>
      </c>
      <c r="BV132" s="303" t="e">
        <f t="shared" si="181"/>
        <v>#DIV/0!</v>
      </c>
      <c r="BW132" s="75">
        <f t="shared" si="198"/>
        <v>0</v>
      </c>
      <c r="BX132" s="102">
        <f t="shared" si="199"/>
        <v>0</v>
      </c>
      <c r="BY132" s="101">
        <f t="shared" si="182"/>
        <v>0</v>
      </c>
      <c r="BZ132" s="101">
        <f t="shared" si="183"/>
        <v>0</v>
      </c>
      <c r="CA132" s="101">
        <f t="shared" si="184"/>
        <v>0</v>
      </c>
      <c r="CB132" s="103">
        <f t="shared" si="185"/>
        <v>0</v>
      </c>
      <c r="CC132" s="103">
        <f t="shared" si="186"/>
        <v>0</v>
      </c>
      <c r="CD132" s="103">
        <f t="shared" si="187"/>
        <v>0</v>
      </c>
    </row>
    <row r="133" spans="1:82" x14ac:dyDescent="0.2">
      <c r="A133" s="96">
        <f t="shared" si="147"/>
        <v>40391</v>
      </c>
      <c r="B133" s="97">
        <f t="shared" si="124"/>
        <v>3.7549999999999999</v>
      </c>
      <c r="C133" s="77">
        <f t="shared" si="148"/>
        <v>0.185</v>
      </c>
      <c r="D133" s="97">
        <f t="shared" si="80"/>
        <v>0</v>
      </c>
      <c r="E133" s="100">
        <f t="shared" si="81"/>
        <v>1</v>
      </c>
      <c r="F133" s="99">
        <f t="shared" ca="1" si="126"/>
        <v>3127</v>
      </c>
      <c r="G133" s="77" t="e">
        <f t="shared" si="149"/>
        <v>#DIV/0!</v>
      </c>
      <c r="H133" s="77" t="e">
        <f>IF(B$16=1,_xll.xCalcSkew(A133,I133-AO133,b)/100,0)</f>
        <v>#DIV/0!</v>
      </c>
      <c r="I133" s="98">
        <f t="shared" si="188"/>
        <v>4</v>
      </c>
      <c r="K133" s="97">
        <f t="shared" si="84"/>
        <v>0.03</v>
      </c>
      <c r="L133" s="100">
        <f t="shared" si="85"/>
        <v>1</v>
      </c>
      <c r="M133" s="99">
        <f t="shared" ca="1" si="150"/>
        <v>3128</v>
      </c>
      <c r="N133" s="175" t="e">
        <f t="shared" si="151"/>
        <v>#DIV/0!</v>
      </c>
      <c r="O133" s="77" t="e">
        <f>IF(D$16=1,_xll.xCalcSkew($A133,P133-AZ133,b)/100,0)</f>
        <v>#DIV/0!</v>
      </c>
      <c r="P133" s="98">
        <f t="shared" si="189"/>
        <v>2.5</v>
      </c>
      <c r="R133" s="97">
        <f t="shared" si="89"/>
        <v>0.03</v>
      </c>
      <c r="S133" s="100">
        <f t="shared" si="90"/>
        <v>1</v>
      </c>
      <c r="T133" s="99">
        <f t="shared" ca="1" si="152"/>
        <v>3128</v>
      </c>
      <c r="U133" s="175" t="e">
        <f t="shared" si="153"/>
        <v>#DIV/0!</v>
      </c>
      <c r="V133" s="77" t="e">
        <f>IF(F$16=1,_xll.xCalcSkew($A133,W133-BK133,b)/100,0)</f>
        <v>#DIV/0!</v>
      </c>
      <c r="W133" s="98">
        <f t="shared" si="190"/>
        <v>2.5</v>
      </c>
      <c r="X133" s="99"/>
      <c r="Y133" s="97">
        <f t="shared" si="94"/>
        <v>0.03</v>
      </c>
      <c r="Z133" s="100">
        <f t="shared" si="95"/>
        <v>1</v>
      </c>
      <c r="AA133" s="99">
        <f t="shared" ca="1" si="154"/>
        <v>3128</v>
      </c>
      <c r="AB133" s="77" t="e">
        <f t="shared" si="155"/>
        <v>#DIV/0!</v>
      </c>
      <c r="AC133" s="77" t="e">
        <f>IF(H$16=1,_xll.xCalcSkew($A133,AD133-BV133,b)/100,0)</f>
        <v>#DIV/0!</v>
      </c>
      <c r="AD133" s="98">
        <f t="shared" si="191"/>
        <v>2.4900000000000002</v>
      </c>
      <c r="AF133" s="99">
        <f t="shared" ca="1" si="127"/>
        <v>3128</v>
      </c>
      <c r="AG133" s="99">
        <f t="shared" ca="1" si="128"/>
        <v>3127</v>
      </c>
      <c r="AH133" s="77">
        <f t="shared" si="129"/>
        <v>5.7555691791374597E-2</v>
      </c>
      <c r="AI133" s="154">
        <f t="shared" si="99"/>
        <v>31</v>
      </c>
      <c r="AL133" s="99"/>
      <c r="AM133" s="78"/>
      <c r="AN133" s="78">
        <f t="shared" si="156"/>
        <v>0</v>
      </c>
      <c r="AO133" s="303" t="e">
        <f t="shared" si="157"/>
        <v>#DIV/0!</v>
      </c>
      <c r="AP133" s="75">
        <f t="shared" si="192"/>
        <v>0</v>
      </c>
      <c r="AQ133" s="102">
        <f t="shared" si="193"/>
        <v>0</v>
      </c>
      <c r="AR133" s="101">
        <f t="shared" si="158"/>
        <v>0</v>
      </c>
      <c r="AS133" s="101">
        <f t="shared" si="159"/>
        <v>0</v>
      </c>
      <c r="AT133" s="101">
        <f t="shared" si="160"/>
        <v>0</v>
      </c>
      <c r="AU133" s="103">
        <f t="shared" si="161"/>
        <v>0</v>
      </c>
      <c r="AV133" s="103">
        <f t="shared" si="162"/>
        <v>0</v>
      </c>
      <c r="AW133" s="103">
        <f t="shared" si="163"/>
        <v>0</v>
      </c>
      <c r="AY133" s="78">
        <f t="shared" si="164"/>
        <v>0</v>
      </c>
      <c r="AZ133" s="303" t="e">
        <f t="shared" si="165"/>
        <v>#DIV/0!</v>
      </c>
      <c r="BA133" s="75">
        <f t="shared" si="194"/>
        <v>0</v>
      </c>
      <c r="BB133" s="102">
        <f t="shared" si="195"/>
        <v>0</v>
      </c>
      <c r="BC133" s="101">
        <f t="shared" si="166"/>
        <v>0</v>
      </c>
      <c r="BD133" s="101">
        <f t="shared" si="167"/>
        <v>0</v>
      </c>
      <c r="BE133" s="101">
        <f t="shared" si="168"/>
        <v>0</v>
      </c>
      <c r="BF133" s="103">
        <f t="shared" si="169"/>
        <v>0</v>
      </c>
      <c r="BG133" s="103">
        <f t="shared" si="170"/>
        <v>0</v>
      </c>
      <c r="BH133" s="103">
        <f t="shared" si="171"/>
        <v>0</v>
      </c>
      <c r="BJ133" s="78">
        <f t="shared" si="172"/>
        <v>0</v>
      </c>
      <c r="BK133" s="303" t="e">
        <f t="shared" si="173"/>
        <v>#DIV/0!</v>
      </c>
      <c r="BL133" s="75">
        <f t="shared" si="196"/>
        <v>0</v>
      </c>
      <c r="BM133" s="102">
        <f t="shared" si="197"/>
        <v>0</v>
      </c>
      <c r="BN133" s="101">
        <f t="shared" si="174"/>
        <v>0</v>
      </c>
      <c r="BO133" s="101">
        <f t="shared" si="175"/>
        <v>0</v>
      </c>
      <c r="BP133" s="101">
        <f t="shared" si="176"/>
        <v>0</v>
      </c>
      <c r="BQ133" s="103">
        <f t="shared" si="177"/>
        <v>0</v>
      </c>
      <c r="BR133" s="103">
        <f t="shared" si="178"/>
        <v>0</v>
      </c>
      <c r="BS133" s="103">
        <f t="shared" si="179"/>
        <v>0</v>
      </c>
      <c r="BU133" s="78">
        <f t="shared" si="180"/>
        <v>0</v>
      </c>
      <c r="BV133" s="303" t="e">
        <f t="shared" si="181"/>
        <v>#DIV/0!</v>
      </c>
      <c r="BW133" s="75">
        <f t="shared" si="198"/>
        <v>0</v>
      </c>
      <c r="BX133" s="102">
        <f t="shared" si="199"/>
        <v>0</v>
      </c>
      <c r="BY133" s="101">
        <f t="shared" si="182"/>
        <v>0</v>
      </c>
      <c r="BZ133" s="101">
        <f t="shared" si="183"/>
        <v>0</v>
      </c>
      <c r="CA133" s="101">
        <f t="shared" si="184"/>
        <v>0</v>
      </c>
      <c r="CB133" s="103">
        <f t="shared" si="185"/>
        <v>0</v>
      </c>
      <c r="CC133" s="103">
        <f t="shared" si="186"/>
        <v>0</v>
      </c>
      <c r="CD133" s="103">
        <f t="shared" si="187"/>
        <v>0</v>
      </c>
    </row>
    <row r="134" spans="1:82" x14ac:dyDescent="0.2">
      <c r="A134" s="96">
        <f t="shared" si="147"/>
        <v>40422</v>
      </c>
      <c r="B134" s="97">
        <f t="shared" si="124"/>
        <v>3.75</v>
      </c>
      <c r="C134" s="77">
        <f t="shared" si="148"/>
        <v>0.185</v>
      </c>
      <c r="D134" s="97">
        <f t="shared" si="80"/>
        <v>0</v>
      </c>
      <c r="E134" s="100">
        <f t="shared" si="81"/>
        <v>1</v>
      </c>
      <c r="F134" s="99">
        <f t="shared" ca="1" si="126"/>
        <v>3157</v>
      </c>
      <c r="G134" s="77" t="e">
        <f t="shared" si="149"/>
        <v>#DIV/0!</v>
      </c>
      <c r="H134" s="77" t="e">
        <f>IF(B$16=1,_xll.xCalcSkew(A134,I134-AO134,b)/100,0)</f>
        <v>#DIV/0!</v>
      </c>
      <c r="I134" s="98">
        <f t="shared" si="188"/>
        <v>4</v>
      </c>
      <c r="K134" s="97">
        <f t="shared" si="84"/>
        <v>2.2499999999999999E-2</v>
      </c>
      <c r="L134" s="100">
        <f t="shared" si="85"/>
        <v>1</v>
      </c>
      <c r="M134" s="99">
        <f t="shared" ca="1" si="150"/>
        <v>3158</v>
      </c>
      <c r="N134" s="175" t="e">
        <f t="shared" si="151"/>
        <v>#DIV/0!</v>
      </c>
      <c r="O134" s="77" t="e">
        <f>IF(D$16=1,_xll.xCalcSkew($A134,P134-AZ134,b)/100,0)</f>
        <v>#DIV/0!</v>
      </c>
      <c r="P134" s="98">
        <f t="shared" si="189"/>
        <v>2.5</v>
      </c>
      <c r="R134" s="97">
        <f t="shared" si="89"/>
        <v>2.2499999999999999E-2</v>
      </c>
      <c r="S134" s="100">
        <f t="shared" si="90"/>
        <v>1</v>
      </c>
      <c r="T134" s="99">
        <f t="shared" ca="1" si="152"/>
        <v>3158</v>
      </c>
      <c r="U134" s="175" t="e">
        <f t="shared" si="153"/>
        <v>#DIV/0!</v>
      </c>
      <c r="V134" s="77" t="e">
        <f>IF(F$16=1,_xll.xCalcSkew($A134,W134-BK134,b)/100,0)</f>
        <v>#DIV/0!</v>
      </c>
      <c r="W134" s="98">
        <f t="shared" si="190"/>
        <v>2.5</v>
      </c>
      <c r="X134" s="99"/>
      <c r="Y134" s="97">
        <f t="shared" si="94"/>
        <v>2.2499999999999999E-2</v>
      </c>
      <c r="Z134" s="100">
        <f t="shared" si="95"/>
        <v>1</v>
      </c>
      <c r="AA134" s="99">
        <f t="shared" ca="1" si="154"/>
        <v>3158</v>
      </c>
      <c r="AB134" s="77" t="e">
        <f t="shared" si="155"/>
        <v>#DIV/0!</v>
      </c>
      <c r="AC134" s="77" t="e">
        <f>IF(H$16=1,_xll.xCalcSkew($A134,AD134-BV134,b)/100,0)</f>
        <v>#DIV/0!</v>
      </c>
      <c r="AD134" s="98">
        <f t="shared" si="191"/>
        <v>2.4900000000000002</v>
      </c>
      <c r="AF134" s="99">
        <f t="shared" ca="1" si="127"/>
        <v>3158</v>
      </c>
      <c r="AG134" s="99">
        <f t="shared" ca="1" si="128"/>
        <v>3157</v>
      </c>
      <c r="AH134" s="77">
        <f t="shared" si="129"/>
        <v>5.7659190241320601E-2</v>
      </c>
      <c r="AI134" s="154">
        <f t="shared" si="99"/>
        <v>30</v>
      </c>
      <c r="AL134" s="99"/>
      <c r="AM134" s="78"/>
      <c r="AN134" s="78">
        <f t="shared" si="156"/>
        <v>0</v>
      </c>
      <c r="AO134" s="303" t="e">
        <f t="shared" si="157"/>
        <v>#DIV/0!</v>
      </c>
      <c r="AP134" s="75">
        <f t="shared" si="192"/>
        <v>0</v>
      </c>
      <c r="AQ134" s="102">
        <f t="shared" si="193"/>
        <v>0</v>
      </c>
      <c r="AR134" s="101">
        <f t="shared" si="158"/>
        <v>0</v>
      </c>
      <c r="AS134" s="101">
        <f t="shared" si="159"/>
        <v>0</v>
      </c>
      <c r="AT134" s="101">
        <f t="shared" si="160"/>
        <v>0</v>
      </c>
      <c r="AU134" s="103">
        <f t="shared" si="161"/>
        <v>0</v>
      </c>
      <c r="AV134" s="103">
        <f t="shared" si="162"/>
        <v>0</v>
      </c>
      <c r="AW134" s="103">
        <f t="shared" si="163"/>
        <v>0</v>
      </c>
      <c r="AY134" s="78">
        <f t="shared" si="164"/>
        <v>0</v>
      </c>
      <c r="AZ134" s="303" t="e">
        <f t="shared" si="165"/>
        <v>#DIV/0!</v>
      </c>
      <c r="BA134" s="75">
        <f t="shared" si="194"/>
        <v>0</v>
      </c>
      <c r="BB134" s="102">
        <f t="shared" si="195"/>
        <v>0</v>
      </c>
      <c r="BC134" s="101">
        <f t="shared" si="166"/>
        <v>0</v>
      </c>
      <c r="BD134" s="101">
        <f t="shared" si="167"/>
        <v>0</v>
      </c>
      <c r="BE134" s="101">
        <f t="shared" si="168"/>
        <v>0</v>
      </c>
      <c r="BF134" s="103">
        <f t="shared" si="169"/>
        <v>0</v>
      </c>
      <c r="BG134" s="103">
        <f t="shared" si="170"/>
        <v>0</v>
      </c>
      <c r="BH134" s="103">
        <f t="shared" si="171"/>
        <v>0</v>
      </c>
      <c r="BJ134" s="78">
        <f t="shared" si="172"/>
        <v>0</v>
      </c>
      <c r="BK134" s="303" t="e">
        <f t="shared" si="173"/>
        <v>#DIV/0!</v>
      </c>
      <c r="BL134" s="75">
        <f t="shared" si="196"/>
        <v>0</v>
      </c>
      <c r="BM134" s="102">
        <f t="shared" si="197"/>
        <v>0</v>
      </c>
      <c r="BN134" s="101">
        <f t="shared" si="174"/>
        <v>0</v>
      </c>
      <c r="BO134" s="101">
        <f t="shared" si="175"/>
        <v>0</v>
      </c>
      <c r="BP134" s="101">
        <f t="shared" si="176"/>
        <v>0</v>
      </c>
      <c r="BQ134" s="103">
        <f t="shared" si="177"/>
        <v>0</v>
      </c>
      <c r="BR134" s="103">
        <f t="shared" si="178"/>
        <v>0</v>
      </c>
      <c r="BS134" s="103">
        <f t="shared" si="179"/>
        <v>0</v>
      </c>
      <c r="BU134" s="78">
        <f t="shared" si="180"/>
        <v>0</v>
      </c>
      <c r="BV134" s="303" t="e">
        <f t="shared" si="181"/>
        <v>#DIV/0!</v>
      </c>
      <c r="BW134" s="75">
        <f t="shared" si="198"/>
        <v>0</v>
      </c>
      <c r="BX134" s="102">
        <f t="shared" si="199"/>
        <v>0</v>
      </c>
      <c r="BY134" s="101">
        <f t="shared" si="182"/>
        <v>0</v>
      </c>
      <c r="BZ134" s="101">
        <f t="shared" si="183"/>
        <v>0</v>
      </c>
      <c r="CA134" s="101">
        <f t="shared" si="184"/>
        <v>0</v>
      </c>
      <c r="CB134" s="103">
        <f t="shared" si="185"/>
        <v>0</v>
      </c>
      <c r="CC134" s="103">
        <f t="shared" si="186"/>
        <v>0</v>
      </c>
      <c r="CD134" s="103">
        <f t="shared" si="187"/>
        <v>0</v>
      </c>
    </row>
    <row r="135" spans="1:82" x14ac:dyDescent="0.2">
      <c r="A135" s="96">
        <f t="shared" si="147"/>
        <v>40452</v>
      </c>
      <c r="B135" s="97">
        <f t="shared" si="124"/>
        <v>3.7749999999999999</v>
      </c>
      <c r="C135" s="77">
        <f t="shared" si="148"/>
        <v>0.185</v>
      </c>
      <c r="D135" s="97">
        <f t="shared" si="80"/>
        <v>0</v>
      </c>
      <c r="E135" s="100">
        <f t="shared" si="81"/>
        <v>1</v>
      </c>
      <c r="F135" s="99">
        <f t="shared" ca="1" si="126"/>
        <v>3189</v>
      </c>
      <c r="G135" s="77" t="e">
        <f t="shared" si="149"/>
        <v>#DIV/0!</v>
      </c>
      <c r="H135" s="77" t="e">
        <f>IF(B$16=1,_xll.xCalcSkew(A135,I135-AO135,b)/100,0)</f>
        <v>#DIV/0!</v>
      </c>
      <c r="I135" s="98">
        <f t="shared" si="188"/>
        <v>4</v>
      </c>
      <c r="K135" s="97">
        <f t="shared" si="84"/>
        <v>1.2500000000000001E-2</v>
      </c>
      <c r="L135" s="100">
        <f t="shared" si="85"/>
        <v>1</v>
      </c>
      <c r="M135" s="99">
        <f t="shared" ca="1" si="150"/>
        <v>3190</v>
      </c>
      <c r="N135" s="175" t="e">
        <f t="shared" si="151"/>
        <v>#DIV/0!</v>
      </c>
      <c r="O135" s="77" t="e">
        <f>IF(D$16=1,_xll.xCalcSkew($A135,P135-AZ135,b)/100,0)</f>
        <v>#DIV/0!</v>
      </c>
      <c r="P135" s="98">
        <f t="shared" si="189"/>
        <v>2.5</v>
      </c>
      <c r="R135" s="97">
        <f t="shared" si="89"/>
        <v>1.2500000000000001E-2</v>
      </c>
      <c r="S135" s="100">
        <f t="shared" si="90"/>
        <v>1</v>
      </c>
      <c r="T135" s="99">
        <f t="shared" ca="1" si="152"/>
        <v>3190</v>
      </c>
      <c r="U135" s="175" t="e">
        <f t="shared" si="153"/>
        <v>#DIV/0!</v>
      </c>
      <c r="V135" s="77" t="e">
        <f>IF(F$16=1,_xll.xCalcSkew($A135,W135-BK135,b)/100,0)</f>
        <v>#DIV/0!</v>
      </c>
      <c r="W135" s="98">
        <f t="shared" si="190"/>
        <v>2.5</v>
      </c>
      <c r="X135" s="99"/>
      <c r="Y135" s="97">
        <f t="shared" si="94"/>
        <v>1.2500000000000001E-2</v>
      </c>
      <c r="Z135" s="100">
        <f t="shared" si="95"/>
        <v>1</v>
      </c>
      <c r="AA135" s="99">
        <f t="shared" ca="1" si="154"/>
        <v>3190</v>
      </c>
      <c r="AB135" s="77" t="e">
        <f t="shared" si="155"/>
        <v>#DIV/0!</v>
      </c>
      <c r="AC135" s="77" t="e">
        <f>IF(H$16=1,_xll.xCalcSkew($A135,AD135-BV135,b)/100,0)</f>
        <v>#DIV/0!</v>
      </c>
      <c r="AD135" s="98">
        <f t="shared" si="191"/>
        <v>2.4900000000000002</v>
      </c>
      <c r="AF135" s="99">
        <f t="shared" ca="1" si="127"/>
        <v>3190</v>
      </c>
      <c r="AG135" s="99">
        <f t="shared" ca="1" si="128"/>
        <v>3189</v>
      </c>
      <c r="AH135" s="77">
        <f t="shared" si="129"/>
        <v>5.7759350034984003E-2</v>
      </c>
      <c r="AI135" s="154">
        <f t="shared" si="99"/>
        <v>31</v>
      </c>
      <c r="AL135" s="99"/>
      <c r="AM135" s="78"/>
      <c r="AN135" s="78">
        <f t="shared" si="156"/>
        <v>0</v>
      </c>
      <c r="AO135" s="303" t="e">
        <f t="shared" si="157"/>
        <v>#DIV/0!</v>
      </c>
      <c r="AP135" s="75">
        <f t="shared" si="192"/>
        <v>0</v>
      </c>
      <c r="AQ135" s="102">
        <f t="shared" si="193"/>
        <v>0</v>
      </c>
      <c r="AR135" s="101">
        <f t="shared" si="158"/>
        <v>0</v>
      </c>
      <c r="AS135" s="101">
        <f t="shared" si="159"/>
        <v>0</v>
      </c>
      <c r="AT135" s="101">
        <f t="shared" si="160"/>
        <v>0</v>
      </c>
      <c r="AU135" s="103">
        <f t="shared" si="161"/>
        <v>0</v>
      </c>
      <c r="AV135" s="103">
        <f t="shared" si="162"/>
        <v>0</v>
      </c>
      <c r="AW135" s="103">
        <f t="shared" si="163"/>
        <v>0</v>
      </c>
      <c r="AY135" s="78">
        <f t="shared" si="164"/>
        <v>0</v>
      </c>
      <c r="AZ135" s="303" t="e">
        <f t="shared" si="165"/>
        <v>#DIV/0!</v>
      </c>
      <c r="BA135" s="75">
        <f t="shared" si="194"/>
        <v>0</v>
      </c>
      <c r="BB135" s="102">
        <f t="shared" si="195"/>
        <v>0</v>
      </c>
      <c r="BC135" s="101">
        <f t="shared" si="166"/>
        <v>0</v>
      </c>
      <c r="BD135" s="101">
        <f t="shared" si="167"/>
        <v>0</v>
      </c>
      <c r="BE135" s="101">
        <f t="shared" si="168"/>
        <v>0</v>
      </c>
      <c r="BF135" s="103">
        <f t="shared" si="169"/>
        <v>0</v>
      </c>
      <c r="BG135" s="103">
        <f t="shared" si="170"/>
        <v>0</v>
      </c>
      <c r="BH135" s="103">
        <f t="shared" si="171"/>
        <v>0</v>
      </c>
      <c r="BJ135" s="78">
        <f t="shared" si="172"/>
        <v>0</v>
      </c>
      <c r="BK135" s="303" t="e">
        <f t="shared" si="173"/>
        <v>#DIV/0!</v>
      </c>
      <c r="BL135" s="75">
        <f t="shared" si="196"/>
        <v>0</v>
      </c>
      <c r="BM135" s="102">
        <f t="shared" si="197"/>
        <v>0</v>
      </c>
      <c r="BN135" s="101">
        <f t="shared" si="174"/>
        <v>0</v>
      </c>
      <c r="BO135" s="101">
        <f t="shared" si="175"/>
        <v>0</v>
      </c>
      <c r="BP135" s="101">
        <f t="shared" si="176"/>
        <v>0</v>
      </c>
      <c r="BQ135" s="103">
        <f t="shared" si="177"/>
        <v>0</v>
      </c>
      <c r="BR135" s="103">
        <f t="shared" si="178"/>
        <v>0</v>
      </c>
      <c r="BS135" s="103">
        <f t="shared" si="179"/>
        <v>0</v>
      </c>
      <c r="BU135" s="78">
        <f t="shared" si="180"/>
        <v>0</v>
      </c>
      <c r="BV135" s="303" t="e">
        <f t="shared" si="181"/>
        <v>#DIV/0!</v>
      </c>
      <c r="BW135" s="75">
        <f t="shared" si="198"/>
        <v>0</v>
      </c>
      <c r="BX135" s="102">
        <f t="shared" si="199"/>
        <v>0</v>
      </c>
      <c r="BY135" s="101">
        <f t="shared" si="182"/>
        <v>0</v>
      </c>
      <c r="BZ135" s="101">
        <f t="shared" si="183"/>
        <v>0</v>
      </c>
      <c r="CA135" s="101">
        <f t="shared" si="184"/>
        <v>0</v>
      </c>
      <c r="CB135" s="103">
        <f t="shared" si="185"/>
        <v>0</v>
      </c>
      <c r="CC135" s="103">
        <f t="shared" si="186"/>
        <v>0</v>
      </c>
      <c r="CD135" s="103">
        <f t="shared" si="187"/>
        <v>0</v>
      </c>
    </row>
    <row r="136" spans="1:82" x14ac:dyDescent="0.2">
      <c r="A136" s="96">
        <f t="shared" si="147"/>
        <v>40483</v>
      </c>
      <c r="B136" s="97">
        <f t="shared" si="124"/>
        <v>3.927</v>
      </c>
      <c r="C136" s="77">
        <f t="shared" si="148"/>
        <v>0.185</v>
      </c>
      <c r="D136" s="97">
        <f t="shared" si="80"/>
        <v>0</v>
      </c>
      <c r="E136" s="100">
        <f t="shared" si="81"/>
        <v>1</v>
      </c>
      <c r="F136" s="99">
        <f t="shared" ca="1" si="126"/>
        <v>3218</v>
      </c>
      <c r="G136" s="77" t="e">
        <f t="shared" si="149"/>
        <v>#DIV/0!</v>
      </c>
      <c r="H136" s="77" t="e">
        <f>IF(B$16=1,_xll.xCalcSkew(A136,I136-AO136,b)/100,0)</f>
        <v>#DIV/0!</v>
      </c>
      <c r="I136" s="98">
        <f t="shared" si="188"/>
        <v>4</v>
      </c>
      <c r="K136" s="97">
        <f t="shared" si="84"/>
        <v>-2.2499999999999999E-2</v>
      </c>
      <c r="L136" s="100">
        <f t="shared" si="85"/>
        <v>1</v>
      </c>
      <c r="M136" s="99">
        <f t="shared" ca="1" si="150"/>
        <v>3219</v>
      </c>
      <c r="N136" s="175" t="e">
        <f t="shared" si="151"/>
        <v>#DIV/0!</v>
      </c>
      <c r="O136" s="77" t="e">
        <f>IF(D$16=1,_xll.xCalcSkew($A136,P136-AZ136,b)/100,0)</f>
        <v>#DIV/0!</v>
      </c>
      <c r="P136" s="98">
        <f t="shared" si="189"/>
        <v>2.5</v>
      </c>
      <c r="R136" s="97">
        <f t="shared" si="89"/>
        <v>-2.2499999999999999E-2</v>
      </c>
      <c r="S136" s="100">
        <f t="shared" si="90"/>
        <v>1</v>
      </c>
      <c r="T136" s="99">
        <f t="shared" ca="1" si="152"/>
        <v>3219</v>
      </c>
      <c r="U136" s="175" t="e">
        <f t="shared" si="153"/>
        <v>#DIV/0!</v>
      </c>
      <c r="V136" s="77" t="e">
        <f>IF(F$16=1,_xll.xCalcSkew($A136,W136-BK136,b)/100,0)</f>
        <v>#DIV/0!</v>
      </c>
      <c r="W136" s="98">
        <f t="shared" si="190"/>
        <v>2.5</v>
      </c>
      <c r="X136" s="99"/>
      <c r="Y136" s="97">
        <f t="shared" si="94"/>
        <v>-2.2499999999999999E-2</v>
      </c>
      <c r="Z136" s="100">
        <f t="shared" si="95"/>
        <v>1</v>
      </c>
      <c r="AA136" s="99">
        <f t="shared" ca="1" si="154"/>
        <v>3219</v>
      </c>
      <c r="AB136" s="77" t="e">
        <f t="shared" si="155"/>
        <v>#DIV/0!</v>
      </c>
      <c r="AC136" s="77" t="e">
        <f>IF(H$16=1,_xll.xCalcSkew($A136,AD136-BV136,b)/100,0)</f>
        <v>#DIV/0!</v>
      </c>
      <c r="AD136" s="98">
        <f t="shared" si="191"/>
        <v>2.4900000000000002</v>
      </c>
      <c r="AF136" s="99">
        <f t="shared" ca="1" si="127"/>
        <v>3219</v>
      </c>
      <c r="AG136" s="99">
        <f t="shared" ca="1" si="128"/>
        <v>3218</v>
      </c>
      <c r="AH136" s="77">
        <f t="shared" si="129"/>
        <v>5.7862848491941697E-2</v>
      </c>
      <c r="AI136" s="154">
        <f t="shared" si="99"/>
        <v>30</v>
      </c>
      <c r="AL136" s="99"/>
      <c r="AM136" s="78"/>
      <c r="AN136" s="78">
        <f t="shared" si="156"/>
        <v>0</v>
      </c>
      <c r="AO136" s="303" t="e">
        <f t="shared" si="157"/>
        <v>#DIV/0!</v>
      </c>
      <c r="AP136" s="75">
        <f t="shared" si="192"/>
        <v>0</v>
      </c>
      <c r="AQ136" s="102">
        <f t="shared" si="193"/>
        <v>0</v>
      </c>
      <c r="AR136" s="101">
        <f t="shared" si="158"/>
        <v>0</v>
      </c>
      <c r="AS136" s="101">
        <f t="shared" si="159"/>
        <v>0</v>
      </c>
      <c r="AT136" s="101">
        <f t="shared" si="160"/>
        <v>0</v>
      </c>
      <c r="AU136" s="103">
        <f t="shared" si="161"/>
        <v>0</v>
      </c>
      <c r="AV136" s="103">
        <f t="shared" si="162"/>
        <v>0</v>
      </c>
      <c r="AW136" s="103">
        <f t="shared" si="163"/>
        <v>0</v>
      </c>
      <c r="AY136" s="78">
        <f t="shared" si="164"/>
        <v>0</v>
      </c>
      <c r="AZ136" s="303" t="e">
        <f t="shared" si="165"/>
        <v>#DIV/0!</v>
      </c>
      <c r="BA136" s="75">
        <f t="shared" si="194"/>
        <v>0</v>
      </c>
      <c r="BB136" s="102">
        <f t="shared" si="195"/>
        <v>0</v>
      </c>
      <c r="BC136" s="101">
        <f t="shared" si="166"/>
        <v>0</v>
      </c>
      <c r="BD136" s="101">
        <f t="shared" si="167"/>
        <v>0</v>
      </c>
      <c r="BE136" s="101">
        <f t="shared" si="168"/>
        <v>0</v>
      </c>
      <c r="BF136" s="103">
        <f t="shared" si="169"/>
        <v>0</v>
      </c>
      <c r="BG136" s="103">
        <f t="shared" si="170"/>
        <v>0</v>
      </c>
      <c r="BH136" s="103">
        <f t="shared" si="171"/>
        <v>0</v>
      </c>
      <c r="BJ136" s="78">
        <f t="shared" si="172"/>
        <v>0</v>
      </c>
      <c r="BK136" s="303" t="e">
        <f t="shared" si="173"/>
        <v>#DIV/0!</v>
      </c>
      <c r="BL136" s="75">
        <f t="shared" si="196"/>
        <v>0</v>
      </c>
      <c r="BM136" s="102">
        <f t="shared" si="197"/>
        <v>0</v>
      </c>
      <c r="BN136" s="101">
        <f t="shared" si="174"/>
        <v>0</v>
      </c>
      <c r="BO136" s="101">
        <f t="shared" si="175"/>
        <v>0</v>
      </c>
      <c r="BP136" s="101">
        <f t="shared" si="176"/>
        <v>0</v>
      </c>
      <c r="BQ136" s="103">
        <f t="shared" si="177"/>
        <v>0</v>
      </c>
      <c r="BR136" s="103">
        <f t="shared" si="178"/>
        <v>0</v>
      </c>
      <c r="BS136" s="103">
        <f t="shared" si="179"/>
        <v>0</v>
      </c>
      <c r="BU136" s="78">
        <f t="shared" si="180"/>
        <v>0</v>
      </c>
      <c r="BV136" s="303" t="e">
        <f t="shared" si="181"/>
        <v>#DIV/0!</v>
      </c>
      <c r="BW136" s="75">
        <f t="shared" si="198"/>
        <v>0</v>
      </c>
      <c r="BX136" s="102">
        <f t="shared" si="199"/>
        <v>0</v>
      </c>
      <c r="BY136" s="101">
        <f t="shared" si="182"/>
        <v>0</v>
      </c>
      <c r="BZ136" s="101">
        <f t="shared" si="183"/>
        <v>0</v>
      </c>
      <c r="CA136" s="101">
        <f t="shared" si="184"/>
        <v>0</v>
      </c>
      <c r="CB136" s="103">
        <f t="shared" si="185"/>
        <v>0</v>
      </c>
      <c r="CC136" s="103">
        <f t="shared" si="186"/>
        <v>0</v>
      </c>
      <c r="CD136" s="103">
        <f t="shared" si="187"/>
        <v>0</v>
      </c>
    </row>
    <row r="137" spans="1:82" x14ac:dyDescent="0.2">
      <c r="A137" s="96">
        <f t="shared" si="147"/>
        <v>40513</v>
      </c>
      <c r="B137" s="97">
        <f t="shared" si="124"/>
        <v>4.07</v>
      </c>
      <c r="C137" s="77">
        <f t="shared" si="148"/>
        <v>0.185</v>
      </c>
      <c r="D137" s="97">
        <f t="shared" si="80"/>
        <v>0</v>
      </c>
      <c r="E137" s="100">
        <f t="shared" si="81"/>
        <v>1</v>
      </c>
      <c r="F137" s="99">
        <f t="shared" ca="1" si="126"/>
        <v>3247</v>
      </c>
      <c r="G137" s="77" t="e">
        <f t="shared" si="149"/>
        <v>#DIV/0!</v>
      </c>
      <c r="H137" s="77" t="e">
        <f>IF(B$16=1,_xll.xCalcSkew(A137,I137-AO137,b)/100,0)</f>
        <v>#DIV/0!</v>
      </c>
      <c r="I137" s="98">
        <f t="shared" si="188"/>
        <v>4</v>
      </c>
      <c r="K137" s="97">
        <f t="shared" si="84"/>
        <v>-4.4999999999999998E-2</v>
      </c>
      <c r="L137" s="100">
        <f t="shared" si="85"/>
        <v>1</v>
      </c>
      <c r="M137" s="99">
        <f t="shared" ca="1" si="150"/>
        <v>3249</v>
      </c>
      <c r="N137" s="175" t="e">
        <f t="shared" si="151"/>
        <v>#DIV/0!</v>
      </c>
      <c r="O137" s="77" t="e">
        <f>IF(D$16=1,_xll.xCalcSkew($A137,P137-AZ137,b)/100,0)</f>
        <v>#DIV/0!</v>
      </c>
      <c r="P137" s="98">
        <f t="shared" si="189"/>
        <v>2.5</v>
      </c>
      <c r="R137" s="97">
        <f t="shared" si="89"/>
        <v>-4.4999999999999998E-2</v>
      </c>
      <c r="S137" s="100">
        <f t="shared" si="90"/>
        <v>1</v>
      </c>
      <c r="T137" s="99">
        <f t="shared" ca="1" si="152"/>
        <v>3249</v>
      </c>
      <c r="U137" s="175" t="e">
        <f t="shared" si="153"/>
        <v>#DIV/0!</v>
      </c>
      <c r="V137" s="77" t="e">
        <f>IF(F$16=1,_xll.xCalcSkew($A137,W137-BK137,b)/100,0)</f>
        <v>#DIV/0!</v>
      </c>
      <c r="W137" s="98">
        <f t="shared" si="190"/>
        <v>2.5</v>
      </c>
      <c r="X137" s="99"/>
      <c r="Y137" s="97">
        <f t="shared" si="94"/>
        <v>-4.4999999999999998E-2</v>
      </c>
      <c r="Z137" s="100">
        <f t="shared" si="95"/>
        <v>1</v>
      </c>
      <c r="AA137" s="99">
        <f t="shared" ca="1" si="154"/>
        <v>3249</v>
      </c>
      <c r="AB137" s="77" t="e">
        <f t="shared" si="155"/>
        <v>#DIV/0!</v>
      </c>
      <c r="AC137" s="77" t="e">
        <f>IF(H$16=1,_xll.xCalcSkew($A137,AD137-BV137,b)/100,0)</f>
        <v>#DIV/0!</v>
      </c>
      <c r="AD137" s="98">
        <f t="shared" si="191"/>
        <v>2.4900000000000002</v>
      </c>
      <c r="AF137" s="99">
        <f t="shared" ca="1" si="127"/>
        <v>3249</v>
      </c>
      <c r="AG137" s="99">
        <f t="shared" ca="1" si="128"/>
        <v>3247</v>
      </c>
      <c r="AH137" s="77">
        <f t="shared" si="129"/>
        <v>5.79630082923899E-2</v>
      </c>
      <c r="AI137" s="154">
        <f t="shared" si="99"/>
        <v>31</v>
      </c>
      <c r="AL137" s="99"/>
      <c r="AM137" s="78"/>
      <c r="AN137" s="78">
        <f t="shared" si="156"/>
        <v>0</v>
      </c>
      <c r="AO137" s="303" t="e">
        <f t="shared" si="157"/>
        <v>#DIV/0!</v>
      </c>
      <c r="AP137" s="75">
        <f t="shared" si="192"/>
        <v>0</v>
      </c>
      <c r="AQ137" s="102">
        <f t="shared" si="193"/>
        <v>0</v>
      </c>
      <c r="AR137" s="101">
        <f t="shared" si="158"/>
        <v>0</v>
      </c>
      <c r="AS137" s="101">
        <f t="shared" si="159"/>
        <v>0</v>
      </c>
      <c r="AT137" s="101">
        <f t="shared" si="160"/>
        <v>0</v>
      </c>
      <c r="AU137" s="103">
        <f t="shared" si="161"/>
        <v>0</v>
      </c>
      <c r="AV137" s="103">
        <f t="shared" si="162"/>
        <v>0</v>
      </c>
      <c r="AW137" s="103">
        <f t="shared" si="163"/>
        <v>0</v>
      </c>
      <c r="AY137" s="78">
        <f t="shared" si="164"/>
        <v>0</v>
      </c>
      <c r="AZ137" s="303" t="e">
        <f t="shared" si="165"/>
        <v>#DIV/0!</v>
      </c>
      <c r="BA137" s="75">
        <f t="shared" si="194"/>
        <v>0</v>
      </c>
      <c r="BB137" s="102">
        <f t="shared" si="195"/>
        <v>0</v>
      </c>
      <c r="BC137" s="101">
        <f t="shared" si="166"/>
        <v>0</v>
      </c>
      <c r="BD137" s="101">
        <f t="shared" si="167"/>
        <v>0</v>
      </c>
      <c r="BE137" s="101">
        <f t="shared" si="168"/>
        <v>0</v>
      </c>
      <c r="BF137" s="103">
        <f t="shared" si="169"/>
        <v>0</v>
      </c>
      <c r="BG137" s="103">
        <f t="shared" si="170"/>
        <v>0</v>
      </c>
      <c r="BH137" s="103">
        <f t="shared" si="171"/>
        <v>0</v>
      </c>
      <c r="BJ137" s="78">
        <f t="shared" si="172"/>
        <v>0</v>
      </c>
      <c r="BK137" s="303" t="e">
        <f t="shared" si="173"/>
        <v>#DIV/0!</v>
      </c>
      <c r="BL137" s="75">
        <f t="shared" si="196"/>
        <v>0</v>
      </c>
      <c r="BM137" s="102">
        <f t="shared" si="197"/>
        <v>0</v>
      </c>
      <c r="BN137" s="101">
        <f t="shared" si="174"/>
        <v>0</v>
      </c>
      <c r="BO137" s="101">
        <f t="shared" si="175"/>
        <v>0</v>
      </c>
      <c r="BP137" s="101">
        <f t="shared" si="176"/>
        <v>0</v>
      </c>
      <c r="BQ137" s="103">
        <f t="shared" si="177"/>
        <v>0</v>
      </c>
      <c r="BR137" s="103">
        <f t="shared" si="178"/>
        <v>0</v>
      </c>
      <c r="BS137" s="103">
        <f t="shared" si="179"/>
        <v>0</v>
      </c>
      <c r="BU137" s="78">
        <f t="shared" si="180"/>
        <v>0</v>
      </c>
      <c r="BV137" s="303" t="e">
        <f t="shared" si="181"/>
        <v>#DIV/0!</v>
      </c>
      <c r="BW137" s="75">
        <f t="shared" si="198"/>
        <v>0</v>
      </c>
      <c r="BX137" s="102">
        <f t="shared" si="199"/>
        <v>0</v>
      </c>
      <c r="BY137" s="101">
        <f t="shared" si="182"/>
        <v>0</v>
      </c>
      <c r="BZ137" s="101">
        <f t="shared" si="183"/>
        <v>0</v>
      </c>
      <c r="CA137" s="101">
        <f t="shared" si="184"/>
        <v>0</v>
      </c>
      <c r="CB137" s="103">
        <f t="shared" si="185"/>
        <v>0</v>
      </c>
      <c r="CC137" s="103">
        <f t="shared" si="186"/>
        <v>0</v>
      </c>
      <c r="CD137" s="103">
        <f t="shared" si="187"/>
        <v>0</v>
      </c>
    </row>
    <row r="138" spans="1:82" x14ac:dyDescent="0.2">
      <c r="A138" s="96">
        <f t="shared" si="147"/>
        <v>40544</v>
      </c>
      <c r="B138" s="97">
        <f t="shared" si="124"/>
        <v>4.1275000000000004</v>
      </c>
      <c r="C138" s="77">
        <f t="shared" si="148"/>
        <v>0.185</v>
      </c>
      <c r="D138" s="97">
        <f t="shared" si="80"/>
        <v>0</v>
      </c>
      <c r="E138" s="100">
        <f t="shared" si="81"/>
        <v>1</v>
      </c>
      <c r="F138" s="99">
        <f t="shared" ca="1" si="126"/>
        <v>3280</v>
      </c>
      <c r="G138" s="77" t="e">
        <f t="shared" si="149"/>
        <v>#DIV/0!</v>
      </c>
      <c r="H138" s="77" t="e">
        <f>IF(B$16=1,_xll.xCalcSkew(A138,I138-AO138,b)/100,0)</f>
        <v>#DIV/0!</v>
      </c>
      <c r="I138" s="98">
        <f t="shared" si="188"/>
        <v>4</v>
      </c>
      <c r="K138" s="97">
        <f t="shared" si="84"/>
        <v>-4.7500000000000001E-2</v>
      </c>
      <c r="L138" s="100">
        <f t="shared" si="85"/>
        <v>1</v>
      </c>
      <c r="M138" s="99">
        <f t="shared" ca="1" si="150"/>
        <v>3281</v>
      </c>
      <c r="N138" s="175" t="e">
        <f t="shared" si="151"/>
        <v>#DIV/0!</v>
      </c>
      <c r="O138" s="77" t="e">
        <f>IF(D$16=1,_xll.xCalcSkew($A138,P138-AZ138,b)/100,0)</f>
        <v>#DIV/0!</v>
      </c>
      <c r="P138" s="98">
        <f t="shared" si="189"/>
        <v>2.5</v>
      </c>
      <c r="R138" s="97">
        <f t="shared" si="89"/>
        <v>-4.7500000000000001E-2</v>
      </c>
      <c r="S138" s="100">
        <f t="shared" si="90"/>
        <v>1</v>
      </c>
      <c r="T138" s="99">
        <f t="shared" ca="1" si="152"/>
        <v>3281</v>
      </c>
      <c r="U138" s="175" t="e">
        <f t="shared" si="153"/>
        <v>#DIV/0!</v>
      </c>
      <c r="V138" s="77" t="e">
        <f>IF(F$16=1,_xll.xCalcSkew($A138,W138-BK138,b)/100,0)</f>
        <v>#DIV/0!</v>
      </c>
      <c r="W138" s="98">
        <f t="shared" si="190"/>
        <v>2.5</v>
      </c>
      <c r="X138" s="99"/>
      <c r="Y138" s="97">
        <f t="shared" si="94"/>
        <v>-4.7500000000000001E-2</v>
      </c>
      <c r="Z138" s="100">
        <f t="shared" si="95"/>
        <v>1</v>
      </c>
      <c r="AA138" s="99">
        <f t="shared" ca="1" si="154"/>
        <v>3281</v>
      </c>
      <c r="AB138" s="77" t="e">
        <f t="shared" si="155"/>
        <v>#DIV/0!</v>
      </c>
      <c r="AC138" s="77" t="e">
        <f>IF(H$16=1,_xll.xCalcSkew($A138,AD138-BV138,b)/100,0)</f>
        <v>#DIV/0!</v>
      </c>
      <c r="AD138" s="98">
        <f t="shared" si="191"/>
        <v>2.4900000000000002</v>
      </c>
      <c r="AF138" s="99">
        <f t="shared" ca="1" si="127"/>
        <v>3281</v>
      </c>
      <c r="AG138" s="99">
        <f t="shared" ca="1" si="128"/>
        <v>3280</v>
      </c>
      <c r="AH138" s="77">
        <f t="shared" si="129"/>
        <v>5.8066506756358403E-2</v>
      </c>
      <c r="AI138" s="154">
        <f t="shared" si="99"/>
        <v>31</v>
      </c>
      <c r="AL138" s="99"/>
      <c r="AM138" s="78"/>
      <c r="AN138" s="78">
        <f t="shared" si="156"/>
        <v>0</v>
      </c>
      <c r="AO138" s="303" t="e">
        <f t="shared" si="157"/>
        <v>#DIV/0!</v>
      </c>
      <c r="AP138" s="75">
        <f t="shared" si="192"/>
        <v>0</v>
      </c>
      <c r="AQ138" s="102">
        <f t="shared" si="193"/>
        <v>0</v>
      </c>
      <c r="AR138" s="101">
        <f t="shared" si="158"/>
        <v>0</v>
      </c>
      <c r="AS138" s="101">
        <f t="shared" si="159"/>
        <v>0</v>
      </c>
      <c r="AT138" s="101">
        <f t="shared" si="160"/>
        <v>0</v>
      </c>
      <c r="AU138" s="103">
        <f t="shared" si="161"/>
        <v>0</v>
      </c>
      <c r="AV138" s="103">
        <f t="shared" si="162"/>
        <v>0</v>
      </c>
      <c r="AW138" s="103">
        <f t="shared" si="163"/>
        <v>0</v>
      </c>
      <c r="AY138" s="78">
        <f t="shared" si="164"/>
        <v>0</v>
      </c>
      <c r="AZ138" s="303" t="e">
        <f t="shared" si="165"/>
        <v>#DIV/0!</v>
      </c>
      <c r="BA138" s="75">
        <f t="shared" si="194"/>
        <v>0</v>
      </c>
      <c r="BB138" s="102">
        <f t="shared" si="195"/>
        <v>0</v>
      </c>
      <c r="BC138" s="101">
        <f t="shared" si="166"/>
        <v>0</v>
      </c>
      <c r="BD138" s="101">
        <f t="shared" si="167"/>
        <v>0</v>
      </c>
      <c r="BE138" s="101">
        <f t="shared" si="168"/>
        <v>0</v>
      </c>
      <c r="BF138" s="103">
        <f t="shared" si="169"/>
        <v>0</v>
      </c>
      <c r="BG138" s="103">
        <f t="shared" si="170"/>
        <v>0</v>
      </c>
      <c r="BH138" s="103">
        <f t="shared" si="171"/>
        <v>0</v>
      </c>
      <c r="BJ138" s="78">
        <f t="shared" si="172"/>
        <v>0</v>
      </c>
      <c r="BK138" s="303" t="e">
        <f t="shared" si="173"/>
        <v>#DIV/0!</v>
      </c>
      <c r="BL138" s="75">
        <f t="shared" si="196"/>
        <v>0</v>
      </c>
      <c r="BM138" s="102">
        <f t="shared" si="197"/>
        <v>0</v>
      </c>
      <c r="BN138" s="101">
        <f t="shared" si="174"/>
        <v>0</v>
      </c>
      <c r="BO138" s="101">
        <f t="shared" si="175"/>
        <v>0</v>
      </c>
      <c r="BP138" s="101">
        <f t="shared" si="176"/>
        <v>0</v>
      </c>
      <c r="BQ138" s="103">
        <f t="shared" si="177"/>
        <v>0</v>
      </c>
      <c r="BR138" s="103">
        <f t="shared" si="178"/>
        <v>0</v>
      </c>
      <c r="BS138" s="103">
        <f t="shared" si="179"/>
        <v>0</v>
      </c>
      <c r="BU138" s="78">
        <f t="shared" si="180"/>
        <v>0</v>
      </c>
      <c r="BV138" s="303" t="e">
        <f t="shared" si="181"/>
        <v>#DIV/0!</v>
      </c>
      <c r="BW138" s="75">
        <f t="shared" si="198"/>
        <v>0</v>
      </c>
      <c r="BX138" s="102">
        <f t="shared" si="199"/>
        <v>0</v>
      </c>
      <c r="BY138" s="101">
        <f t="shared" si="182"/>
        <v>0</v>
      </c>
      <c r="BZ138" s="101">
        <f t="shared" si="183"/>
        <v>0</v>
      </c>
      <c r="CA138" s="101">
        <f t="shared" si="184"/>
        <v>0</v>
      </c>
      <c r="CB138" s="103">
        <f t="shared" si="185"/>
        <v>0</v>
      </c>
      <c r="CC138" s="103">
        <f t="shared" si="186"/>
        <v>0</v>
      </c>
      <c r="CD138" s="103">
        <f t="shared" si="187"/>
        <v>0</v>
      </c>
    </row>
    <row r="139" spans="1:82" x14ac:dyDescent="0.2">
      <c r="A139" s="96">
        <f t="shared" si="147"/>
        <v>40575</v>
      </c>
      <c r="B139" s="97">
        <f t="shared" si="124"/>
        <v>4.0425000000000004</v>
      </c>
      <c r="C139" s="77">
        <f t="shared" si="148"/>
        <v>0.185</v>
      </c>
      <c r="D139" s="97">
        <f t="shared" si="80"/>
        <v>0</v>
      </c>
      <c r="E139" s="100">
        <f t="shared" si="81"/>
        <v>1</v>
      </c>
      <c r="F139" s="99">
        <f t="shared" ca="1" si="126"/>
        <v>3310</v>
      </c>
      <c r="G139" s="77" t="e">
        <f t="shared" si="149"/>
        <v>#DIV/0!</v>
      </c>
      <c r="H139" s="77" t="e">
        <f>IF(B$16=1,_xll.xCalcSkew(A139,I139-AO139,b)/100,0)</f>
        <v>#DIV/0!</v>
      </c>
      <c r="I139" s="98">
        <f t="shared" si="188"/>
        <v>4</v>
      </c>
      <c r="K139" s="97">
        <f t="shared" si="84"/>
        <v>-0.03</v>
      </c>
      <c r="L139" s="100">
        <f t="shared" si="85"/>
        <v>1</v>
      </c>
      <c r="M139" s="99">
        <f t="shared" ca="1" si="150"/>
        <v>3311</v>
      </c>
      <c r="N139" s="175" t="e">
        <f t="shared" si="151"/>
        <v>#DIV/0!</v>
      </c>
      <c r="O139" s="77" t="e">
        <f>IF(D$16=1,_xll.xCalcSkew($A139,P139-AZ139,b)/100,0)</f>
        <v>#DIV/0!</v>
      </c>
      <c r="P139" s="98">
        <f t="shared" si="189"/>
        <v>2.5</v>
      </c>
      <c r="R139" s="97">
        <f t="shared" si="89"/>
        <v>-0.03</v>
      </c>
      <c r="S139" s="100">
        <f t="shared" si="90"/>
        <v>1</v>
      </c>
      <c r="T139" s="99">
        <f t="shared" ca="1" si="152"/>
        <v>3311</v>
      </c>
      <c r="U139" s="175" t="e">
        <f t="shared" si="153"/>
        <v>#DIV/0!</v>
      </c>
      <c r="V139" s="77" t="e">
        <f>IF(F$16=1,_xll.xCalcSkew($A139,W139-BK139,b)/100,0)</f>
        <v>#DIV/0!</v>
      </c>
      <c r="W139" s="98">
        <f t="shared" si="190"/>
        <v>2.5</v>
      </c>
      <c r="X139" s="99"/>
      <c r="Y139" s="97">
        <f t="shared" si="94"/>
        <v>-0.03</v>
      </c>
      <c r="Z139" s="100">
        <f t="shared" si="95"/>
        <v>1</v>
      </c>
      <c r="AA139" s="99">
        <f t="shared" ca="1" si="154"/>
        <v>3311</v>
      </c>
      <c r="AB139" s="77" t="e">
        <f t="shared" si="155"/>
        <v>#DIV/0!</v>
      </c>
      <c r="AC139" s="77" t="e">
        <f>IF(H$16=1,_xll.xCalcSkew($A139,AD139-BV139,b)/100,0)</f>
        <v>#DIV/0!</v>
      </c>
      <c r="AD139" s="98">
        <f t="shared" si="191"/>
        <v>2.4900000000000002</v>
      </c>
      <c r="AF139" s="99">
        <f t="shared" ca="1" si="127"/>
        <v>3311</v>
      </c>
      <c r="AG139" s="99">
        <f t="shared" ca="1" si="128"/>
        <v>3310</v>
      </c>
      <c r="AH139" s="77">
        <f t="shared" si="129"/>
        <v>5.8170005223888897E-2</v>
      </c>
      <c r="AI139" s="154">
        <f t="shared" si="99"/>
        <v>28</v>
      </c>
      <c r="AL139" s="99"/>
      <c r="AM139" s="78"/>
      <c r="AN139" s="78">
        <f t="shared" si="156"/>
        <v>0</v>
      </c>
      <c r="AO139" s="303" t="e">
        <f t="shared" si="157"/>
        <v>#DIV/0!</v>
      </c>
      <c r="AP139" s="75">
        <f t="shared" si="192"/>
        <v>0</v>
      </c>
      <c r="AQ139" s="102">
        <f t="shared" si="193"/>
        <v>0</v>
      </c>
      <c r="AR139" s="101">
        <f t="shared" si="158"/>
        <v>0</v>
      </c>
      <c r="AS139" s="101">
        <f t="shared" si="159"/>
        <v>0</v>
      </c>
      <c r="AT139" s="101">
        <f t="shared" si="160"/>
        <v>0</v>
      </c>
      <c r="AU139" s="103">
        <f t="shared" si="161"/>
        <v>0</v>
      </c>
      <c r="AV139" s="103">
        <f t="shared" si="162"/>
        <v>0</v>
      </c>
      <c r="AW139" s="103">
        <f t="shared" si="163"/>
        <v>0</v>
      </c>
      <c r="AY139" s="78">
        <f t="shared" si="164"/>
        <v>0</v>
      </c>
      <c r="AZ139" s="303" t="e">
        <f t="shared" si="165"/>
        <v>#DIV/0!</v>
      </c>
      <c r="BA139" s="75">
        <f t="shared" si="194"/>
        <v>0</v>
      </c>
      <c r="BB139" s="102">
        <f t="shared" si="195"/>
        <v>0</v>
      </c>
      <c r="BC139" s="101">
        <f t="shared" si="166"/>
        <v>0</v>
      </c>
      <c r="BD139" s="101">
        <f t="shared" si="167"/>
        <v>0</v>
      </c>
      <c r="BE139" s="101">
        <f t="shared" si="168"/>
        <v>0</v>
      </c>
      <c r="BF139" s="103">
        <f t="shared" si="169"/>
        <v>0</v>
      </c>
      <c r="BG139" s="103">
        <f t="shared" si="170"/>
        <v>0</v>
      </c>
      <c r="BH139" s="103">
        <f t="shared" si="171"/>
        <v>0</v>
      </c>
      <c r="BJ139" s="78">
        <f t="shared" si="172"/>
        <v>0</v>
      </c>
      <c r="BK139" s="303" t="e">
        <f t="shared" si="173"/>
        <v>#DIV/0!</v>
      </c>
      <c r="BL139" s="75">
        <f t="shared" si="196"/>
        <v>0</v>
      </c>
      <c r="BM139" s="102">
        <f t="shared" si="197"/>
        <v>0</v>
      </c>
      <c r="BN139" s="101">
        <f t="shared" si="174"/>
        <v>0</v>
      </c>
      <c r="BO139" s="101">
        <f t="shared" si="175"/>
        <v>0</v>
      </c>
      <c r="BP139" s="101">
        <f t="shared" si="176"/>
        <v>0</v>
      </c>
      <c r="BQ139" s="103">
        <f t="shared" si="177"/>
        <v>0</v>
      </c>
      <c r="BR139" s="103">
        <f t="shared" si="178"/>
        <v>0</v>
      </c>
      <c r="BS139" s="103">
        <f t="shared" si="179"/>
        <v>0</v>
      </c>
      <c r="BU139" s="78">
        <f t="shared" si="180"/>
        <v>0</v>
      </c>
      <c r="BV139" s="303" t="e">
        <f t="shared" si="181"/>
        <v>#DIV/0!</v>
      </c>
      <c r="BW139" s="75">
        <f t="shared" si="198"/>
        <v>0</v>
      </c>
      <c r="BX139" s="102">
        <f t="shared" si="199"/>
        <v>0</v>
      </c>
      <c r="BY139" s="101">
        <f t="shared" si="182"/>
        <v>0</v>
      </c>
      <c r="BZ139" s="101">
        <f t="shared" si="183"/>
        <v>0</v>
      </c>
      <c r="CA139" s="101">
        <f t="shared" si="184"/>
        <v>0</v>
      </c>
      <c r="CB139" s="103">
        <f t="shared" si="185"/>
        <v>0</v>
      </c>
      <c r="CC139" s="103">
        <f t="shared" si="186"/>
        <v>0</v>
      </c>
      <c r="CD139" s="103">
        <f t="shared" si="187"/>
        <v>0</v>
      </c>
    </row>
    <row r="140" spans="1:82" x14ac:dyDescent="0.2">
      <c r="A140" s="96">
        <f t="shared" si="147"/>
        <v>40603</v>
      </c>
      <c r="B140" s="97">
        <f t="shared" si="124"/>
        <v>3.9125000000000001</v>
      </c>
      <c r="C140" s="77">
        <f t="shared" si="148"/>
        <v>0.18</v>
      </c>
      <c r="D140" s="97">
        <f t="shared" si="80"/>
        <v>0</v>
      </c>
      <c r="E140" s="100">
        <f t="shared" si="81"/>
        <v>1</v>
      </c>
      <c r="F140" s="99">
        <f t="shared" ca="1" si="126"/>
        <v>3338</v>
      </c>
      <c r="G140" s="77" t="e">
        <f t="shared" si="149"/>
        <v>#DIV/0!</v>
      </c>
      <c r="H140" s="77" t="e">
        <f>IF(B$16=1,_xll.xCalcSkew(A140,I140-AO140,b)/100,0)</f>
        <v>#DIV/0!</v>
      </c>
      <c r="I140" s="98">
        <f t="shared" si="188"/>
        <v>4</v>
      </c>
      <c r="K140" s="97">
        <f t="shared" si="84"/>
        <v>-1.7500000000000002E-2</v>
      </c>
      <c r="L140" s="100">
        <f t="shared" si="85"/>
        <v>1</v>
      </c>
      <c r="M140" s="99">
        <f t="shared" ca="1" si="150"/>
        <v>3339</v>
      </c>
      <c r="N140" s="175" t="e">
        <f t="shared" si="151"/>
        <v>#DIV/0!</v>
      </c>
      <c r="O140" s="77" t="e">
        <f>IF(D$16=1,_xll.xCalcSkew($A140,P140-AZ140,b)/100,0)</f>
        <v>#DIV/0!</v>
      </c>
      <c r="P140" s="98">
        <f t="shared" si="189"/>
        <v>2.5</v>
      </c>
      <c r="R140" s="97">
        <f t="shared" si="89"/>
        <v>-1.7500000000000002E-2</v>
      </c>
      <c r="S140" s="100">
        <f t="shared" si="90"/>
        <v>1</v>
      </c>
      <c r="T140" s="99">
        <f t="shared" ca="1" si="152"/>
        <v>3339</v>
      </c>
      <c r="U140" s="175" t="e">
        <f t="shared" si="153"/>
        <v>#DIV/0!</v>
      </c>
      <c r="V140" s="77" t="e">
        <f>IF(F$16=1,_xll.xCalcSkew($A140,W140-BK140,b)/100,0)</f>
        <v>#DIV/0!</v>
      </c>
      <c r="W140" s="98">
        <f t="shared" si="190"/>
        <v>2.5</v>
      </c>
      <c r="X140" s="99"/>
      <c r="Y140" s="97">
        <f t="shared" si="94"/>
        <v>-1.7500000000000002E-2</v>
      </c>
      <c r="Z140" s="100">
        <f t="shared" si="95"/>
        <v>1</v>
      </c>
      <c r="AA140" s="99">
        <f t="shared" ca="1" si="154"/>
        <v>3339</v>
      </c>
      <c r="AB140" s="77" t="e">
        <f t="shared" si="155"/>
        <v>#DIV/0!</v>
      </c>
      <c r="AC140" s="77" t="e">
        <f>IF(H$16=1,_xll.xCalcSkew($A140,AD140-BV140,b)/100,0)</f>
        <v>#DIV/0!</v>
      </c>
      <c r="AD140" s="98">
        <f t="shared" si="191"/>
        <v>2.4900000000000002</v>
      </c>
      <c r="AF140" s="99">
        <f t="shared" ca="1" si="127"/>
        <v>3339</v>
      </c>
      <c r="AG140" s="99">
        <f t="shared" ca="1" si="128"/>
        <v>3338</v>
      </c>
      <c r="AH140" s="77">
        <f t="shared" si="129"/>
        <v>5.8263487713752699E-2</v>
      </c>
      <c r="AI140" s="154">
        <f t="shared" si="99"/>
        <v>31</v>
      </c>
      <c r="AL140" s="99"/>
      <c r="AM140" s="78"/>
      <c r="AN140" s="78">
        <f t="shared" si="156"/>
        <v>0</v>
      </c>
      <c r="AO140" s="303" t="e">
        <f t="shared" si="157"/>
        <v>#DIV/0!</v>
      </c>
      <c r="AP140" s="75">
        <f t="shared" si="192"/>
        <v>0</v>
      </c>
      <c r="AQ140" s="102">
        <f t="shared" si="193"/>
        <v>0</v>
      </c>
      <c r="AR140" s="101">
        <f t="shared" si="158"/>
        <v>0</v>
      </c>
      <c r="AS140" s="101">
        <f t="shared" si="159"/>
        <v>0</v>
      </c>
      <c r="AT140" s="101">
        <f t="shared" si="160"/>
        <v>0</v>
      </c>
      <c r="AU140" s="103">
        <f t="shared" si="161"/>
        <v>0</v>
      </c>
      <c r="AV140" s="103">
        <f t="shared" si="162"/>
        <v>0</v>
      </c>
      <c r="AW140" s="103">
        <f t="shared" si="163"/>
        <v>0</v>
      </c>
      <c r="AY140" s="78">
        <f t="shared" si="164"/>
        <v>0</v>
      </c>
      <c r="AZ140" s="303" t="e">
        <f t="shared" si="165"/>
        <v>#DIV/0!</v>
      </c>
      <c r="BA140" s="75">
        <f t="shared" si="194"/>
        <v>0</v>
      </c>
      <c r="BB140" s="102">
        <f t="shared" si="195"/>
        <v>0</v>
      </c>
      <c r="BC140" s="101">
        <f t="shared" si="166"/>
        <v>0</v>
      </c>
      <c r="BD140" s="101">
        <f t="shared" si="167"/>
        <v>0</v>
      </c>
      <c r="BE140" s="101">
        <f t="shared" si="168"/>
        <v>0</v>
      </c>
      <c r="BF140" s="103">
        <f t="shared" si="169"/>
        <v>0</v>
      </c>
      <c r="BG140" s="103">
        <f t="shared" si="170"/>
        <v>0</v>
      </c>
      <c r="BH140" s="103">
        <f t="shared" si="171"/>
        <v>0</v>
      </c>
      <c r="BJ140" s="78">
        <f t="shared" si="172"/>
        <v>0</v>
      </c>
      <c r="BK140" s="303" t="e">
        <f t="shared" si="173"/>
        <v>#DIV/0!</v>
      </c>
      <c r="BL140" s="75">
        <f t="shared" si="196"/>
        <v>0</v>
      </c>
      <c r="BM140" s="102">
        <f t="shared" si="197"/>
        <v>0</v>
      </c>
      <c r="BN140" s="101">
        <f t="shared" si="174"/>
        <v>0</v>
      </c>
      <c r="BO140" s="101">
        <f t="shared" si="175"/>
        <v>0</v>
      </c>
      <c r="BP140" s="101">
        <f t="shared" si="176"/>
        <v>0</v>
      </c>
      <c r="BQ140" s="103">
        <f t="shared" si="177"/>
        <v>0</v>
      </c>
      <c r="BR140" s="103">
        <f t="shared" si="178"/>
        <v>0</v>
      </c>
      <c r="BS140" s="103">
        <f t="shared" si="179"/>
        <v>0</v>
      </c>
      <c r="BU140" s="78">
        <f t="shared" si="180"/>
        <v>0</v>
      </c>
      <c r="BV140" s="303" t="e">
        <f t="shared" si="181"/>
        <v>#DIV/0!</v>
      </c>
      <c r="BW140" s="75">
        <f t="shared" si="198"/>
        <v>0</v>
      </c>
      <c r="BX140" s="102">
        <f t="shared" si="199"/>
        <v>0</v>
      </c>
      <c r="BY140" s="101">
        <f t="shared" si="182"/>
        <v>0</v>
      </c>
      <c r="BZ140" s="101">
        <f t="shared" si="183"/>
        <v>0</v>
      </c>
      <c r="CA140" s="101">
        <f t="shared" si="184"/>
        <v>0</v>
      </c>
      <c r="CB140" s="103">
        <f t="shared" si="185"/>
        <v>0</v>
      </c>
      <c r="CC140" s="103">
        <f t="shared" si="186"/>
        <v>0</v>
      </c>
      <c r="CD140" s="103">
        <f t="shared" si="187"/>
        <v>0</v>
      </c>
    </row>
    <row r="141" spans="1:82" x14ac:dyDescent="0.2">
      <c r="A141" s="96">
        <f t="shared" si="147"/>
        <v>40634</v>
      </c>
      <c r="B141" s="97">
        <f t="shared" si="124"/>
        <v>3.7275</v>
      </c>
      <c r="C141" s="77">
        <f t="shared" si="148"/>
        <v>0.18</v>
      </c>
      <c r="D141" s="97">
        <f t="shared" si="80"/>
        <v>0</v>
      </c>
      <c r="E141" s="100">
        <f t="shared" si="81"/>
        <v>1</v>
      </c>
      <c r="F141" s="99">
        <f t="shared" ca="1" si="126"/>
        <v>3371</v>
      </c>
      <c r="G141" s="77" t="e">
        <f t="shared" si="149"/>
        <v>#DIV/0!</v>
      </c>
      <c r="H141" s="77" t="e">
        <f>IF(B$16=1,_xll.xCalcSkew(A141,I141-AO141,b)/100,0)</f>
        <v>#DIV/0!</v>
      </c>
      <c r="I141" s="98">
        <f t="shared" si="188"/>
        <v>4</v>
      </c>
      <c r="K141" s="97">
        <f t="shared" si="84"/>
        <v>0.02</v>
      </c>
      <c r="L141" s="100">
        <f t="shared" si="85"/>
        <v>1</v>
      </c>
      <c r="M141" s="99">
        <f t="shared" ca="1" si="150"/>
        <v>3372</v>
      </c>
      <c r="N141" s="175" t="e">
        <f t="shared" si="151"/>
        <v>#DIV/0!</v>
      </c>
      <c r="O141" s="77" t="e">
        <f>IF(D$16=1,_xll.xCalcSkew($A141,P141-AZ141,b)/100,0)</f>
        <v>#DIV/0!</v>
      </c>
      <c r="P141" s="98">
        <f t="shared" si="189"/>
        <v>2.5</v>
      </c>
      <c r="R141" s="97">
        <f t="shared" si="89"/>
        <v>0.02</v>
      </c>
      <c r="S141" s="100">
        <f t="shared" si="90"/>
        <v>1</v>
      </c>
      <c r="T141" s="99">
        <f t="shared" ca="1" si="152"/>
        <v>3372</v>
      </c>
      <c r="U141" s="175" t="e">
        <f t="shared" si="153"/>
        <v>#DIV/0!</v>
      </c>
      <c r="V141" s="77" t="e">
        <f>IF(F$16=1,_xll.xCalcSkew($A141,W141-BK141,b)/100,0)</f>
        <v>#DIV/0!</v>
      </c>
      <c r="W141" s="98">
        <f t="shared" si="190"/>
        <v>2.5</v>
      </c>
      <c r="X141" s="99"/>
      <c r="Y141" s="97">
        <f t="shared" si="94"/>
        <v>0.02</v>
      </c>
      <c r="Z141" s="100">
        <f t="shared" si="95"/>
        <v>1</v>
      </c>
      <c r="AA141" s="99">
        <f t="shared" ca="1" si="154"/>
        <v>3372</v>
      </c>
      <c r="AB141" s="77" t="e">
        <f t="shared" si="155"/>
        <v>#DIV/0!</v>
      </c>
      <c r="AC141" s="77" t="e">
        <f>IF(H$16=1,_xll.xCalcSkew($A141,AD141-BV141,b)/100,0)</f>
        <v>#DIV/0!</v>
      </c>
      <c r="AD141" s="98">
        <f t="shared" si="191"/>
        <v>2.4900000000000002</v>
      </c>
      <c r="AF141" s="99">
        <f t="shared" ca="1" si="127"/>
        <v>3372</v>
      </c>
      <c r="AG141" s="99">
        <f t="shared" ca="1" si="128"/>
        <v>3371</v>
      </c>
      <c r="AH141" s="77">
        <f t="shared" si="129"/>
        <v>5.8366986188063602E-2</v>
      </c>
      <c r="AI141" s="154">
        <f t="shared" si="99"/>
        <v>30</v>
      </c>
      <c r="AL141" s="99"/>
      <c r="AM141" s="78"/>
      <c r="AN141" s="78">
        <f t="shared" si="156"/>
        <v>0</v>
      </c>
      <c r="AO141" s="303" t="e">
        <f t="shared" si="157"/>
        <v>#DIV/0!</v>
      </c>
      <c r="AP141" s="75">
        <f t="shared" si="192"/>
        <v>0</v>
      </c>
      <c r="AQ141" s="102">
        <f t="shared" si="193"/>
        <v>0</v>
      </c>
      <c r="AR141" s="101">
        <f t="shared" si="158"/>
        <v>0</v>
      </c>
      <c r="AS141" s="101">
        <f t="shared" si="159"/>
        <v>0</v>
      </c>
      <c r="AT141" s="101">
        <f t="shared" si="160"/>
        <v>0</v>
      </c>
      <c r="AU141" s="103">
        <f t="shared" si="161"/>
        <v>0</v>
      </c>
      <c r="AV141" s="103">
        <f t="shared" si="162"/>
        <v>0</v>
      </c>
      <c r="AW141" s="103">
        <f t="shared" si="163"/>
        <v>0</v>
      </c>
      <c r="AY141" s="78">
        <f t="shared" si="164"/>
        <v>0</v>
      </c>
      <c r="AZ141" s="303" t="e">
        <f t="shared" si="165"/>
        <v>#DIV/0!</v>
      </c>
      <c r="BA141" s="75">
        <f t="shared" si="194"/>
        <v>0</v>
      </c>
      <c r="BB141" s="102">
        <f t="shared" si="195"/>
        <v>0</v>
      </c>
      <c r="BC141" s="101">
        <f t="shared" si="166"/>
        <v>0</v>
      </c>
      <c r="BD141" s="101">
        <f t="shared" si="167"/>
        <v>0</v>
      </c>
      <c r="BE141" s="101">
        <f t="shared" si="168"/>
        <v>0</v>
      </c>
      <c r="BF141" s="103">
        <f t="shared" si="169"/>
        <v>0</v>
      </c>
      <c r="BG141" s="103">
        <f t="shared" si="170"/>
        <v>0</v>
      </c>
      <c r="BH141" s="103">
        <f t="shared" si="171"/>
        <v>0</v>
      </c>
      <c r="BJ141" s="78">
        <f t="shared" si="172"/>
        <v>0</v>
      </c>
      <c r="BK141" s="303" t="e">
        <f t="shared" si="173"/>
        <v>#DIV/0!</v>
      </c>
      <c r="BL141" s="75">
        <f t="shared" si="196"/>
        <v>0</v>
      </c>
      <c r="BM141" s="102">
        <f t="shared" si="197"/>
        <v>0</v>
      </c>
      <c r="BN141" s="101">
        <f t="shared" si="174"/>
        <v>0</v>
      </c>
      <c r="BO141" s="101">
        <f t="shared" si="175"/>
        <v>0</v>
      </c>
      <c r="BP141" s="101">
        <f t="shared" si="176"/>
        <v>0</v>
      </c>
      <c r="BQ141" s="103">
        <f t="shared" si="177"/>
        <v>0</v>
      </c>
      <c r="BR141" s="103">
        <f t="shared" si="178"/>
        <v>0</v>
      </c>
      <c r="BS141" s="103">
        <f t="shared" si="179"/>
        <v>0</v>
      </c>
      <c r="BU141" s="78">
        <f t="shared" si="180"/>
        <v>0</v>
      </c>
      <c r="BV141" s="303" t="e">
        <f t="shared" si="181"/>
        <v>#DIV/0!</v>
      </c>
      <c r="BW141" s="75">
        <f t="shared" si="198"/>
        <v>0</v>
      </c>
      <c r="BX141" s="102">
        <f t="shared" si="199"/>
        <v>0</v>
      </c>
      <c r="BY141" s="101">
        <f t="shared" si="182"/>
        <v>0</v>
      </c>
      <c r="BZ141" s="101">
        <f t="shared" si="183"/>
        <v>0</v>
      </c>
      <c r="CA141" s="101">
        <f t="shared" si="184"/>
        <v>0</v>
      </c>
      <c r="CB141" s="103">
        <f t="shared" si="185"/>
        <v>0</v>
      </c>
      <c r="CC141" s="103">
        <f t="shared" si="186"/>
        <v>0</v>
      </c>
      <c r="CD141" s="103">
        <f t="shared" si="187"/>
        <v>0</v>
      </c>
    </row>
    <row r="142" spans="1:82" x14ac:dyDescent="0.2">
      <c r="A142" s="96">
        <f t="shared" si="147"/>
        <v>40664</v>
      </c>
      <c r="B142" s="97">
        <f t="shared" si="124"/>
        <v>3.7225000000000001</v>
      </c>
      <c r="C142" s="77">
        <f t="shared" si="148"/>
        <v>0.18</v>
      </c>
      <c r="D142" s="97">
        <f t="shared" si="80"/>
        <v>0</v>
      </c>
      <c r="E142" s="100">
        <f t="shared" si="81"/>
        <v>1</v>
      </c>
      <c r="F142" s="99">
        <f t="shared" ca="1" si="126"/>
        <v>3400</v>
      </c>
      <c r="G142" s="77" t="e">
        <f t="shared" si="149"/>
        <v>#DIV/0!</v>
      </c>
      <c r="H142" s="77" t="e">
        <f>IF(B$16=1,_xll.xCalcSkew(A142,I142-AO142,b)/100,0)</f>
        <v>#DIV/0!</v>
      </c>
      <c r="I142" s="98">
        <f t="shared" si="188"/>
        <v>4</v>
      </c>
      <c r="K142" s="97">
        <f t="shared" si="84"/>
        <v>0.02</v>
      </c>
      <c r="L142" s="100">
        <f t="shared" si="85"/>
        <v>1</v>
      </c>
      <c r="M142" s="99">
        <f t="shared" ca="1" si="150"/>
        <v>3401</v>
      </c>
      <c r="N142" s="175" t="e">
        <f t="shared" si="151"/>
        <v>#DIV/0!</v>
      </c>
      <c r="O142" s="77" t="e">
        <f>IF(D$16=1,_xll.xCalcSkew($A142,P142-AZ142,b)/100,0)</f>
        <v>#DIV/0!</v>
      </c>
      <c r="P142" s="98">
        <f t="shared" si="189"/>
        <v>2.5</v>
      </c>
      <c r="R142" s="97">
        <f t="shared" si="89"/>
        <v>0.02</v>
      </c>
      <c r="S142" s="100">
        <f t="shared" si="90"/>
        <v>1</v>
      </c>
      <c r="T142" s="99">
        <f t="shared" ca="1" si="152"/>
        <v>3401</v>
      </c>
      <c r="U142" s="175" t="e">
        <f t="shared" si="153"/>
        <v>#DIV/0!</v>
      </c>
      <c r="V142" s="77" t="e">
        <f>IF(F$16=1,_xll.xCalcSkew($A142,W142-BK142,b)/100,0)</f>
        <v>#DIV/0!</v>
      </c>
      <c r="W142" s="98">
        <f t="shared" si="190"/>
        <v>2.5</v>
      </c>
      <c r="X142" s="99"/>
      <c r="Y142" s="97">
        <f t="shared" si="94"/>
        <v>0.02</v>
      </c>
      <c r="Z142" s="100">
        <f t="shared" si="95"/>
        <v>1</v>
      </c>
      <c r="AA142" s="99">
        <f t="shared" ca="1" si="154"/>
        <v>3401</v>
      </c>
      <c r="AB142" s="77" t="e">
        <f t="shared" si="155"/>
        <v>#DIV/0!</v>
      </c>
      <c r="AC142" s="77" t="e">
        <f>IF(H$16=1,_xll.xCalcSkew($A142,AD142-BV142,b)/100,0)</f>
        <v>#DIV/0!</v>
      </c>
      <c r="AD142" s="98">
        <f t="shared" si="191"/>
        <v>2.4900000000000002</v>
      </c>
      <c r="AF142" s="99">
        <f t="shared" ca="1" si="127"/>
        <v>3401</v>
      </c>
      <c r="AG142" s="99">
        <f t="shared" ca="1" si="128"/>
        <v>3400</v>
      </c>
      <c r="AH142" s="77">
        <f t="shared" si="129"/>
        <v>5.84671460053037E-2</v>
      </c>
      <c r="AI142" s="154">
        <f t="shared" si="99"/>
        <v>31</v>
      </c>
      <c r="AL142" s="99"/>
      <c r="AM142" s="78"/>
      <c r="AN142" s="78">
        <f t="shared" si="156"/>
        <v>0</v>
      </c>
      <c r="AO142" s="303" t="e">
        <f t="shared" si="157"/>
        <v>#DIV/0!</v>
      </c>
      <c r="AP142" s="75">
        <f t="shared" si="192"/>
        <v>0</v>
      </c>
      <c r="AQ142" s="102">
        <f t="shared" si="193"/>
        <v>0</v>
      </c>
      <c r="AR142" s="101">
        <f t="shared" si="158"/>
        <v>0</v>
      </c>
      <c r="AS142" s="101">
        <f t="shared" si="159"/>
        <v>0</v>
      </c>
      <c r="AT142" s="101">
        <f t="shared" si="160"/>
        <v>0</v>
      </c>
      <c r="AU142" s="103">
        <f t="shared" si="161"/>
        <v>0</v>
      </c>
      <c r="AV142" s="103">
        <f t="shared" si="162"/>
        <v>0</v>
      </c>
      <c r="AW142" s="103">
        <f t="shared" si="163"/>
        <v>0</v>
      </c>
      <c r="AY142" s="78">
        <f t="shared" si="164"/>
        <v>0</v>
      </c>
      <c r="AZ142" s="303" t="e">
        <f t="shared" si="165"/>
        <v>#DIV/0!</v>
      </c>
      <c r="BA142" s="75">
        <f t="shared" si="194"/>
        <v>0</v>
      </c>
      <c r="BB142" s="102">
        <f t="shared" si="195"/>
        <v>0</v>
      </c>
      <c r="BC142" s="101">
        <f t="shared" si="166"/>
        <v>0</v>
      </c>
      <c r="BD142" s="101">
        <f t="shared" si="167"/>
        <v>0</v>
      </c>
      <c r="BE142" s="101">
        <f t="shared" si="168"/>
        <v>0</v>
      </c>
      <c r="BF142" s="103">
        <f t="shared" si="169"/>
        <v>0</v>
      </c>
      <c r="BG142" s="103">
        <f t="shared" si="170"/>
        <v>0</v>
      </c>
      <c r="BH142" s="103">
        <f t="shared" si="171"/>
        <v>0</v>
      </c>
      <c r="BJ142" s="78">
        <f t="shared" si="172"/>
        <v>0</v>
      </c>
      <c r="BK142" s="303" t="e">
        <f t="shared" si="173"/>
        <v>#DIV/0!</v>
      </c>
      <c r="BL142" s="75">
        <f t="shared" si="196"/>
        <v>0</v>
      </c>
      <c r="BM142" s="102">
        <f t="shared" si="197"/>
        <v>0</v>
      </c>
      <c r="BN142" s="101">
        <f t="shared" si="174"/>
        <v>0</v>
      </c>
      <c r="BO142" s="101">
        <f t="shared" si="175"/>
        <v>0</v>
      </c>
      <c r="BP142" s="101">
        <f t="shared" si="176"/>
        <v>0</v>
      </c>
      <c r="BQ142" s="103">
        <f t="shared" si="177"/>
        <v>0</v>
      </c>
      <c r="BR142" s="103">
        <f t="shared" si="178"/>
        <v>0</v>
      </c>
      <c r="BS142" s="103">
        <f t="shared" si="179"/>
        <v>0</v>
      </c>
      <c r="BU142" s="78">
        <f t="shared" si="180"/>
        <v>0</v>
      </c>
      <c r="BV142" s="303" t="e">
        <f t="shared" si="181"/>
        <v>#DIV/0!</v>
      </c>
      <c r="BW142" s="75">
        <f t="shared" si="198"/>
        <v>0</v>
      </c>
      <c r="BX142" s="102">
        <f t="shared" si="199"/>
        <v>0</v>
      </c>
      <c r="BY142" s="101">
        <f t="shared" si="182"/>
        <v>0</v>
      </c>
      <c r="BZ142" s="101">
        <f t="shared" si="183"/>
        <v>0</v>
      </c>
      <c r="CA142" s="101">
        <f t="shared" si="184"/>
        <v>0</v>
      </c>
      <c r="CB142" s="103">
        <f t="shared" si="185"/>
        <v>0</v>
      </c>
      <c r="CC142" s="103">
        <f t="shared" si="186"/>
        <v>0</v>
      </c>
      <c r="CD142" s="103">
        <f t="shared" si="187"/>
        <v>0</v>
      </c>
    </row>
    <row r="143" spans="1:82" x14ac:dyDescent="0.2">
      <c r="A143" s="96">
        <f t="shared" si="147"/>
        <v>40695</v>
      </c>
      <c r="B143" s="97">
        <f t="shared" si="124"/>
        <v>3.7574999999999998</v>
      </c>
      <c r="C143" s="77">
        <f t="shared" si="148"/>
        <v>0.18</v>
      </c>
      <c r="D143" s="97">
        <f t="shared" si="80"/>
        <v>0</v>
      </c>
      <c r="E143" s="100">
        <f t="shared" si="81"/>
        <v>1</v>
      </c>
      <c r="F143" s="99">
        <f t="shared" ca="1" si="126"/>
        <v>3429</v>
      </c>
      <c r="G143" s="77" t="e">
        <f t="shared" si="149"/>
        <v>#DIV/0!</v>
      </c>
      <c r="H143" s="77" t="e">
        <f>IF(B$16=1,_xll.xCalcSkew(A143,I143-AO143,b)/100,0)</f>
        <v>#DIV/0!</v>
      </c>
      <c r="I143" s="98">
        <f t="shared" si="188"/>
        <v>4</v>
      </c>
      <c r="K143" s="97">
        <f t="shared" si="84"/>
        <v>2.5000000000000001E-2</v>
      </c>
      <c r="L143" s="100">
        <f t="shared" si="85"/>
        <v>1</v>
      </c>
      <c r="M143" s="99">
        <f t="shared" ca="1" si="150"/>
        <v>3430</v>
      </c>
      <c r="N143" s="175" t="e">
        <f t="shared" si="151"/>
        <v>#DIV/0!</v>
      </c>
      <c r="O143" s="77" t="e">
        <f>IF(D$16=1,_xll.xCalcSkew($A143,P143-AZ143,b)/100,0)</f>
        <v>#DIV/0!</v>
      </c>
      <c r="P143" s="98">
        <f t="shared" si="189"/>
        <v>2.5</v>
      </c>
      <c r="R143" s="97">
        <f t="shared" si="89"/>
        <v>2.5000000000000001E-2</v>
      </c>
      <c r="S143" s="100">
        <f t="shared" si="90"/>
        <v>1</v>
      </c>
      <c r="T143" s="99">
        <f t="shared" ca="1" si="152"/>
        <v>3430</v>
      </c>
      <c r="U143" s="175" t="e">
        <f t="shared" si="153"/>
        <v>#DIV/0!</v>
      </c>
      <c r="V143" s="77" t="e">
        <f>IF(F$16=1,_xll.xCalcSkew($A143,W143-BK143,b)/100,0)</f>
        <v>#DIV/0!</v>
      </c>
      <c r="W143" s="98">
        <f t="shared" si="190"/>
        <v>2.5</v>
      </c>
      <c r="X143" s="99"/>
      <c r="Y143" s="97">
        <f t="shared" si="94"/>
        <v>2.5000000000000001E-2</v>
      </c>
      <c r="Z143" s="100">
        <f t="shared" si="95"/>
        <v>1</v>
      </c>
      <c r="AA143" s="99">
        <f t="shared" ca="1" si="154"/>
        <v>3430</v>
      </c>
      <c r="AB143" s="77" t="e">
        <f t="shared" si="155"/>
        <v>#DIV/0!</v>
      </c>
      <c r="AC143" s="77" t="e">
        <f>IF(H$16=1,_xll.xCalcSkew($A143,AD143-BV143,b)/100,0)</f>
        <v>#DIV/0!</v>
      </c>
      <c r="AD143" s="98">
        <f t="shared" si="191"/>
        <v>2.4900000000000002</v>
      </c>
      <c r="AF143" s="99">
        <f t="shared" ca="1" si="127"/>
        <v>3430</v>
      </c>
      <c r="AG143" s="99">
        <f t="shared" ca="1" si="128"/>
        <v>3429</v>
      </c>
      <c r="AH143" s="77">
        <f t="shared" si="129"/>
        <v>5.8570644486623601E-2</v>
      </c>
      <c r="AI143" s="154">
        <f t="shared" si="99"/>
        <v>30</v>
      </c>
      <c r="AL143" s="99"/>
      <c r="AM143" s="78"/>
      <c r="AN143" s="78">
        <f t="shared" si="156"/>
        <v>0</v>
      </c>
      <c r="AO143" s="303" t="e">
        <f t="shared" si="157"/>
        <v>#DIV/0!</v>
      </c>
      <c r="AP143" s="75">
        <f t="shared" si="192"/>
        <v>0</v>
      </c>
      <c r="AQ143" s="102">
        <f t="shared" si="193"/>
        <v>0</v>
      </c>
      <c r="AR143" s="101">
        <f t="shared" si="158"/>
        <v>0</v>
      </c>
      <c r="AS143" s="101">
        <f t="shared" si="159"/>
        <v>0</v>
      </c>
      <c r="AT143" s="101">
        <f t="shared" si="160"/>
        <v>0</v>
      </c>
      <c r="AU143" s="103">
        <f t="shared" si="161"/>
        <v>0</v>
      </c>
      <c r="AV143" s="103">
        <f t="shared" si="162"/>
        <v>0</v>
      </c>
      <c r="AW143" s="103">
        <f t="shared" si="163"/>
        <v>0</v>
      </c>
      <c r="AY143" s="78">
        <f t="shared" si="164"/>
        <v>0</v>
      </c>
      <c r="AZ143" s="303" t="e">
        <f t="shared" si="165"/>
        <v>#DIV/0!</v>
      </c>
      <c r="BA143" s="75">
        <f t="shared" si="194"/>
        <v>0</v>
      </c>
      <c r="BB143" s="102">
        <f t="shared" si="195"/>
        <v>0</v>
      </c>
      <c r="BC143" s="101">
        <f t="shared" si="166"/>
        <v>0</v>
      </c>
      <c r="BD143" s="101">
        <f t="shared" si="167"/>
        <v>0</v>
      </c>
      <c r="BE143" s="101">
        <f t="shared" si="168"/>
        <v>0</v>
      </c>
      <c r="BF143" s="103">
        <f t="shared" si="169"/>
        <v>0</v>
      </c>
      <c r="BG143" s="103">
        <f t="shared" si="170"/>
        <v>0</v>
      </c>
      <c r="BH143" s="103">
        <f t="shared" si="171"/>
        <v>0</v>
      </c>
      <c r="BJ143" s="78">
        <f t="shared" si="172"/>
        <v>0</v>
      </c>
      <c r="BK143" s="303" t="e">
        <f t="shared" si="173"/>
        <v>#DIV/0!</v>
      </c>
      <c r="BL143" s="75">
        <f t="shared" si="196"/>
        <v>0</v>
      </c>
      <c r="BM143" s="102">
        <f t="shared" si="197"/>
        <v>0</v>
      </c>
      <c r="BN143" s="101">
        <f t="shared" si="174"/>
        <v>0</v>
      </c>
      <c r="BO143" s="101">
        <f t="shared" si="175"/>
        <v>0</v>
      </c>
      <c r="BP143" s="101">
        <f t="shared" si="176"/>
        <v>0</v>
      </c>
      <c r="BQ143" s="103">
        <f t="shared" si="177"/>
        <v>0</v>
      </c>
      <c r="BR143" s="103">
        <f t="shared" si="178"/>
        <v>0</v>
      </c>
      <c r="BS143" s="103">
        <f t="shared" si="179"/>
        <v>0</v>
      </c>
      <c r="BU143" s="78">
        <f t="shared" si="180"/>
        <v>0</v>
      </c>
      <c r="BV143" s="303" t="e">
        <f t="shared" si="181"/>
        <v>#DIV/0!</v>
      </c>
      <c r="BW143" s="75">
        <f t="shared" si="198"/>
        <v>0</v>
      </c>
      <c r="BX143" s="102">
        <f t="shared" si="199"/>
        <v>0</v>
      </c>
      <c r="BY143" s="101">
        <f t="shared" si="182"/>
        <v>0</v>
      </c>
      <c r="BZ143" s="101">
        <f t="shared" si="183"/>
        <v>0</v>
      </c>
      <c r="CA143" s="101">
        <f t="shared" si="184"/>
        <v>0</v>
      </c>
      <c r="CB143" s="103">
        <f t="shared" si="185"/>
        <v>0</v>
      </c>
      <c r="CC143" s="103">
        <f t="shared" si="186"/>
        <v>0</v>
      </c>
      <c r="CD143" s="103">
        <f t="shared" si="187"/>
        <v>0</v>
      </c>
    </row>
    <row r="144" spans="1:82" x14ac:dyDescent="0.2">
      <c r="A144" s="96">
        <f t="shared" si="147"/>
        <v>40725</v>
      </c>
      <c r="B144" s="97">
        <f t="shared" si="124"/>
        <v>3.7974999999999999</v>
      </c>
      <c r="C144" s="77">
        <f t="shared" si="148"/>
        <v>0.18</v>
      </c>
      <c r="D144" s="97">
        <f t="shared" si="80"/>
        <v>0</v>
      </c>
      <c r="E144" s="100">
        <f t="shared" si="81"/>
        <v>1</v>
      </c>
      <c r="F144" s="99">
        <f t="shared" ca="1" si="126"/>
        <v>3462</v>
      </c>
      <c r="G144" s="77" t="e">
        <f t="shared" si="149"/>
        <v>#DIV/0!</v>
      </c>
      <c r="H144" s="77" t="e">
        <f>IF(B$16=1,_xll.xCalcSkew(A144,I144-AO144,b)/100,0)</f>
        <v>#DIV/0!</v>
      </c>
      <c r="I144" s="98">
        <f t="shared" si="188"/>
        <v>4</v>
      </c>
      <c r="K144" s="97">
        <f t="shared" si="84"/>
        <v>2.75E-2</v>
      </c>
      <c r="L144" s="100">
        <f t="shared" si="85"/>
        <v>1</v>
      </c>
      <c r="M144" s="99">
        <f t="shared" ca="1" si="150"/>
        <v>3463</v>
      </c>
      <c r="N144" s="175" t="e">
        <f t="shared" si="151"/>
        <v>#DIV/0!</v>
      </c>
      <c r="O144" s="77" t="e">
        <f>IF(D$16=1,_xll.xCalcSkew($A144,P144-AZ144,b)/100,0)</f>
        <v>#DIV/0!</v>
      </c>
      <c r="P144" s="98">
        <f t="shared" si="189"/>
        <v>2.5</v>
      </c>
      <c r="R144" s="97">
        <f t="shared" si="89"/>
        <v>2.75E-2</v>
      </c>
      <c r="S144" s="100">
        <f t="shared" si="90"/>
        <v>1</v>
      </c>
      <c r="T144" s="99">
        <f t="shared" ca="1" si="152"/>
        <v>3463</v>
      </c>
      <c r="U144" s="175" t="e">
        <f t="shared" si="153"/>
        <v>#DIV/0!</v>
      </c>
      <c r="V144" s="77" t="e">
        <f>IF(F$16=1,_xll.xCalcSkew($A144,W144-BK144,b)/100,0)</f>
        <v>#DIV/0!</v>
      </c>
      <c r="W144" s="98">
        <f t="shared" si="190"/>
        <v>2.5</v>
      </c>
      <c r="X144" s="99"/>
      <c r="Y144" s="97">
        <f t="shared" si="94"/>
        <v>2.75E-2</v>
      </c>
      <c r="Z144" s="100">
        <f t="shared" si="95"/>
        <v>1</v>
      </c>
      <c r="AA144" s="99">
        <f t="shared" ca="1" si="154"/>
        <v>3463</v>
      </c>
      <c r="AB144" s="77" t="e">
        <f t="shared" si="155"/>
        <v>#DIV/0!</v>
      </c>
      <c r="AC144" s="77" t="e">
        <f>IF(H$16=1,_xll.xCalcSkew($A144,AD144-BV144,b)/100,0)</f>
        <v>#DIV/0!</v>
      </c>
      <c r="AD144" s="98">
        <f t="shared" si="191"/>
        <v>2.4900000000000002</v>
      </c>
      <c r="AF144" s="99">
        <f t="shared" ca="1" si="127"/>
        <v>3463</v>
      </c>
      <c r="AG144" s="99">
        <f t="shared" ca="1" si="128"/>
        <v>3462</v>
      </c>
      <c r="AH144" s="77">
        <f t="shared" si="129"/>
        <v>5.86708043106468E-2</v>
      </c>
      <c r="AI144" s="154">
        <f t="shared" si="99"/>
        <v>31</v>
      </c>
      <c r="AL144" s="99"/>
      <c r="AM144" s="78"/>
      <c r="AN144" s="78">
        <f t="shared" si="156"/>
        <v>0</v>
      </c>
      <c r="AO144" s="303" t="e">
        <f t="shared" si="157"/>
        <v>#DIV/0!</v>
      </c>
      <c r="AP144" s="75">
        <f t="shared" si="192"/>
        <v>0</v>
      </c>
      <c r="AQ144" s="102">
        <f t="shared" si="193"/>
        <v>0</v>
      </c>
      <c r="AR144" s="101">
        <f t="shared" si="158"/>
        <v>0</v>
      </c>
      <c r="AS144" s="101">
        <f t="shared" si="159"/>
        <v>0</v>
      </c>
      <c r="AT144" s="101">
        <f t="shared" si="160"/>
        <v>0</v>
      </c>
      <c r="AU144" s="103">
        <f t="shared" si="161"/>
        <v>0</v>
      </c>
      <c r="AV144" s="103">
        <f t="shared" si="162"/>
        <v>0</v>
      </c>
      <c r="AW144" s="103">
        <f t="shared" si="163"/>
        <v>0</v>
      </c>
      <c r="AY144" s="78">
        <f t="shared" si="164"/>
        <v>0</v>
      </c>
      <c r="AZ144" s="303" t="e">
        <f t="shared" si="165"/>
        <v>#DIV/0!</v>
      </c>
      <c r="BA144" s="75">
        <f t="shared" si="194"/>
        <v>0</v>
      </c>
      <c r="BB144" s="102">
        <f t="shared" si="195"/>
        <v>0</v>
      </c>
      <c r="BC144" s="101">
        <f t="shared" si="166"/>
        <v>0</v>
      </c>
      <c r="BD144" s="101">
        <f t="shared" si="167"/>
        <v>0</v>
      </c>
      <c r="BE144" s="101">
        <f t="shared" si="168"/>
        <v>0</v>
      </c>
      <c r="BF144" s="103">
        <f t="shared" si="169"/>
        <v>0</v>
      </c>
      <c r="BG144" s="103">
        <f t="shared" si="170"/>
        <v>0</v>
      </c>
      <c r="BH144" s="103">
        <f t="shared" si="171"/>
        <v>0</v>
      </c>
      <c r="BJ144" s="78">
        <f t="shared" si="172"/>
        <v>0</v>
      </c>
      <c r="BK144" s="303" t="e">
        <f t="shared" si="173"/>
        <v>#DIV/0!</v>
      </c>
      <c r="BL144" s="75">
        <f t="shared" si="196"/>
        <v>0</v>
      </c>
      <c r="BM144" s="102">
        <f t="shared" si="197"/>
        <v>0</v>
      </c>
      <c r="BN144" s="101">
        <f t="shared" si="174"/>
        <v>0</v>
      </c>
      <c r="BO144" s="101">
        <f t="shared" si="175"/>
        <v>0</v>
      </c>
      <c r="BP144" s="101">
        <f t="shared" si="176"/>
        <v>0</v>
      </c>
      <c r="BQ144" s="103">
        <f t="shared" si="177"/>
        <v>0</v>
      </c>
      <c r="BR144" s="103">
        <f t="shared" si="178"/>
        <v>0</v>
      </c>
      <c r="BS144" s="103">
        <f t="shared" si="179"/>
        <v>0</v>
      </c>
      <c r="BU144" s="78">
        <f t="shared" si="180"/>
        <v>0</v>
      </c>
      <c r="BV144" s="303" t="e">
        <f t="shared" si="181"/>
        <v>#DIV/0!</v>
      </c>
      <c r="BW144" s="75">
        <f t="shared" si="198"/>
        <v>0</v>
      </c>
      <c r="BX144" s="102">
        <f t="shared" si="199"/>
        <v>0</v>
      </c>
      <c r="BY144" s="101">
        <f t="shared" si="182"/>
        <v>0</v>
      </c>
      <c r="BZ144" s="101">
        <f t="shared" si="183"/>
        <v>0</v>
      </c>
      <c r="CA144" s="101">
        <f t="shared" si="184"/>
        <v>0</v>
      </c>
      <c r="CB144" s="103">
        <f t="shared" si="185"/>
        <v>0</v>
      </c>
      <c r="CC144" s="103">
        <f t="shared" si="186"/>
        <v>0</v>
      </c>
      <c r="CD144" s="103">
        <f t="shared" si="187"/>
        <v>0</v>
      </c>
    </row>
    <row r="145" spans="1:82" x14ac:dyDescent="0.2">
      <c r="A145" s="96">
        <f t="shared" si="147"/>
        <v>40756</v>
      </c>
      <c r="B145" s="97">
        <f t="shared" si="124"/>
        <v>3.8374999999999999</v>
      </c>
      <c r="C145" s="77">
        <f t="shared" si="148"/>
        <v>0.18</v>
      </c>
      <c r="D145" s="97">
        <f t="shared" si="80"/>
        <v>0</v>
      </c>
      <c r="E145" s="100">
        <f t="shared" si="81"/>
        <v>1</v>
      </c>
      <c r="F145" s="99">
        <f t="shared" ca="1" si="126"/>
        <v>3491</v>
      </c>
      <c r="G145" s="77" t="e">
        <f t="shared" si="149"/>
        <v>#DIV/0!</v>
      </c>
      <c r="H145" s="77" t="e">
        <f>IF(B$16=1,_xll.xCalcSkew(A145,I145-AO145,b)/100,0)</f>
        <v>#DIV/0!</v>
      </c>
      <c r="I145" s="98">
        <f t="shared" si="188"/>
        <v>4</v>
      </c>
      <c r="K145" s="97">
        <f t="shared" si="84"/>
        <v>0.03</v>
      </c>
      <c r="L145" s="100">
        <f t="shared" si="85"/>
        <v>1</v>
      </c>
      <c r="M145" s="99">
        <f t="shared" ca="1" si="150"/>
        <v>3492</v>
      </c>
      <c r="N145" s="175" t="e">
        <f t="shared" si="151"/>
        <v>#DIV/0!</v>
      </c>
      <c r="O145" s="77" t="e">
        <f>IF(D$16=1,_xll.xCalcSkew($A145,P145-AZ145,b)/100,0)</f>
        <v>#DIV/0!</v>
      </c>
      <c r="P145" s="98">
        <f t="shared" si="189"/>
        <v>2.5</v>
      </c>
      <c r="R145" s="97">
        <f t="shared" si="89"/>
        <v>0.03</v>
      </c>
      <c r="S145" s="100">
        <f t="shared" si="90"/>
        <v>1</v>
      </c>
      <c r="T145" s="99">
        <f t="shared" ca="1" si="152"/>
        <v>3492</v>
      </c>
      <c r="U145" s="175" t="e">
        <f t="shared" si="153"/>
        <v>#DIV/0!</v>
      </c>
      <c r="V145" s="77" t="e">
        <f>IF(F$16=1,_xll.xCalcSkew($A145,W145-BK145,b)/100,0)</f>
        <v>#DIV/0!</v>
      </c>
      <c r="W145" s="98">
        <f t="shared" si="190"/>
        <v>2.5</v>
      </c>
      <c r="X145" s="99"/>
      <c r="Y145" s="97">
        <f t="shared" si="94"/>
        <v>0.03</v>
      </c>
      <c r="Z145" s="100">
        <f t="shared" si="95"/>
        <v>1</v>
      </c>
      <c r="AA145" s="99">
        <f t="shared" ca="1" si="154"/>
        <v>3492</v>
      </c>
      <c r="AB145" s="77" t="e">
        <f t="shared" si="155"/>
        <v>#DIV/0!</v>
      </c>
      <c r="AC145" s="77" t="e">
        <f>IF(H$16=1,_xll.xCalcSkew($A145,AD145-BV145,b)/100,0)</f>
        <v>#DIV/0!</v>
      </c>
      <c r="AD145" s="98">
        <f t="shared" si="191"/>
        <v>2.4900000000000002</v>
      </c>
      <c r="AF145" s="99">
        <f t="shared" ca="1" si="127"/>
        <v>3492</v>
      </c>
      <c r="AG145" s="99">
        <f t="shared" ca="1" si="128"/>
        <v>3491</v>
      </c>
      <c r="AH145" s="77">
        <f t="shared" si="129"/>
        <v>5.8774302798974401E-2</v>
      </c>
      <c r="AI145" s="154">
        <f t="shared" si="99"/>
        <v>31</v>
      </c>
      <c r="AL145" s="99"/>
      <c r="AM145" s="78"/>
      <c r="AN145" s="78">
        <f t="shared" si="156"/>
        <v>0</v>
      </c>
      <c r="AO145" s="303" t="e">
        <f t="shared" si="157"/>
        <v>#DIV/0!</v>
      </c>
      <c r="AP145" s="75">
        <f t="shared" si="192"/>
        <v>0</v>
      </c>
      <c r="AQ145" s="102">
        <f t="shared" si="193"/>
        <v>0</v>
      </c>
      <c r="AR145" s="101">
        <f t="shared" si="158"/>
        <v>0</v>
      </c>
      <c r="AS145" s="101">
        <f t="shared" si="159"/>
        <v>0</v>
      </c>
      <c r="AT145" s="101">
        <f t="shared" si="160"/>
        <v>0</v>
      </c>
      <c r="AU145" s="103">
        <f t="shared" si="161"/>
        <v>0</v>
      </c>
      <c r="AV145" s="103">
        <f t="shared" si="162"/>
        <v>0</v>
      </c>
      <c r="AW145" s="103">
        <f t="shared" si="163"/>
        <v>0</v>
      </c>
      <c r="AY145" s="78">
        <f t="shared" si="164"/>
        <v>0</v>
      </c>
      <c r="AZ145" s="303" t="e">
        <f t="shared" si="165"/>
        <v>#DIV/0!</v>
      </c>
      <c r="BA145" s="75">
        <f t="shared" si="194"/>
        <v>0</v>
      </c>
      <c r="BB145" s="102">
        <f t="shared" si="195"/>
        <v>0</v>
      </c>
      <c r="BC145" s="101">
        <f t="shared" si="166"/>
        <v>0</v>
      </c>
      <c r="BD145" s="101">
        <f t="shared" si="167"/>
        <v>0</v>
      </c>
      <c r="BE145" s="101">
        <f t="shared" si="168"/>
        <v>0</v>
      </c>
      <c r="BF145" s="103">
        <f t="shared" si="169"/>
        <v>0</v>
      </c>
      <c r="BG145" s="103">
        <f t="shared" si="170"/>
        <v>0</v>
      </c>
      <c r="BH145" s="103">
        <f t="shared" si="171"/>
        <v>0</v>
      </c>
      <c r="BJ145" s="78">
        <f t="shared" si="172"/>
        <v>0</v>
      </c>
      <c r="BK145" s="303" t="e">
        <f t="shared" si="173"/>
        <v>#DIV/0!</v>
      </c>
      <c r="BL145" s="75">
        <f t="shared" si="196"/>
        <v>0</v>
      </c>
      <c r="BM145" s="102">
        <f t="shared" si="197"/>
        <v>0</v>
      </c>
      <c r="BN145" s="101">
        <f t="shared" si="174"/>
        <v>0</v>
      </c>
      <c r="BO145" s="101">
        <f t="shared" si="175"/>
        <v>0</v>
      </c>
      <c r="BP145" s="101">
        <f t="shared" si="176"/>
        <v>0</v>
      </c>
      <c r="BQ145" s="103">
        <f t="shared" si="177"/>
        <v>0</v>
      </c>
      <c r="BR145" s="103">
        <f t="shared" si="178"/>
        <v>0</v>
      </c>
      <c r="BS145" s="103">
        <f t="shared" si="179"/>
        <v>0</v>
      </c>
      <c r="BU145" s="78">
        <f t="shared" si="180"/>
        <v>0</v>
      </c>
      <c r="BV145" s="303" t="e">
        <f t="shared" si="181"/>
        <v>#DIV/0!</v>
      </c>
      <c r="BW145" s="75">
        <f t="shared" si="198"/>
        <v>0</v>
      </c>
      <c r="BX145" s="102">
        <f t="shared" si="199"/>
        <v>0</v>
      </c>
      <c r="BY145" s="101">
        <f t="shared" si="182"/>
        <v>0</v>
      </c>
      <c r="BZ145" s="101">
        <f t="shared" si="183"/>
        <v>0</v>
      </c>
      <c r="CA145" s="101">
        <f t="shared" si="184"/>
        <v>0</v>
      </c>
      <c r="CB145" s="103">
        <f t="shared" si="185"/>
        <v>0</v>
      </c>
      <c r="CC145" s="103">
        <f t="shared" si="186"/>
        <v>0</v>
      </c>
      <c r="CD145" s="103">
        <f t="shared" si="187"/>
        <v>0</v>
      </c>
    </row>
    <row r="146" spans="1:82" x14ac:dyDescent="0.2">
      <c r="A146" s="96">
        <f t="shared" si="147"/>
        <v>40787</v>
      </c>
      <c r="B146" s="97">
        <f t="shared" si="124"/>
        <v>3.8325</v>
      </c>
      <c r="C146" s="77">
        <f t="shared" si="148"/>
        <v>0.18</v>
      </c>
      <c r="D146" s="97">
        <f t="shared" si="80"/>
        <v>0</v>
      </c>
      <c r="E146" s="100">
        <f t="shared" si="81"/>
        <v>1</v>
      </c>
      <c r="F146" s="99">
        <f t="shared" ca="1" si="126"/>
        <v>3522</v>
      </c>
      <c r="G146" s="77" t="e">
        <f t="shared" si="149"/>
        <v>#DIV/0!</v>
      </c>
      <c r="H146" s="77" t="e">
        <f>IF(B$16=1,_xll.xCalcSkew(A146,I146-AO146,b)/100,0)</f>
        <v>#DIV/0!</v>
      </c>
      <c r="I146" s="98">
        <f t="shared" si="188"/>
        <v>4</v>
      </c>
      <c r="K146" s="97">
        <f t="shared" si="84"/>
        <v>2.2499999999999999E-2</v>
      </c>
      <c r="L146" s="100">
        <f t="shared" si="85"/>
        <v>1</v>
      </c>
      <c r="M146" s="99">
        <f t="shared" ca="1" si="150"/>
        <v>3525</v>
      </c>
      <c r="N146" s="175" t="e">
        <f t="shared" si="151"/>
        <v>#DIV/0!</v>
      </c>
      <c r="O146" s="77" t="e">
        <f>IF(D$16=1,_xll.xCalcSkew($A146,P146-AZ146,b)/100,0)</f>
        <v>#DIV/0!</v>
      </c>
      <c r="P146" s="98">
        <f t="shared" si="189"/>
        <v>2.5</v>
      </c>
      <c r="R146" s="97">
        <f t="shared" si="89"/>
        <v>2.2499999999999999E-2</v>
      </c>
      <c r="S146" s="100">
        <f t="shared" si="90"/>
        <v>1</v>
      </c>
      <c r="T146" s="99">
        <f t="shared" ca="1" si="152"/>
        <v>3525</v>
      </c>
      <c r="U146" s="175" t="e">
        <f t="shared" si="153"/>
        <v>#DIV/0!</v>
      </c>
      <c r="V146" s="77" t="e">
        <f>IF(F$16=1,_xll.xCalcSkew($A146,W146-BK146,b)/100,0)</f>
        <v>#DIV/0!</v>
      </c>
      <c r="W146" s="98">
        <f t="shared" si="190"/>
        <v>2.5</v>
      </c>
      <c r="X146" s="99"/>
      <c r="Y146" s="97">
        <f t="shared" si="94"/>
        <v>2.2499999999999999E-2</v>
      </c>
      <c r="Z146" s="100">
        <f t="shared" si="95"/>
        <v>1</v>
      </c>
      <c r="AA146" s="99">
        <f t="shared" ca="1" si="154"/>
        <v>3525</v>
      </c>
      <c r="AB146" s="77" t="e">
        <f t="shared" si="155"/>
        <v>#DIV/0!</v>
      </c>
      <c r="AC146" s="77" t="e">
        <f>IF(H$16=1,_xll.xCalcSkew($A146,AD146-BV146,b)/100,0)</f>
        <v>#DIV/0!</v>
      </c>
      <c r="AD146" s="98">
        <f t="shared" si="191"/>
        <v>2.4900000000000002</v>
      </c>
      <c r="AF146" s="99">
        <f t="shared" ca="1" si="127"/>
        <v>3525</v>
      </c>
      <c r="AG146" s="99">
        <f t="shared" ca="1" si="128"/>
        <v>3522</v>
      </c>
      <c r="AH146" s="77">
        <f t="shared" si="129"/>
        <v>5.8877801290863702E-2</v>
      </c>
      <c r="AI146" s="154">
        <f t="shared" si="99"/>
        <v>30</v>
      </c>
      <c r="AL146" s="99"/>
      <c r="AM146" s="78"/>
      <c r="AN146" s="78">
        <f t="shared" si="156"/>
        <v>0</v>
      </c>
      <c r="AO146" s="303" t="e">
        <f t="shared" si="157"/>
        <v>#DIV/0!</v>
      </c>
      <c r="AP146" s="75">
        <f t="shared" si="192"/>
        <v>0</v>
      </c>
      <c r="AQ146" s="102">
        <f t="shared" si="193"/>
        <v>0</v>
      </c>
      <c r="AR146" s="101">
        <f t="shared" si="158"/>
        <v>0</v>
      </c>
      <c r="AS146" s="101">
        <f t="shared" si="159"/>
        <v>0</v>
      </c>
      <c r="AT146" s="101">
        <f t="shared" si="160"/>
        <v>0</v>
      </c>
      <c r="AU146" s="103">
        <f t="shared" si="161"/>
        <v>0</v>
      </c>
      <c r="AV146" s="103">
        <f t="shared" si="162"/>
        <v>0</v>
      </c>
      <c r="AW146" s="103">
        <f t="shared" si="163"/>
        <v>0</v>
      </c>
      <c r="AY146" s="78">
        <f t="shared" si="164"/>
        <v>0</v>
      </c>
      <c r="AZ146" s="303" t="e">
        <f t="shared" si="165"/>
        <v>#DIV/0!</v>
      </c>
      <c r="BA146" s="75">
        <f t="shared" si="194"/>
        <v>0</v>
      </c>
      <c r="BB146" s="102">
        <f t="shared" si="195"/>
        <v>0</v>
      </c>
      <c r="BC146" s="101">
        <f t="shared" si="166"/>
        <v>0</v>
      </c>
      <c r="BD146" s="101">
        <f t="shared" si="167"/>
        <v>0</v>
      </c>
      <c r="BE146" s="101">
        <f t="shared" si="168"/>
        <v>0</v>
      </c>
      <c r="BF146" s="103">
        <f t="shared" si="169"/>
        <v>0</v>
      </c>
      <c r="BG146" s="103">
        <f t="shared" si="170"/>
        <v>0</v>
      </c>
      <c r="BH146" s="103">
        <f t="shared" si="171"/>
        <v>0</v>
      </c>
      <c r="BJ146" s="78">
        <f t="shared" si="172"/>
        <v>0</v>
      </c>
      <c r="BK146" s="303" t="e">
        <f t="shared" si="173"/>
        <v>#DIV/0!</v>
      </c>
      <c r="BL146" s="75">
        <f t="shared" si="196"/>
        <v>0</v>
      </c>
      <c r="BM146" s="102">
        <f t="shared" si="197"/>
        <v>0</v>
      </c>
      <c r="BN146" s="101">
        <f t="shared" si="174"/>
        <v>0</v>
      </c>
      <c r="BO146" s="101">
        <f t="shared" si="175"/>
        <v>0</v>
      </c>
      <c r="BP146" s="101">
        <f t="shared" si="176"/>
        <v>0</v>
      </c>
      <c r="BQ146" s="103">
        <f t="shared" si="177"/>
        <v>0</v>
      </c>
      <c r="BR146" s="103">
        <f t="shared" si="178"/>
        <v>0</v>
      </c>
      <c r="BS146" s="103">
        <f t="shared" si="179"/>
        <v>0</v>
      </c>
      <c r="BU146" s="78">
        <f t="shared" si="180"/>
        <v>0</v>
      </c>
      <c r="BV146" s="303" t="e">
        <f t="shared" si="181"/>
        <v>#DIV/0!</v>
      </c>
      <c r="BW146" s="75">
        <f t="shared" si="198"/>
        <v>0</v>
      </c>
      <c r="BX146" s="102">
        <f t="shared" si="199"/>
        <v>0</v>
      </c>
      <c r="BY146" s="101">
        <f t="shared" si="182"/>
        <v>0</v>
      </c>
      <c r="BZ146" s="101">
        <f t="shared" si="183"/>
        <v>0</v>
      </c>
      <c r="CA146" s="101">
        <f t="shared" si="184"/>
        <v>0</v>
      </c>
      <c r="CB146" s="103">
        <f t="shared" si="185"/>
        <v>0</v>
      </c>
      <c r="CC146" s="103">
        <f t="shared" si="186"/>
        <v>0</v>
      </c>
      <c r="CD146" s="103">
        <f t="shared" si="187"/>
        <v>0</v>
      </c>
    </row>
    <row r="147" spans="1:82" x14ac:dyDescent="0.2">
      <c r="A147" s="96">
        <f t="shared" si="147"/>
        <v>40817</v>
      </c>
      <c r="B147" s="97">
        <f t="shared" si="124"/>
        <v>3.8574999999999999</v>
      </c>
      <c r="C147" s="77">
        <f t="shared" si="148"/>
        <v>0.18</v>
      </c>
      <c r="D147" s="97">
        <f t="shared" si="80"/>
        <v>0</v>
      </c>
      <c r="E147" s="100">
        <f t="shared" si="81"/>
        <v>1</v>
      </c>
      <c r="F147" s="99">
        <f t="shared" ca="1" si="126"/>
        <v>3554</v>
      </c>
      <c r="G147" s="77" t="e">
        <f t="shared" si="149"/>
        <v>#DIV/0!</v>
      </c>
      <c r="H147" s="77" t="e">
        <f>IF(B$16=1,_xll.xCalcSkew(A147,I147-AO147,b)/100,0)</f>
        <v>#DIV/0!</v>
      </c>
      <c r="I147" s="98">
        <f t="shared" si="188"/>
        <v>4</v>
      </c>
      <c r="K147" s="97">
        <f t="shared" si="84"/>
        <v>1.2500000000000001E-2</v>
      </c>
      <c r="L147" s="100">
        <f t="shared" si="85"/>
        <v>1</v>
      </c>
      <c r="M147" s="99">
        <f t="shared" ca="1" si="150"/>
        <v>3555</v>
      </c>
      <c r="N147" s="175" t="e">
        <f t="shared" si="151"/>
        <v>#DIV/0!</v>
      </c>
      <c r="O147" s="77" t="e">
        <f>IF(D$16=1,_xll.xCalcSkew($A147,P147-AZ147,b)/100,0)</f>
        <v>#DIV/0!</v>
      </c>
      <c r="P147" s="98">
        <f t="shared" si="189"/>
        <v>2.5</v>
      </c>
      <c r="R147" s="97">
        <f t="shared" si="89"/>
        <v>1.2500000000000001E-2</v>
      </c>
      <c r="S147" s="100">
        <f t="shared" si="90"/>
        <v>1</v>
      </c>
      <c r="T147" s="99">
        <f t="shared" ca="1" si="152"/>
        <v>3555</v>
      </c>
      <c r="U147" s="175" t="e">
        <f t="shared" si="153"/>
        <v>#DIV/0!</v>
      </c>
      <c r="V147" s="77" t="e">
        <f>IF(F$16=1,_xll.xCalcSkew($A147,W147-BK147,b)/100,0)</f>
        <v>#DIV/0!</v>
      </c>
      <c r="W147" s="98">
        <f t="shared" si="190"/>
        <v>2.5</v>
      </c>
      <c r="X147" s="99"/>
      <c r="Y147" s="97">
        <f t="shared" si="94"/>
        <v>1.2500000000000001E-2</v>
      </c>
      <c r="Z147" s="100">
        <f t="shared" si="95"/>
        <v>1</v>
      </c>
      <c r="AA147" s="99">
        <f t="shared" ca="1" si="154"/>
        <v>3555</v>
      </c>
      <c r="AB147" s="77" t="e">
        <f t="shared" si="155"/>
        <v>#DIV/0!</v>
      </c>
      <c r="AC147" s="77" t="e">
        <f>IF(H$16=1,_xll.xCalcSkew($A147,AD147-BV147,b)/100,0)</f>
        <v>#DIV/0!</v>
      </c>
      <c r="AD147" s="98">
        <f t="shared" si="191"/>
        <v>2.4900000000000002</v>
      </c>
      <c r="AF147" s="99">
        <f t="shared" ca="1" si="127"/>
        <v>3555</v>
      </c>
      <c r="AG147" s="99">
        <f t="shared" ca="1" si="128"/>
        <v>3554</v>
      </c>
      <c r="AH147" s="77">
        <f t="shared" si="129"/>
        <v>5.8977961125114199E-2</v>
      </c>
      <c r="AI147" s="154">
        <f t="shared" si="99"/>
        <v>31</v>
      </c>
      <c r="AL147" s="99"/>
      <c r="AM147" s="78"/>
      <c r="AN147" s="78">
        <f t="shared" si="156"/>
        <v>0</v>
      </c>
      <c r="AO147" s="303" t="e">
        <f t="shared" si="157"/>
        <v>#DIV/0!</v>
      </c>
      <c r="AP147" s="75">
        <f t="shared" si="192"/>
        <v>0</v>
      </c>
      <c r="AQ147" s="102">
        <f t="shared" si="193"/>
        <v>0</v>
      </c>
      <c r="AR147" s="101">
        <f t="shared" si="158"/>
        <v>0</v>
      </c>
      <c r="AS147" s="101">
        <f t="shared" si="159"/>
        <v>0</v>
      </c>
      <c r="AT147" s="101">
        <f t="shared" si="160"/>
        <v>0</v>
      </c>
      <c r="AU147" s="103">
        <f t="shared" si="161"/>
        <v>0</v>
      </c>
      <c r="AV147" s="103">
        <f t="shared" si="162"/>
        <v>0</v>
      </c>
      <c r="AW147" s="103">
        <f t="shared" si="163"/>
        <v>0</v>
      </c>
      <c r="AY147" s="78">
        <f t="shared" si="164"/>
        <v>0</v>
      </c>
      <c r="AZ147" s="303" t="e">
        <f t="shared" si="165"/>
        <v>#DIV/0!</v>
      </c>
      <c r="BA147" s="75">
        <f t="shared" si="194"/>
        <v>0</v>
      </c>
      <c r="BB147" s="102">
        <f t="shared" si="195"/>
        <v>0</v>
      </c>
      <c r="BC147" s="101">
        <f t="shared" si="166"/>
        <v>0</v>
      </c>
      <c r="BD147" s="101">
        <f t="shared" si="167"/>
        <v>0</v>
      </c>
      <c r="BE147" s="101">
        <f t="shared" si="168"/>
        <v>0</v>
      </c>
      <c r="BF147" s="103">
        <f t="shared" si="169"/>
        <v>0</v>
      </c>
      <c r="BG147" s="103">
        <f t="shared" si="170"/>
        <v>0</v>
      </c>
      <c r="BH147" s="103">
        <f t="shared" si="171"/>
        <v>0</v>
      </c>
      <c r="BJ147" s="78">
        <f t="shared" si="172"/>
        <v>0</v>
      </c>
      <c r="BK147" s="303" t="e">
        <f t="shared" si="173"/>
        <v>#DIV/0!</v>
      </c>
      <c r="BL147" s="75">
        <f t="shared" si="196"/>
        <v>0</v>
      </c>
      <c r="BM147" s="102">
        <f t="shared" si="197"/>
        <v>0</v>
      </c>
      <c r="BN147" s="101">
        <f t="shared" si="174"/>
        <v>0</v>
      </c>
      <c r="BO147" s="101">
        <f t="shared" si="175"/>
        <v>0</v>
      </c>
      <c r="BP147" s="101">
        <f t="shared" si="176"/>
        <v>0</v>
      </c>
      <c r="BQ147" s="103">
        <f t="shared" si="177"/>
        <v>0</v>
      </c>
      <c r="BR147" s="103">
        <f t="shared" si="178"/>
        <v>0</v>
      </c>
      <c r="BS147" s="103">
        <f t="shared" si="179"/>
        <v>0</v>
      </c>
      <c r="BU147" s="78">
        <f t="shared" si="180"/>
        <v>0</v>
      </c>
      <c r="BV147" s="303" t="e">
        <f t="shared" si="181"/>
        <v>#DIV/0!</v>
      </c>
      <c r="BW147" s="75">
        <f t="shared" si="198"/>
        <v>0</v>
      </c>
      <c r="BX147" s="102">
        <f t="shared" si="199"/>
        <v>0</v>
      </c>
      <c r="BY147" s="101">
        <f t="shared" si="182"/>
        <v>0</v>
      </c>
      <c r="BZ147" s="101">
        <f t="shared" si="183"/>
        <v>0</v>
      </c>
      <c r="CA147" s="101">
        <f t="shared" si="184"/>
        <v>0</v>
      </c>
      <c r="CB147" s="103">
        <f t="shared" si="185"/>
        <v>0</v>
      </c>
      <c r="CC147" s="103">
        <f t="shared" si="186"/>
        <v>0</v>
      </c>
      <c r="CD147" s="103">
        <f t="shared" si="187"/>
        <v>0</v>
      </c>
    </row>
    <row r="148" spans="1:82" x14ac:dyDescent="0.2">
      <c r="A148" s="96">
        <f t="shared" si="147"/>
        <v>40848</v>
      </c>
      <c r="B148" s="97">
        <f t="shared" si="124"/>
        <v>4.0095000000000001</v>
      </c>
      <c r="C148" s="77">
        <f t="shared" si="148"/>
        <v>0.18</v>
      </c>
      <c r="D148" s="97">
        <f t="shared" si="80"/>
        <v>0</v>
      </c>
      <c r="E148" s="100">
        <f t="shared" si="81"/>
        <v>1</v>
      </c>
      <c r="F148" s="99">
        <f t="shared" ca="1" si="126"/>
        <v>3583</v>
      </c>
      <c r="G148" s="77" t="e">
        <f t="shared" si="149"/>
        <v>#DIV/0!</v>
      </c>
      <c r="H148" s="77" t="e">
        <f>IF(B$16=1,_xll.xCalcSkew(A148,I148-AO148,b)/100,0)</f>
        <v>#DIV/0!</v>
      </c>
      <c r="I148" s="98">
        <f t="shared" si="188"/>
        <v>4</v>
      </c>
      <c r="K148" s="97">
        <f t="shared" si="84"/>
        <v>-2.2499999999999999E-2</v>
      </c>
      <c r="L148" s="100">
        <f t="shared" si="85"/>
        <v>1</v>
      </c>
      <c r="M148" s="99">
        <f t="shared" ca="1" si="150"/>
        <v>3584</v>
      </c>
      <c r="N148" s="175" t="e">
        <f t="shared" si="151"/>
        <v>#DIV/0!</v>
      </c>
      <c r="O148" s="77" t="e">
        <f>IF(D$16=1,_xll.xCalcSkew($A148,P148-AZ148,b)/100,0)</f>
        <v>#DIV/0!</v>
      </c>
      <c r="P148" s="98">
        <f t="shared" si="189"/>
        <v>2.5</v>
      </c>
      <c r="R148" s="97">
        <f t="shared" si="89"/>
        <v>-2.2499999999999999E-2</v>
      </c>
      <c r="S148" s="100">
        <f t="shared" si="90"/>
        <v>1</v>
      </c>
      <c r="T148" s="99">
        <f t="shared" ca="1" si="152"/>
        <v>3584</v>
      </c>
      <c r="U148" s="175" t="e">
        <f t="shared" si="153"/>
        <v>#DIV/0!</v>
      </c>
      <c r="V148" s="77" t="e">
        <f>IF(F$16=1,_xll.xCalcSkew($A148,W148-BK148,b)/100,0)</f>
        <v>#DIV/0!</v>
      </c>
      <c r="W148" s="98">
        <f t="shared" si="190"/>
        <v>2.5</v>
      </c>
      <c r="X148" s="99"/>
      <c r="Y148" s="97">
        <f t="shared" si="94"/>
        <v>-2.2499999999999999E-2</v>
      </c>
      <c r="Z148" s="100">
        <f t="shared" si="95"/>
        <v>1</v>
      </c>
      <c r="AA148" s="99">
        <f t="shared" ca="1" si="154"/>
        <v>3584</v>
      </c>
      <c r="AB148" s="77" t="e">
        <f t="shared" si="155"/>
        <v>#DIV/0!</v>
      </c>
      <c r="AC148" s="77" t="e">
        <f>IF(H$16=1,_xll.xCalcSkew($A148,AD148-BV148,b)/100,0)</f>
        <v>#DIV/0!</v>
      </c>
      <c r="AD148" s="98">
        <f t="shared" si="191"/>
        <v>2.4900000000000002</v>
      </c>
      <c r="AF148" s="99">
        <f t="shared" ca="1" si="127"/>
        <v>3584</v>
      </c>
      <c r="AG148" s="99">
        <f t="shared" ca="1" si="128"/>
        <v>3583</v>
      </c>
      <c r="AH148" s="77">
        <f t="shared" si="129"/>
        <v>5.9081459624010797E-2</v>
      </c>
      <c r="AI148" s="154">
        <f t="shared" si="99"/>
        <v>30</v>
      </c>
      <c r="AL148" s="99"/>
      <c r="AM148" s="78"/>
      <c r="AN148" s="78">
        <f t="shared" si="156"/>
        <v>0</v>
      </c>
      <c r="AO148" s="303" t="e">
        <f t="shared" si="157"/>
        <v>#DIV/0!</v>
      </c>
      <c r="AP148" s="75">
        <f t="shared" si="192"/>
        <v>0</v>
      </c>
      <c r="AQ148" s="102">
        <f t="shared" si="193"/>
        <v>0</v>
      </c>
      <c r="AR148" s="101">
        <f t="shared" si="158"/>
        <v>0</v>
      </c>
      <c r="AS148" s="101">
        <f t="shared" si="159"/>
        <v>0</v>
      </c>
      <c r="AT148" s="101">
        <f t="shared" si="160"/>
        <v>0</v>
      </c>
      <c r="AU148" s="103">
        <f t="shared" si="161"/>
        <v>0</v>
      </c>
      <c r="AV148" s="103">
        <f t="shared" si="162"/>
        <v>0</v>
      </c>
      <c r="AW148" s="103">
        <f t="shared" si="163"/>
        <v>0</v>
      </c>
      <c r="AY148" s="78">
        <f t="shared" si="164"/>
        <v>0</v>
      </c>
      <c r="AZ148" s="303" t="e">
        <f t="shared" si="165"/>
        <v>#DIV/0!</v>
      </c>
      <c r="BA148" s="75">
        <f t="shared" si="194"/>
        <v>0</v>
      </c>
      <c r="BB148" s="102">
        <f t="shared" si="195"/>
        <v>0</v>
      </c>
      <c r="BC148" s="101">
        <f t="shared" si="166"/>
        <v>0</v>
      </c>
      <c r="BD148" s="101">
        <f t="shared" si="167"/>
        <v>0</v>
      </c>
      <c r="BE148" s="101">
        <f t="shared" si="168"/>
        <v>0</v>
      </c>
      <c r="BF148" s="103">
        <f t="shared" si="169"/>
        <v>0</v>
      </c>
      <c r="BG148" s="103">
        <f t="shared" si="170"/>
        <v>0</v>
      </c>
      <c r="BH148" s="103">
        <f t="shared" si="171"/>
        <v>0</v>
      </c>
      <c r="BJ148" s="78">
        <f t="shared" si="172"/>
        <v>0</v>
      </c>
      <c r="BK148" s="303" t="e">
        <f t="shared" si="173"/>
        <v>#DIV/0!</v>
      </c>
      <c r="BL148" s="75">
        <f t="shared" si="196"/>
        <v>0</v>
      </c>
      <c r="BM148" s="102">
        <f t="shared" si="197"/>
        <v>0</v>
      </c>
      <c r="BN148" s="101">
        <f t="shared" si="174"/>
        <v>0</v>
      </c>
      <c r="BO148" s="101">
        <f t="shared" si="175"/>
        <v>0</v>
      </c>
      <c r="BP148" s="101">
        <f t="shared" si="176"/>
        <v>0</v>
      </c>
      <c r="BQ148" s="103">
        <f t="shared" si="177"/>
        <v>0</v>
      </c>
      <c r="BR148" s="103">
        <f t="shared" si="178"/>
        <v>0</v>
      </c>
      <c r="BS148" s="103">
        <f t="shared" si="179"/>
        <v>0</v>
      </c>
      <c r="BU148" s="78">
        <f t="shared" si="180"/>
        <v>0</v>
      </c>
      <c r="BV148" s="303" t="e">
        <f t="shared" si="181"/>
        <v>#DIV/0!</v>
      </c>
      <c r="BW148" s="75">
        <f t="shared" si="198"/>
        <v>0</v>
      </c>
      <c r="BX148" s="102">
        <f t="shared" si="199"/>
        <v>0</v>
      </c>
      <c r="BY148" s="101">
        <f t="shared" si="182"/>
        <v>0</v>
      </c>
      <c r="BZ148" s="101">
        <f t="shared" si="183"/>
        <v>0</v>
      </c>
      <c r="CA148" s="101">
        <f t="shared" si="184"/>
        <v>0</v>
      </c>
      <c r="CB148" s="103">
        <f t="shared" si="185"/>
        <v>0</v>
      </c>
      <c r="CC148" s="103">
        <f t="shared" si="186"/>
        <v>0</v>
      </c>
      <c r="CD148" s="103">
        <f t="shared" si="187"/>
        <v>0</v>
      </c>
    </row>
    <row r="149" spans="1:82" x14ac:dyDescent="0.2">
      <c r="A149" s="96">
        <f t="shared" si="147"/>
        <v>40878</v>
      </c>
      <c r="B149" s="97">
        <f t="shared" si="124"/>
        <v>4.1524999999999999</v>
      </c>
      <c r="C149" s="77">
        <f t="shared" si="148"/>
        <v>0.18</v>
      </c>
      <c r="D149" s="97">
        <f t="shared" si="80"/>
        <v>0</v>
      </c>
      <c r="E149" s="100">
        <f t="shared" si="81"/>
        <v>1</v>
      </c>
      <c r="F149" s="99">
        <f t="shared" ca="1" si="126"/>
        <v>3613</v>
      </c>
      <c r="G149" s="77" t="e">
        <f t="shared" si="149"/>
        <v>#DIV/0!</v>
      </c>
      <c r="H149" s="77" t="e">
        <f>IF(B$16=1,_xll.xCalcSkew(A149,I149-AO149,b)/100,0)</f>
        <v>#DIV/0!</v>
      </c>
      <c r="I149" s="98">
        <f t="shared" si="188"/>
        <v>4</v>
      </c>
      <c r="K149" s="97">
        <f t="shared" si="84"/>
        <v>-4.4999999999999998E-2</v>
      </c>
      <c r="L149" s="100">
        <f t="shared" si="85"/>
        <v>1</v>
      </c>
      <c r="M149" s="99">
        <f t="shared" ca="1" si="150"/>
        <v>3616</v>
      </c>
      <c r="N149" s="175" t="e">
        <f t="shared" si="151"/>
        <v>#DIV/0!</v>
      </c>
      <c r="O149" s="77" t="e">
        <f>IF(D$16=1,_xll.xCalcSkew($A149,P149-AZ149,b)/100,0)</f>
        <v>#DIV/0!</v>
      </c>
      <c r="P149" s="98">
        <f t="shared" si="189"/>
        <v>2.5</v>
      </c>
      <c r="R149" s="97">
        <f t="shared" si="89"/>
        <v>-4.4999999999999998E-2</v>
      </c>
      <c r="S149" s="100">
        <f t="shared" si="90"/>
        <v>1</v>
      </c>
      <c r="T149" s="99">
        <f t="shared" ca="1" si="152"/>
        <v>3616</v>
      </c>
      <c r="U149" s="175" t="e">
        <f t="shared" si="153"/>
        <v>#DIV/0!</v>
      </c>
      <c r="V149" s="77" t="e">
        <f>IF(F$16=1,_xll.xCalcSkew($A149,W149-BK149,b)/100,0)</f>
        <v>#DIV/0!</v>
      </c>
      <c r="W149" s="98">
        <f t="shared" si="190"/>
        <v>2.5</v>
      </c>
      <c r="X149" s="99"/>
      <c r="Y149" s="97">
        <f t="shared" si="94"/>
        <v>-4.4999999999999998E-2</v>
      </c>
      <c r="Z149" s="100">
        <f t="shared" si="95"/>
        <v>1</v>
      </c>
      <c r="AA149" s="99">
        <f t="shared" ca="1" si="154"/>
        <v>3616</v>
      </c>
      <c r="AB149" s="77" t="e">
        <f t="shared" si="155"/>
        <v>#DIV/0!</v>
      </c>
      <c r="AC149" s="77" t="e">
        <f>IF(H$16=1,_xll.xCalcSkew($A149,AD149-BV149,b)/100,0)</f>
        <v>#DIV/0!</v>
      </c>
      <c r="AD149" s="98">
        <f t="shared" si="191"/>
        <v>2.4900000000000002</v>
      </c>
      <c r="AF149" s="99">
        <f t="shared" ca="1" si="127"/>
        <v>3616</v>
      </c>
      <c r="AG149" s="99">
        <f t="shared" ca="1" si="128"/>
        <v>3613</v>
      </c>
      <c r="AH149" s="77">
        <f t="shared" si="129"/>
        <v>5.9181619465042502E-2</v>
      </c>
      <c r="AI149" s="154" t="e">
        <f>#REF!-A149</f>
        <v>#REF!</v>
      </c>
      <c r="AL149" s="99"/>
      <c r="AM149" s="78"/>
      <c r="AN149" s="78">
        <f t="shared" si="156"/>
        <v>0</v>
      </c>
      <c r="AO149" s="303" t="e">
        <f t="shared" si="157"/>
        <v>#DIV/0!</v>
      </c>
      <c r="AP149" s="75">
        <f t="shared" si="192"/>
        <v>0</v>
      </c>
      <c r="AQ149" s="102">
        <f t="shared" si="193"/>
        <v>0</v>
      </c>
      <c r="AR149" s="101">
        <f t="shared" si="158"/>
        <v>0</v>
      </c>
      <c r="AS149" s="101">
        <f t="shared" si="159"/>
        <v>0</v>
      </c>
      <c r="AT149" s="101">
        <f t="shared" si="160"/>
        <v>0</v>
      </c>
      <c r="AU149" s="103">
        <f t="shared" si="161"/>
        <v>0</v>
      </c>
      <c r="AV149" s="103">
        <f t="shared" si="162"/>
        <v>0</v>
      </c>
      <c r="AW149" s="103">
        <f t="shared" si="163"/>
        <v>0</v>
      </c>
      <c r="AY149" s="78">
        <f t="shared" si="164"/>
        <v>0</v>
      </c>
      <c r="AZ149" s="303" t="e">
        <f t="shared" si="165"/>
        <v>#DIV/0!</v>
      </c>
      <c r="BA149" s="75">
        <f t="shared" si="194"/>
        <v>0</v>
      </c>
      <c r="BB149" s="102">
        <f t="shared" si="195"/>
        <v>0</v>
      </c>
      <c r="BC149" s="101">
        <f t="shared" si="166"/>
        <v>0</v>
      </c>
      <c r="BD149" s="101">
        <f t="shared" si="167"/>
        <v>0</v>
      </c>
      <c r="BE149" s="101">
        <f t="shared" si="168"/>
        <v>0</v>
      </c>
      <c r="BF149" s="103">
        <f t="shared" si="169"/>
        <v>0</v>
      </c>
      <c r="BG149" s="103">
        <f t="shared" si="170"/>
        <v>0</v>
      </c>
      <c r="BH149" s="103">
        <f t="shared" si="171"/>
        <v>0</v>
      </c>
      <c r="BJ149" s="78">
        <f t="shared" si="172"/>
        <v>0</v>
      </c>
      <c r="BK149" s="303" t="e">
        <f t="shared" si="173"/>
        <v>#DIV/0!</v>
      </c>
      <c r="BL149" s="75">
        <f t="shared" si="196"/>
        <v>0</v>
      </c>
      <c r="BM149" s="102">
        <f t="shared" si="197"/>
        <v>0</v>
      </c>
      <c r="BN149" s="101">
        <f t="shared" si="174"/>
        <v>0</v>
      </c>
      <c r="BO149" s="101">
        <f t="shared" si="175"/>
        <v>0</v>
      </c>
      <c r="BP149" s="101">
        <f t="shared" si="176"/>
        <v>0</v>
      </c>
      <c r="BQ149" s="103">
        <f t="shared" si="177"/>
        <v>0</v>
      </c>
      <c r="BR149" s="103">
        <f t="shared" si="178"/>
        <v>0</v>
      </c>
      <c r="BS149" s="103">
        <f t="shared" si="179"/>
        <v>0</v>
      </c>
      <c r="BU149" s="78">
        <f t="shared" si="180"/>
        <v>0</v>
      </c>
      <c r="BV149" s="303" t="e">
        <f t="shared" si="181"/>
        <v>#DIV/0!</v>
      </c>
      <c r="BW149" s="75">
        <f t="shared" si="198"/>
        <v>0</v>
      </c>
      <c r="BX149" s="102">
        <f t="shared" si="199"/>
        <v>0</v>
      </c>
      <c r="BY149" s="101">
        <f t="shared" si="182"/>
        <v>0</v>
      </c>
      <c r="BZ149" s="101">
        <f t="shared" si="183"/>
        <v>0</v>
      </c>
      <c r="CA149" s="101">
        <f t="shared" si="184"/>
        <v>0</v>
      </c>
      <c r="CB149" s="103">
        <f t="shared" si="185"/>
        <v>0</v>
      </c>
      <c r="CC149" s="103">
        <f t="shared" si="186"/>
        <v>0</v>
      </c>
      <c r="CD149" s="103">
        <f t="shared" si="187"/>
        <v>0</v>
      </c>
    </row>
    <row r="150" spans="1:82" x14ac:dyDescent="0.2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01"/>
      <c r="AY150" s="79"/>
      <c r="AZ150" s="301"/>
      <c r="BJ150" s="79"/>
      <c r="BK150" s="301"/>
      <c r="BU150" s="79"/>
      <c r="BV150" s="301"/>
    </row>
    <row r="151" spans="1:82" x14ac:dyDescent="0.2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01"/>
      <c r="AY151" s="79"/>
      <c r="AZ151" s="301"/>
      <c r="BJ151" s="79"/>
      <c r="BK151" s="301"/>
      <c r="BU151" s="79"/>
      <c r="BV151" s="301"/>
    </row>
    <row r="152" spans="1:82" x14ac:dyDescent="0.2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01"/>
      <c r="AY152" s="79"/>
      <c r="AZ152" s="301"/>
      <c r="BJ152" s="79"/>
      <c r="BK152" s="301"/>
      <c r="BU152" s="79"/>
      <c r="BV152" s="301"/>
    </row>
    <row r="153" spans="1:82" x14ac:dyDescent="0.2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01"/>
      <c r="AY153" s="79"/>
      <c r="AZ153" s="301"/>
      <c r="BJ153" s="79"/>
      <c r="BK153" s="301"/>
      <c r="BU153" s="79"/>
      <c r="BV153" s="301"/>
    </row>
    <row r="154" spans="1:82" x14ac:dyDescent="0.2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01"/>
      <c r="AY154" s="79"/>
      <c r="AZ154" s="301"/>
      <c r="BJ154" s="79"/>
      <c r="BK154" s="301"/>
      <c r="BU154" s="79"/>
      <c r="BV154" s="301"/>
    </row>
    <row r="155" spans="1:82" x14ac:dyDescent="0.2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01"/>
      <c r="AY155" s="79"/>
      <c r="AZ155" s="301"/>
      <c r="BJ155" s="79"/>
      <c r="BK155" s="301"/>
      <c r="BU155" s="79"/>
      <c r="BV155" s="301"/>
    </row>
    <row r="156" spans="1:82" x14ac:dyDescent="0.2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01"/>
      <c r="AY156" s="79"/>
      <c r="AZ156" s="301"/>
      <c r="BJ156" s="79"/>
      <c r="BK156" s="301"/>
      <c r="BU156" s="79"/>
      <c r="BV156" s="301"/>
    </row>
    <row r="157" spans="1:82" x14ac:dyDescent="0.2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01"/>
      <c r="AY157" s="79"/>
      <c r="AZ157" s="301"/>
      <c r="BJ157" s="79"/>
      <c r="BK157" s="301"/>
      <c r="BU157" s="79"/>
      <c r="BV157" s="301"/>
    </row>
    <row r="158" spans="1:82" x14ac:dyDescent="0.2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01"/>
      <c r="AY158" s="79"/>
      <c r="AZ158" s="301"/>
      <c r="BJ158" s="79"/>
      <c r="BK158" s="301"/>
      <c r="BU158" s="79"/>
      <c r="BV158" s="301"/>
    </row>
    <row r="159" spans="1:82" x14ac:dyDescent="0.2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01"/>
      <c r="AY159" s="79"/>
      <c r="AZ159" s="301"/>
      <c r="BJ159" s="79"/>
      <c r="BK159" s="301"/>
      <c r="BU159" s="79"/>
      <c r="BV159" s="301"/>
    </row>
    <row r="160" spans="1:82" x14ac:dyDescent="0.2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01"/>
      <c r="AY160" s="79"/>
      <c r="AZ160" s="301"/>
      <c r="BJ160" s="79"/>
      <c r="BK160" s="301"/>
      <c r="BU160" s="79"/>
      <c r="BV160" s="301"/>
    </row>
    <row r="161" spans="1:74" x14ac:dyDescent="0.2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01"/>
      <c r="AY161" s="79"/>
      <c r="AZ161" s="301"/>
      <c r="BJ161" s="79"/>
      <c r="BK161" s="301"/>
      <c r="BU161" s="79"/>
      <c r="BV161" s="301"/>
    </row>
    <row r="162" spans="1:74" x14ac:dyDescent="0.2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01"/>
      <c r="AY162" s="79"/>
      <c r="AZ162" s="301"/>
      <c r="BJ162" s="79"/>
      <c r="BK162" s="301"/>
      <c r="BU162" s="79"/>
      <c r="BV162" s="301"/>
    </row>
    <row r="163" spans="1:74" x14ac:dyDescent="0.2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01"/>
      <c r="AY163" s="79"/>
      <c r="AZ163" s="301"/>
      <c r="BJ163" s="79"/>
      <c r="BK163" s="301"/>
      <c r="BU163" s="79"/>
      <c r="BV163" s="301"/>
    </row>
    <row r="164" spans="1:74" x14ac:dyDescent="0.2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01"/>
      <c r="AY164" s="79"/>
      <c r="AZ164" s="301"/>
      <c r="BJ164" s="79"/>
      <c r="BK164" s="301"/>
      <c r="BU164" s="79"/>
      <c r="BV164" s="301"/>
    </row>
    <row r="165" spans="1:74" x14ac:dyDescent="0.2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01"/>
      <c r="AY165" s="79"/>
      <c r="AZ165" s="301"/>
      <c r="BJ165" s="79"/>
      <c r="BK165" s="301"/>
      <c r="BU165" s="79"/>
      <c r="BV165" s="301"/>
    </row>
    <row r="166" spans="1:74" x14ac:dyDescent="0.2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01"/>
      <c r="AY166" s="79"/>
      <c r="AZ166" s="301"/>
      <c r="BJ166" s="79"/>
      <c r="BK166" s="301"/>
      <c r="BU166" s="79"/>
      <c r="BV166" s="301"/>
    </row>
    <row r="167" spans="1:74" x14ac:dyDescent="0.2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01"/>
      <c r="AY167" s="79"/>
      <c r="AZ167" s="301"/>
      <c r="BJ167" s="79"/>
      <c r="BK167" s="301"/>
      <c r="BU167" s="79"/>
      <c r="BV167" s="301"/>
    </row>
    <row r="168" spans="1:74" x14ac:dyDescent="0.2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01"/>
      <c r="AY168" s="79"/>
      <c r="AZ168" s="301"/>
      <c r="BJ168" s="79"/>
      <c r="BK168" s="301"/>
      <c r="BU168" s="79"/>
      <c r="BV168" s="301"/>
    </row>
    <row r="169" spans="1:74" x14ac:dyDescent="0.2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01"/>
      <c r="AY169" s="79"/>
      <c r="AZ169" s="301"/>
      <c r="BJ169" s="79"/>
      <c r="BK169" s="301"/>
      <c r="BU169" s="79"/>
      <c r="BV169" s="301"/>
    </row>
    <row r="170" spans="1:74" x14ac:dyDescent="0.2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01"/>
      <c r="AY170" s="79"/>
      <c r="AZ170" s="301"/>
      <c r="BJ170" s="79"/>
      <c r="BK170" s="301"/>
      <c r="BU170" s="79"/>
      <c r="BV170" s="301"/>
    </row>
    <row r="171" spans="1:74" x14ac:dyDescent="0.2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01"/>
      <c r="AY171" s="79"/>
      <c r="AZ171" s="301"/>
      <c r="BJ171" s="79"/>
      <c r="BK171" s="301"/>
      <c r="BU171" s="79"/>
      <c r="BV171" s="301"/>
    </row>
    <row r="172" spans="1:74" x14ac:dyDescent="0.2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01"/>
      <c r="AY172" s="79"/>
      <c r="AZ172" s="301"/>
      <c r="BJ172" s="79"/>
      <c r="BK172" s="301"/>
      <c r="BU172" s="79"/>
      <c r="BV172" s="301"/>
    </row>
    <row r="173" spans="1:74" x14ac:dyDescent="0.2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01"/>
      <c r="AY173" s="79"/>
      <c r="AZ173" s="301"/>
      <c r="BJ173" s="79"/>
      <c r="BK173" s="301"/>
      <c r="BU173" s="79"/>
      <c r="BV173" s="301"/>
    </row>
    <row r="174" spans="1:74" x14ac:dyDescent="0.2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01"/>
      <c r="AY174" s="79"/>
      <c r="AZ174" s="301"/>
      <c r="BJ174" s="79"/>
      <c r="BK174" s="301"/>
      <c r="BU174" s="79"/>
      <c r="BV174" s="301"/>
    </row>
    <row r="175" spans="1:74" ht="13.5" thickBot="1" x14ac:dyDescent="0.25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01"/>
      <c r="AY175" s="79"/>
      <c r="AZ175" s="301"/>
      <c r="BJ175" s="79"/>
      <c r="BK175" s="301"/>
      <c r="BU175" s="79"/>
      <c r="BV175" s="301"/>
    </row>
    <row r="176" spans="1:74" x14ac:dyDescent="0.2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01"/>
      <c r="AY176" s="79"/>
      <c r="AZ176" s="301"/>
      <c r="BJ176" s="79"/>
      <c r="BK176" s="301"/>
      <c r="BU176" s="79"/>
      <c r="BV176" s="301"/>
    </row>
    <row r="177" spans="2:74" ht="13.5" thickBot="1" x14ac:dyDescent="0.25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01"/>
      <c r="AY177" s="79"/>
      <c r="AZ177" s="301"/>
      <c r="BJ177" s="79"/>
      <c r="BK177" s="301"/>
      <c r="BU177" s="79"/>
      <c r="BV177" s="301"/>
    </row>
    <row r="178" spans="2:74" ht="13.5" thickBot="1" x14ac:dyDescent="0.25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01"/>
      <c r="AY178" s="79"/>
      <c r="AZ178" s="301"/>
      <c r="BJ178" s="79"/>
      <c r="BK178" s="301"/>
      <c r="BU178" s="79"/>
      <c r="BV178" s="301"/>
    </row>
    <row r="179" spans="2:74" x14ac:dyDescent="0.2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01"/>
      <c r="AY179" s="79"/>
      <c r="AZ179" s="301"/>
      <c r="BJ179" s="79"/>
      <c r="BK179" s="301"/>
      <c r="BU179" s="79"/>
      <c r="BV179" s="301"/>
    </row>
    <row r="180" spans="2:74" x14ac:dyDescent="0.2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01"/>
      <c r="AY180" s="79"/>
      <c r="AZ180" s="301"/>
      <c r="BJ180" s="79"/>
      <c r="BK180" s="301"/>
      <c r="BU180" s="79"/>
      <c r="BV180" s="301"/>
    </row>
    <row r="181" spans="2:74" x14ac:dyDescent="0.2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01"/>
      <c r="AY181" s="79"/>
      <c r="AZ181" s="301"/>
      <c r="BJ181" s="79"/>
      <c r="BK181" s="301"/>
      <c r="BU181" s="79"/>
      <c r="BV181" s="301"/>
    </row>
    <row r="182" spans="2:74" x14ac:dyDescent="0.2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01"/>
      <c r="AY182" s="79"/>
      <c r="AZ182" s="301"/>
      <c r="BJ182" s="79"/>
      <c r="BK182" s="301"/>
      <c r="BU182" s="79"/>
      <c r="BV182" s="301"/>
    </row>
    <row r="183" spans="2:74" x14ac:dyDescent="0.2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01"/>
      <c r="AY183" s="79"/>
      <c r="AZ183" s="301"/>
      <c r="BJ183" s="79"/>
      <c r="BK183" s="301"/>
      <c r="BU183" s="79"/>
      <c r="BV183" s="301"/>
    </row>
    <row r="184" spans="2:74" x14ac:dyDescent="0.2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01"/>
      <c r="AY184" s="79"/>
      <c r="AZ184" s="301"/>
      <c r="BJ184" s="79"/>
      <c r="BK184" s="301"/>
      <c r="BU184" s="79"/>
      <c r="BV184" s="301"/>
    </row>
    <row r="185" spans="2:74" x14ac:dyDescent="0.2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01"/>
      <c r="AY185" s="79"/>
      <c r="AZ185" s="301"/>
      <c r="BJ185" s="79"/>
      <c r="BK185" s="301"/>
      <c r="BU185" s="79"/>
      <c r="BV185" s="301"/>
    </row>
    <row r="186" spans="2:74" x14ac:dyDescent="0.2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01"/>
      <c r="AY186" s="79"/>
      <c r="AZ186" s="301"/>
      <c r="BJ186" s="79"/>
      <c r="BK186" s="301"/>
      <c r="BU186" s="79"/>
      <c r="BV186" s="301"/>
    </row>
    <row r="187" spans="2:74" x14ac:dyDescent="0.2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01"/>
      <c r="AY187" s="79"/>
      <c r="AZ187" s="301"/>
      <c r="BJ187" s="79"/>
      <c r="BK187" s="301"/>
      <c r="BU187" s="79"/>
      <c r="BV187" s="301"/>
    </row>
    <row r="188" spans="2:74" x14ac:dyDescent="0.2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01"/>
      <c r="AY188" s="79"/>
      <c r="AZ188" s="301"/>
      <c r="BJ188" s="79"/>
      <c r="BK188" s="301"/>
      <c r="BU188" s="79"/>
      <c r="BV188" s="301"/>
    </row>
    <row r="189" spans="2:74" x14ac:dyDescent="0.2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01"/>
      <c r="AY189" s="79"/>
      <c r="AZ189" s="301"/>
      <c r="BJ189" s="79"/>
      <c r="BK189" s="301"/>
      <c r="BU189" s="79"/>
      <c r="BV189" s="301"/>
    </row>
    <row r="190" spans="2:74" x14ac:dyDescent="0.2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01"/>
      <c r="AY190" s="79"/>
      <c r="AZ190" s="301"/>
      <c r="BJ190" s="79"/>
      <c r="BK190" s="301"/>
      <c r="BU190" s="79"/>
      <c r="BV190" s="301"/>
    </row>
    <row r="191" spans="2:74" x14ac:dyDescent="0.2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01"/>
      <c r="AY191" s="79"/>
      <c r="AZ191" s="301"/>
      <c r="BJ191" s="79"/>
      <c r="BK191" s="301"/>
      <c r="BU191" s="79"/>
      <c r="BV191" s="301"/>
    </row>
    <row r="192" spans="2:74" x14ac:dyDescent="0.2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01"/>
      <c r="AY192" s="79"/>
      <c r="AZ192" s="301"/>
      <c r="BJ192" s="79"/>
      <c r="BK192" s="301"/>
      <c r="BU192" s="79"/>
      <c r="BV192" s="301"/>
    </row>
    <row r="193" spans="2:74" x14ac:dyDescent="0.2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01"/>
      <c r="AY193" s="79"/>
      <c r="AZ193" s="301"/>
      <c r="BJ193" s="79"/>
      <c r="BK193" s="301"/>
      <c r="BU193" s="79"/>
      <c r="BV193" s="301"/>
    </row>
    <row r="194" spans="2:74" x14ac:dyDescent="0.2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01"/>
      <c r="AY194" s="79"/>
      <c r="AZ194" s="301"/>
      <c r="BJ194" s="79"/>
      <c r="BK194" s="301"/>
      <c r="BU194" s="79"/>
      <c r="BV194" s="301"/>
    </row>
    <row r="195" spans="2:74" x14ac:dyDescent="0.2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01"/>
      <c r="AY195" s="79"/>
      <c r="AZ195" s="301"/>
      <c r="BJ195" s="79"/>
      <c r="BK195" s="301"/>
      <c r="BU195" s="79"/>
      <c r="BV195" s="301"/>
    </row>
    <row r="196" spans="2:74" x14ac:dyDescent="0.2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01"/>
      <c r="AY196" s="79"/>
      <c r="AZ196" s="301"/>
      <c r="BJ196" s="79"/>
      <c r="BK196" s="301"/>
      <c r="BU196" s="79"/>
      <c r="BV196" s="301"/>
    </row>
    <row r="197" spans="2:74" x14ac:dyDescent="0.2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01"/>
      <c r="AY197" s="79"/>
      <c r="AZ197" s="301"/>
      <c r="BJ197" s="79"/>
      <c r="BK197" s="301"/>
      <c r="BU197" s="79"/>
      <c r="BV197" s="301"/>
    </row>
    <row r="198" spans="2:74" x14ac:dyDescent="0.2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01"/>
      <c r="AY198" s="79"/>
      <c r="AZ198" s="301"/>
      <c r="BJ198" s="79"/>
      <c r="BK198" s="301"/>
      <c r="BU198" s="79"/>
      <c r="BV198" s="301"/>
    </row>
    <row r="199" spans="2:74" x14ac:dyDescent="0.2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01"/>
      <c r="AY199" s="79"/>
      <c r="AZ199" s="301"/>
      <c r="BJ199" s="79"/>
      <c r="BK199" s="301"/>
      <c r="BU199" s="79"/>
      <c r="BV199" s="301"/>
    </row>
    <row r="200" spans="2:74" x14ac:dyDescent="0.2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01"/>
      <c r="AY200" s="79"/>
      <c r="AZ200" s="301"/>
      <c r="BJ200" s="79"/>
      <c r="BK200" s="301"/>
      <c r="BU200" s="79"/>
      <c r="BV200" s="301"/>
    </row>
    <row r="201" spans="2:74" x14ac:dyDescent="0.2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01"/>
      <c r="AY201" s="79"/>
      <c r="AZ201" s="301"/>
      <c r="BJ201" s="79"/>
      <c r="BK201" s="301"/>
      <c r="BU201" s="79"/>
      <c r="BV201" s="301"/>
    </row>
    <row r="202" spans="2:74" x14ac:dyDescent="0.2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01"/>
      <c r="AY202" s="79"/>
      <c r="AZ202" s="301"/>
      <c r="BJ202" s="79"/>
      <c r="BK202" s="301"/>
      <c r="BU202" s="79"/>
      <c r="BV202" s="301"/>
    </row>
    <row r="203" spans="2:74" x14ac:dyDescent="0.2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01"/>
      <c r="AY203" s="79"/>
      <c r="AZ203" s="301"/>
      <c r="BJ203" s="79"/>
      <c r="BK203" s="301"/>
      <c r="BU203" s="79"/>
      <c r="BV203" s="301"/>
    </row>
    <row r="204" spans="2:74" x14ac:dyDescent="0.2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01"/>
      <c r="AY204" s="79"/>
      <c r="AZ204" s="301"/>
      <c r="BJ204" s="79"/>
      <c r="BK204" s="301"/>
      <c r="BU204" s="79"/>
      <c r="BV204" s="301"/>
    </row>
    <row r="205" spans="2:74" x14ac:dyDescent="0.2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01"/>
      <c r="AY205" s="79"/>
      <c r="AZ205" s="301"/>
      <c r="BJ205" s="79"/>
      <c r="BK205" s="301"/>
      <c r="BU205" s="79"/>
      <c r="BV205" s="301"/>
    </row>
    <row r="206" spans="2:74" x14ac:dyDescent="0.2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01"/>
      <c r="AY206" s="79"/>
      <c r="AZ206" s="301"/>
      <c r="BJ206" s="79"/>
      <c r="BK206" s="301"/>
      <c r="BU206" s="79"/>
      <c r="BV206" s="301"/>
    </row>
    <row r="207" spans="2:74" x14ac:dyDescent="0.2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01"/>
      <c r="AY207" s="79"/>
      <c r="AZ207" s="301"/>
      <c r="BJ207" s="79"/>
      <c r="BK207" s="301"/>
      <c r="BU207" s="79"/>
      <c r="BV207" s="301"/>
    </row>
    <row r="208" spans="2:74" x14ac:dyDescent="0.2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01"/>
      <c r="AY208" s="79"/>
      <c r="AZ208" s="301"/>
      <c r="BJ208" s="79"/>
      <c r="BK208" s="301"/>
      <c r="BU208" s="79"/>
      <c r="BV208" s="301"/>
    </row>
    <row r="209" spans="2:74" x14ac:dyDescent="0.2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01"/>
      <c r="AY209" s="79"/>
      <c r="AZ209" s="301"/>
      <c r="BJ209" s="79"/>
      <c r="BK209" s="301"/>
      <c r="BU209" s="79"/>
      <c r="BV209" s="301"/>
    </row>
    <row r="210" spans="2:74" x14ac:dyDescent="0.2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01"/>
      <c r="AY210" s="79"/>
      <c r="AZ210" s="301"/>
      <c r="BJ210" s="79"/>
      <c r="BK210" s="301"/>
      <c r="BU210" s="79"/>
      <c r="BV210" s="301"/>
    </row>
    <row r="211" spans="2:74" x14ac:dyDescent="0.2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01"/>
      <c r="AY211" s="79"/>
      <c r="AZ211" s="301"/>
      <c r="BJ211" s="79"/>
      <c r="BK211" s="301"/>
      <c r="BU211" s="79"/>
      <c r="BV211" s="301"/>
    </row>
    <row r="212" spans="2:74" x14ac:dyDescent="0.2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01"/>
      <c r="AY212" s="79"/>
      <c r="AZ212" s="301"/>
      <c r="BJ212" s="79"/>
      <c r="BK212" s="301"/>
      <c r="BU212" s="79"/>
      <c r="BV212" s="301"/>
    </row>
    <row r="213" spans="2:74" x14ac:dyDescent="0.2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01"/>
      <c r="AY213" s="79"/>
      <c r="AZ213" s="301"/>
      <c r="BJ213" s="79"/>
      <c r="BK213" s="301"/>
      <c r="BU213" s="79"/>
      <c r="BV213" s="301"/>
    </row>
    <row r="214" spans="2:74" x14ac:dyDescent="0.2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01"/>
      <c r="AY214" s="79"/>
      <c r="AZ214" s="301"/>
      <c r="BJ214" s="79"/>
      <c r="BK214" s="301"/>
      <c r="BU214" s="79"/>
      <c r="BV214" s="301"/>
    </row>
    <row r="215" spans="2:74" x14ac:dyDescent="0.2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01"/>
      <c r="AY215" s="79"/>
      <c r="AZ215" s="301"/>
      <c r="BJ215" s="79"/>
      <c r="BK215" s="301"/>
      <c r="BU215" s="79"/>
      <c r="BV215" s="301"/>
    </row>
    <row r="216" spans="2:74" x14ac:dyDescent="0.2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01"/>
      <c r="AY216" s="79"/>
      <c r="AZ216" s="301"/>
      <c r="BJ216" s="79"/>
      <c r="BK216" s="301"/>
      <c r="BU216" s="79"/>
      <c r="BV216" s="301"/>
    </row>
    <row r="217" spans="2:74" x14ac:dyDescent="0.2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01"/>
      <c r="AY217" s="79"/>
      <c r="AZ217" s="301"/>
      <c r="BJ217" s="79"/>
      <c r="BK217" s="301"/>
      <c r="BU217" s="79"/>
      <c r="BV217" s="301"/>
    </row>
    <row r="218" spans="2:74" x14ac:dyDescent="0.2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01"/>
      <c r="AY218" s="79"/>
      <c r="AZ218" s="301"/>
      <c r="BJ218" s="79"/>
      <c r="BK218" s="301"/>
      <c r="BU218" s="79"/>
      <c r="BV218" s="301"/>
    </row>
    <row r="219" spans="2:74" x14ac:dyDescent="0.2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01"/>
      <c r="AY219" s="79"/>
      <c r="AZ219" s="301"/>
      <c r="BJ219" s="79"/>
      <c r="BK219" s="301"/>
      <c r="BU219" s="79"/>
      <c r="BV219" s="301"/>
    </row>
    <row r="220" spans="2:74" x14ac:dyDescent="0.2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01"/>
      <c r="AY220" s="79"/>
      <c r="AZ220" s="301"/>
      <c r="BJ220" s="79"/>
      <c r="BK220" s="301"/>
      <c r="BU220" s="79"/>
      <c r="BV220" s="301"/>
    </row>
    <row r="221" spans="2:74" x14ac:dyDescent="0.2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01"/>
      <c r="AY221" s="79"/>
      <c r="AZ221" s="301"/>
      <c r="BJ221" s="79"/>
      <c r="BK221" s="301"/>
      <c r="BU221" s="79"/>
      <c r="BV221" s="301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08"/>
  </cols>
  <sheetData>
    <row r="1" spans="1:34" customFormat="1" ht="13.5" thickBot="1" x14ac:dyDescent="0.25">
      <c r="A1" s="360" t="s">
        <v>285</v>
      </c>
      <c r="B1" s="361">
        <v>-5</v>
      </c>
      <c r="C1" s="362">
        <v>-4</v>
      </c>
      <c r="D1" s="363">
        <v>-3.5</v>
      </c>
      <c r="E1" s="363">
        <v>-3</v>
      </c>
      <c r="F1" s="363">
        <v>-2.5</v>
      </c>
      <c r="G1" s="363">
        <v>-2</v>
      </c>
      <c r="H1" s="363">
        <v>-1.5</v>
      </c>
      <c r="I1" s="363">
        <v>-1</v>
      </c>
      <c r="J1" s="363">
        <v>-0.5</v>
      </c>
      <c r="K1" s="363">
        <v>0</v>
      </c>
      <c r="L1" s="363">
        <v>0.5</v>
      </c>
      <c r="M1" s="363">
        <v>1</v>
      </c>
      <c r="N1" s="363">
        <v>1.5</v>
      </c>
      <c r="O1" s="363">
        <v>2</v>
      </c>
      <c r="P1" s="363">
        <v>2.5</v>
      </c>
      <c r="Q1" s="363">
        <v>3</v>
      </c>
      <c r="R1" s="363">
        <v>4</v>
      </c>
      <c r="S1" s="363">
        <v>5</v>
      </c>
      <c r="T1" s="364">
        <v>10</v>
      </c>
      <c r="U1" s="365">
        <v>40</v>
      </c>
    </row>
    <row r="2" spans="1:34" customFormat="1" x14ac:dyDescent="0.2">
      <c r="A2" s="366">
        <v>37226</v>
      </c>
      <c r="B2" s="367">
        <v>4.5</v>
      </c>
      <c r="C2" s="368">
        <v>3.5</v>
      </c>
      <c r="D2" s="369">
        <v>2.25</v>
      </c>
      <c r="E2" s="370">
        <v>1.25</v>
      </c>
      <c r="F2" s="371">
        <v>0.5</v>
      </c>
      <c r="G2" s="371">
        <v>0.25</v>
      </c>
      <c r="H2" s="370">
        <v>0</v>
      </c>
      <c r="I2" s="371">
        <v>-0.25</v>
      </c>
      <c r="J2" s="370">
        <v>-0.25</v>
      </c>
      <c r="K2" s="370">
        <v>0</v>
      </c>
      <c r="L2" s="370">
        <v>2.25</v>
      </c>
      <c r="M2" s="371">
        <v>4.5</v>
      </c>
      <c r="N2" s="371">
        <v>6.75</v>
      </c>
      <c r="O2" s="370">
        <v>9</v>
      </c>
      <c r="P2" s="371">
        <v>11.25</v>
      </c>
      <c r="Q2" s="370">
        <v>13.5</v>
      </c>
      <c r="R2" s="371">
        <v>18</v>
      </c>
      <c r="S2" s="372">
        <v>20.25</v>
      </c>
      <c r="T2" s="373">
        <v>25</v>
      </c>
      <c r="U2" s="368">
        <v>50</v>
      </c>
    </row>
    <row r="3" spans="1:34" customFormat="1" x14ac:dyDescent="0.2">
      <c r="A3" s="366">
        <v>37257</v>
      </c>
      <c r="B3" s="374">
        <v>4.5</v>
      </c>
      <c r="C3" s="375">
        <v>3.5</v>
      </c>
      <c r="D3" s="369">
        <v>2.25</v>
      </c>
      <c r="E3" s="370">
        <v>1.25</v>
      </c>
      <c r="F3" s="371">
        <v>0.25</v>
      </c>
      <c r="G3" s="371">
        <v>-0.25</v>
      </c>
      <c r="H3" s="376">
        <v>-0.75</v>
      </c>
      <c r="I3" s="371">
        <v>-1.5</v>
      </c>
      <c r="J3" s="376">
        <v>-0.75</v>
      </c>
      <c r="K3" s="376">
        <v>0</v>
      </c>
      <c r="L3" s="376">
        <v>2.25</v>
      </c>
      <c r="M3" s="371">
        <v>4.5</v>
      </c>
      <c r="N3" s="371">
        <v>6.75</v>
      </c>
      <c r="O3" s="376">
        <v>9</v>
      </c>
      <c r="P3" s="371">
        <v>11.25</v>
      </c>
      <c r="Q3" s="376">
        <v>13.5</v>
      </c>
      <c r="R3" s="371">
        <v>18</v>
      </c>
      <c r="S3" s="377">
        <v>20.25</v>
      </c>
      <c r="T3" s="378">
        <v>25</v>
      </c>
      <c r="U3" s="375">
        <v>50</v>
      </c>
    </row>
    <row r="4" spans="1:34" customFormat="1" x14ac:dyDescent="0.2">
      <c r="A4" s="366">
        <v>37288</v>
      </c>
      <c r="B4" s="374">
        <v>4.5</v>
      </c>
      <c r="C4" s="375">
        <v>3.5</v>
      </c>
      <c r="D4" s="369">
        <v>2.25</v>
      </c>
      <c r="E4" s="370">
        <v>1.25</v>
      </c>
      <c r="F4" s="371">
        <v>0.25</v>
      </c>
      <c r="G4" s="371">
        <v>-0.25</v>
      </c>
      <c r="H4" s="376">
        <v>-0.75</v>
      </c>
      <c r="I4" s="371">
        <v>-1.5</v>
      </c>
      <c r="J4" s="376">
        <v>-0.75</v>
      </c>
      <c r="K4" s="376">
        <v>0</v>
      </c>
      <c r="L4" s="376">
        <v>2.25</v>
      </c>
      <c r="M4" s="371">
        <v>4.5</v>
      </c>
      <c r="N4" s="371">
        <v>6.75</v>
      </c>
      <c r="O4" s="376">
        <v>9</v>
      </c>
      <c r="P4" s="371">
        <v>11.25</v>
      </c>
      <c r="Q4" s="376">
        <v>13.5</v>
      </c>
      <c r="R4" s="371">
        <v>18</v>
      </c>
      <c r="S4" s="377">
        <v>20.25</v>
      </c>
      <c r="T4" s="378">
        <v>25</v>
      </c>
      <c r="U4" s="375">
        <v>50</v>
      </c>
    </row>
    <row r="5" spans="1:34" customFormat="1" x14ac:dyDescent="0.2">
      <c r="A5" s="366">
        <v>37316</v>
      </c>
      <c r="B5" s="374">
        <v>4.5</v>
      </c>
      <c r="C5" s="375">
        <v>3.5</v>
      </c>
      <c r="D5" s="369">
        <v>2.25</v>
      </c>
      <c r="E5" s="370">
        <v>1.25</v>
      </c>
      <c r="F5" s="371">
        <v>0.25</v>
      </c>
      <c r="G5" s="371">
        <v>-0.25</v>
      </c>
      <c r="H5" s="376">
        <v>-0.75</v>
      </c>
      <c r="I5" s="371">
        <v>-1.5</v>
      </c>
      <c r="J5" s="376">
        <v>-0.75</v>
      </c>
      <c r="K5" s="376">
        <v>0</v>
      </c>
      <c r="L5" s="376">
        <v>2.25</v>
      </c>
      <c r="M5" s="371">
        <v>4.5</v>
      </c>
      <c r="N5" s="371">
        <v>6.75</v>
      </c>
      <c r="O5" s="376">
        <v>9</v>
      </c>
      <c r="P5" s="371">
        <v>11.25</v>
      </c>
      <c r="Q5" s="376">
        <v>13.5</v>
      </c>
      <c r="R5" s="371">
        <v>18</v>
      </c>
      <c r="S5" s="377">
        <v>20.25</v>
      </c>
      <c r="T5" s="378">
        <v>25</v>
      </c>
      <c r="U5" s="375">
        <v>50</v>
      </c>
    </row>
    <row r="6" spans="1:34" customFormat="1" x14ac:dyDescent="0.2">
      <c r="A6" s="366">
        <v>37347</v>
      </c>
      <c r="B6" s="374">
        <v>4</v>
      </c>
      <c r="C6" s="375">
        <v>3</v>
      </c>
      <c r="D6" s="369">
        <v>1.5</v>
      </c>
      <c r="E6" s="370">
        <v>0.5</v>
      </c>
      <c r="F6" s="371">
        <v>0.1</v>
      </c>
      <c r="G6" s="371">
        <v>-0.25</v>
      </c>
      <c r="H6" s="376">
        <v>-0.75</v>
      </c>
      <c r="I6" s="371">
        <v>-1.25</v>
      </c>
      <c r="J6" s="376">
        <v>-0.75</v>
      </c>
      <c r="K6" s="376">
        <v>0</v>
      </c>
      <c r="L6" s="376">
        <v>2</v>
      </c>
      <c r="M6" s="371">
        <v>2.75</v>
      </c>
      <c r="N6" s="371">
        <v>3.5</v>
      </c>
      <c r="O6" s="376">
        <v>4.5</v>
      </c>
      <c r="P6" s="371">
        <v>5.5</v>
      </c>
      <c r="Q6" s="376">
        <v>6.5</v>
      </c>
      <c r="R6" s="371">
        <v>7.5</v>
      </c>
      <c r="S6" s="377">
        <v>8.5</v>
      </c>
      <c r="T6" s="379">
        <v>11</v>
      </c>
      <c r="U6" s="380">
        <v>29</v>
      </c>
      <c r="AG6" s="208"/>
      <c r="AH6" s="208"/>
    </row>
    <row r="7" spans="1:34" customFormat="1" x14ac:dyDescent="0.2">
      <c r="A7" s="366">
        <v>37377</v>
      </c>
      <c r="B7" s="374">
        <v>3</v>
      </c>
      <c r="C7" s="375">
        <v>2</v>
      </c>
      <c r="D7" s="369">
        <v>1</v>
      </c>
      <c r="E7" s="370">
        <v>0.75</v>
      </c>
      <c r="F7" s="371">
        <v>0.25</v>
      </c>
      <c r="G7" s="371">
        <v>-0.25</v>
      </c>
      <c r="H7" s="376">
        <v>-0.75</v>
      </c>
      <c r="I7" s="371">
        <v>-1</v>
      </c>
      <c r="J7" s="376">
        <v>-0.7</v>
      </c>
      <c r="K7" s="376">
        <v>0</v>
      </c>
      <c r="L7" s="376">
        <v>1.75</v>
      </c>
      <c r="M7" s="371">
        <v>2.5</v>
      </c>
      <c r="N7" s="371">
        <v>3.25</v>
      </c>
      <c r="O7" s="376">
        <v>4.25</v>
      </c>
      <c r="P7" s="371">
        <v>5.25</v>
      </c>
      <c r="Q7" s="376">
        <v>6</v>
      </c>
      <c r="R7" s="371">
        <v>7</v>
      </c>
      <c r="S7" s="377">
        <v>8</v>
      </c>
      <c r="T7" s="378">
        <v>9</v>
      </c>
      <c r="U7" s="375">
        <v>29</v>
      </c>
    </row>
    <row r="8" spans="1:34" customFormat="1" x14ac:dyDescent="0.2">
      <c r="A8" s="366">
        <v>37408</v>
      </c>
      <c r="B8" s="374">
        <v>3</v>
      </c>
      <c r="C8" s="375">
        <v>2</v>
      </c>
      <c r="D8" s="369">
        <v>1</v>
      </c>
      <c r="E8" s="370">
        <v>0.75</v>
      </c>
      <c r="F8" s="371">
        <v>0.25</v>
      </c>
      <c r="G8" s="371">
        <v>-0.25</v>
      </c>
      <c r="H8" s="376">
        <v>-0.75</v>
      </c>
      <c r="I8" s="371">
        <v>-1</v>
      </c>
      <c r="J8" s="376">
        <v>-0.7</v>
      </c>
      <c r="K8" s="376">
        <v>0</v>
      </c>
      <c r="L8" s="376">
        <v>1.75</v>
      </c>
      <c r="M8" s="371">
        <v>2.5</v>
      </c>
      <c r="N8" s="371">
        <v>3.25</v>
      </c>
      <c r="O8" s="376">
        <v>4.25</v>
      </c>
      <c r="P8" s="371">
        <v>5.25</v>
      </c>
      <c r="Q8" s="376">
        <v>6</v>
      </c>
      <c r="R8" s="371">
        <v>7</v>
      </c>
      <c r="S8" s="377">
        <v>8</v>
      </c>
      <c r="T8" s="378">
        <v>9</v>
      </c>
      <c r="U8" s="375">
        <v>29</v>
      </c>
    </row>
    <row r="9" spans="1:34" customFormat="1" x14ac:dyDescent="0.2">
      <c r="A9" s="366">
        <v>37438</v>
      </c>
      <c r="B9" s="374">
        <v>3</v>
      </c>
      <c r="C9" s="375">
        <v>2</v>
      </c>
      <c r="D9" s="369">
        <v>1</v>
      </c>
      <c r="E9" s="370">
        <v>0.75</v>
      </c>
      <c r="F9" s="371">
        <v>0.25</v>
      </c>
      <c r="G9" s="371">
        <v>-0.25</v>
      </c>
      <c r="H9" s="376">
        <v>-0.75</v>
      </c>
      <c r="I9" s="371">
        <v>-1</v>
      </c>
      <c r="J9" s="376">
        <v>-0.7</v>
      </c>
      <c r="K9" s="376">
        <v>0</v>
      </c>
      <c r="L9" s="376">
        <v>1.75</v>
      </c>
      <c r="M9" s="371">
        <v>2.5</v>
      </c>
      <c r="N9" s="371">
        <v>3.25</v>
      </c>
      <c r="O9" s="376">
        <v>4.25</v>
      </c>
      <c r="P9" s="371">
        <v>5.25</v>
      </c>
      <c r="Q9" s="376">
        <v>6</v>
      </c>
      <c r="R9" s="371">
        <v>7</v>
      </c>
      <c r="S9" s="377">
        <v>8</v>
      </c>
      <c r="T9" s="378">
        <v>9</v>
      </c>
      <c r="U9" s="375">
        <v>29</v>
      </c>
    </row>
    <row r="10" spans="1:34" customFormat="1" ht="13.5" thickBot="1" x14ac:dyDescent="0.25">
      <c r="A10" s="366">
        <v>37469</v>
      </c>
      <c r="B10" s="374">
        <v>3</v>
      </c>
      <c r="C10" s="375">
        <v>2</v>
      </c>
      <c r="D10" s="369">
        <v>1</v>
      </c>
      <c r="E10" s="370">
        <v>0.75</v>
      </c>
      <c r="F10" s="371">
        <v>0.25</v>
      </c>
      <c r="G10" s="371">
        <v>-0.25</v>
      </c>
      <c r="H10" s="376">
        <v>-0.75</v>
      </c>
      <c r="I10" s="371">
        <v>-1</v>
      </c>
      <c r="J10" s="376">
        <v>-0.7</v>
      </c>
      <c r="K10" s="376">
        <v>0</v>
      </c>
      <c r="L10" s="376">
        <v>1.75</v>
      </c>
      <c r="M10" s="371">
        <v>2.5</v>
      </c>
      <c r="N10" s="371">
        <v>3.25</v>
      </c>
      <c r="O10" s="376">
        <v>4.25</v>
      </c>
      <c r="P10" s="371">
        <v>5.25</v>
      </c>
      <c r="Q10" s="376">
        <v>6</v>
      </c>
      <c r="R10" s="371">
        <v>7</v>
      </c>
      <c r="S10" s="377">
        <v>8</v>
      </c>
      <c r="T10" s="378">
        <v>9</v>
      </c>
      <c r="U10" s="375">
        <v>29</v>
      </c>
    </row>
    <row r="11" spans="1:34" customFormat="1" ht="13.5" customHeight="1" thickBot="1" x14ac:dyDescent="0.3">
      <c r="A11" s="381">
        <v>37500</v>
      </c>
      <c r="B11" s="382">
        <v>3</v>
      </c>
      <c r="C11" s="383">
        <v>2</v>
      </c>
      <c r="D11" s="384">
        <v>1</v>
      </c>
      <c r="E11" s="385">
        <v>0.75</v>
      </c>
      <c r="F11" s="386">
        <v>0.25</v>
      </c>
      <c r="G11" s="386">
        <v>-0.25</v>
      </c>
      <c r="H11" s="385">
        <v>-0.75</v>
      </c>
      <c r="I11" s="386">
        <v>-1</v>
      </c>
      <c r="J11" s="385">
        <v>-0.7</v>
      </c>
      <c r="K11" s="385">
        <v>0</v>
      </c>
      <c r="L11" s="385">
        <v>1.75</v>
      </c>
      <c r="M11" s="386">
        <v>2.5</v>
      </c>
      <c r="N11" s="386">
        <v>3.25</v>
      </c>
      <c r="O11" s="385">
        <v>4.25</v>
      </c>
      <c r="P11" s="386">
        <v>5.25</v>
      </c>
      <c r="Q11" s="385">
        <v>6</v>
      </c>
      <c r="R11" s="386">
        <v>7</v>
      </c>
      <c r="S11" s="383">
        <v>8</v>
      </c>
      <c r="T11" s="387">
        <v>9</v>
      </c>
      <c r="U11" s="388">
        <v>29</v>
      </c>
      <c r="AD11" s="401">
        <v>36982</v>
      </c>
      <c r="AE11" s="402"/>
    </row>
    <row r="12" spans="1:34" customFormat="1" x14ac:dyDescent="0.2">
      <c r="A12" s="381">
        <v>37530</v>
      </c>
      <c r="B12" s="382">
        <v>3</v>
      </c>
      <c r="C12" s="383">
        <v>2</v>
      </c>
      <c r="D12" s="384">
        <v>1</v>
      </c>
      <c r="E12" s="385">
        <v>0.75</v>
      </c>
      <c r="F12" s="386">
        <v>0.25</v>
      </c>
      <c r="G12" s="386">
        <v>-0.25</v>
      </c>
      <c r="H12" s="385">
        <v>-0.75</v>
      </c>
      <c r="I12" s="386">
        <v>-1</v>
      </c>
      <c r="J12" s="385">
        <v>-0.7</v>
      </c>
      <c r="K12" s="385">
        <v>0</v>
      </c>
      <c r="L12" s="385">
        <v>1.75</v>
      </c>
      <c r="M12" s="386">
        <v>2.5</v>
      </c>
      <c r="N12" s="386">
        <v>3.25</v>
      </c>
      <c r="O12" s="385">
        <v>4.25</v>
      </c>
      <c r="P12" s="386">
        <v>5.25</v>
      </c>
      <c r="Q12" s="385">
        <v>6</v>
      </c>
      <c r="R12" s="386">
        <v>7</v>
      </c>
      <c r="S12" s="383">
        <v>8</v>
      </c>
      <c r="T12" s="387">
        <v>9</v>
      </c>
      <c r="U12" s="388">
        <v>29</v>
      </c>
    </row>
    <row r="13" spans="1:34" customFormat="1" x14ac:dyDescent="0.2">
      <c r="A13" s="381">
        <v>37561</v>
      </c>
      <c r="B13" s="382">
        <v>3</v>
      </c>
      <c r="C13" s="383">
        <v>2</v>
      </c>
      <c r="D13" s="384">
        <v>1</v>
      </c>
      <c r="E13" s="385">
        <v>0.75</v>
      </c>
      <c r="F13" s="386">
        <v>0.25</v>
      </c>
      <c r="G13" s="386">
        <v>-0.25</v>
      </c>
      <c r="H13" s="385">
        <v>-0.75</v>
      </c>
      <c r="I13" s="386">
        <v>-1</v>
      </c>
      <c r="J13" s="385">
        <v>-0.7</v>
      </c>
      <c r="K13" s="385">
        <v>0</v>
      </c>
      <c r="L13" s="385">
        <v>1.25</v>
      </c>
      <c r="M13" s="386">
        <v>1.75</v>
      </c>
      <c r="N13" s="386">
        <v>2.5</v>
      </c>
      <c r="O13" s="385">
        <v>3.25</v>
      </c>
      <c r="P13" s="386">
        <v>3.75</v>
      </c>
      <c r="Q13" s="385">
        <v>4.25</v>
      </c>
      <c r="R13" s="386">
        <v>4.75</v>
      </c>
      <c r="S13" s="383">
        <v>5.75</v>
      </c>
      <c r="T13" s="387">
        <v>8.1999999999999993</v>
      </c>
      <c r="U13" s="388">
        <v>29</v>
      </c>
    </row>
    <row r="14" spans="1:34" customFormat="1" x14ac:dyDescent="0.2">
      <c r="A14" s="381">
        <v>37591</v>
      </c>
      <c r="B14" s="382">
        <v>3</v>
      </c>
      <c r="C14" s="383">
        <v>2</v>
      </c>
      <c r="D14" s="384">
        <v>1</v>
      </c>
      <c r="E14" s="385">
        <v>0.75</v>
      </c>
      <c r="F14" s="386">
        <v>0.25</v>
      </c>
      <c r="G14" s="386">
        <v>-0.25</v>
      </c>
      <c r="H14" s="385">
        <v>-0.75</v>
      </c>
      <c r="I14" s="386">
        <v>-1</v>
      </c>
      <c r="J14" s="385">
        <v>-0.7</v>
      </c>
      <c r="K14" s="385">
        <v>0</v>
      </c>
      <c r="L14" s="385">
        <v>1.25</v>
      </c>
      <c r="M14" s="386">
        <v>1.75</v>
      </c>
      <c r="N14" s="386">
        <v>2.5</v>
      </c>
      <c r="O14" s="385">
        <v>3.25</v>
      </c>
      <c r="P14" s="386">
        <v>3.75</v>
      </c>
      <c r="Q14" s="385">
        <v>4.25</v>
      </c>
      <c r="R14" s="386">
        <v>4.75</v>
      </c>
      <c r="S14" s="383">
        <v>5.75</v>
      </c>
      <c r="T14" s="387">
        <v>8.1999999999999993</v>
      </c>
      <c r="U14" s="388">
        <v>29</v>
      </c>
    </row>
    <row r="15" spans="1:34" customFormat="1" x14ac:dyDescent="0.2">
      <c r="A15" s="381">
        <v>37622</v>
      </c>
      <c r="B15" s="382">
        <v>3</v>
      </c>
      <c r="C15" s="383">
        <v>2</v>
      </c>
      <c r="D15" s="384">
        <v>1</v>
      </c>
      <c r="E15" s="385">
        <v>0.75</v>
      </c>
      <c r="F15" s="386">
        <v>0.25</v>
      </c>
      <c r="G15" s="386">
        <v>-0.25</v>
      </c>
      <c r="H15" s="385">
        <v>-0.75</v>
      </c>
      <c r="I15" s="386">
        <v>-1</v>
      </c>
      <c r="J15" s="385">
        <v>-0.7</v>
      </c>
      <c r="K15" s="385">
        <v>0</v>
      </c>
      <c r="L15" s="385">
        <v>1.25</v>
      </c>
      <c r="M15" s="386">
        <v>1.75</v>
      </c>
      <c r="N15" s="386">
        <v>2.5</v>
      </c>
      <c r="O15" s="385">
        <v>3.25</v>
      </c>
      <c r="P15" s="386">
        <v>3.75</v>
      </c>
      <c r="Q15" s="385">
        <v>4.25</v>
      </c>
      <c r="R15" s="386">
        <v>4.75</v>
      </c>
      <c r="S15" s="383">
        <v>5.75</v>
      </c>
      <c r="T15" s="387">
        <v>8.1999999999999993</v>
      </c>
      <c r="U15" s="388">
        <v>29</v>
      </c>
    </row>
    <row r="16" spans="1:34" customFormat="1" x14ac:dyDescent="0.2">
      <c r="A16" s="381">
        <v>37653</v>
      </c>
      <c r="B16" s="382">
        <v>3</v>
      </c>
      <c r="C16" s="383">
        <v>2</v>
      </c>
      <c r="D16" s="384">
        <v>1</v>
      </c>
      <c r="E16" s="385">
        <v>0.75</v>
      </c>
      <c r="F16" s="386">
        <v>0.25</v>
      </c>
      <c r="G16" s="386">
        <v>-0.25</v>
      </c>
      <c r="H16" s="385">
        <v>-0.75</v>
      </c>
      <c r="I16" s="386">
        <v>-1</v>
      </c>
      <c r="J16" s="385">
        <v>-0.7</v>
      </c>
      <c r="K16" s="385">
        <v>0</v>
      </c>
      <c r="L16" s="385">
        <v>1.25</v>
      </c>
      <c r="M16" s="386">
        <v>1.75</v>
      </c>
      <c r="N16" s="386">
        <v>2.5</v>
      </c>
      <c r="O16" s="385">
        <v>3.25</v>
      </c>
      <c r="P16" s="386">
        <v>3.75</v>
      </c>
      <c r="Q16" s="385">
        <v>4.25</v>
      </c>
      <c r="R16" s="386">
        <v>4.75</v>
      </c>
      <c r="S16" s="383">
        <v>5.75</v>
      </c>
      <c r="T16" s="387">
        <v>8.1999999999999993</v>
      </c>
      <c r="U16" s="388">
        <v>29</v>
      </c>
    </row>
    <row r="17" spans="1:21" customFormat="1" x14ac:dyDescent="0.2">
      <c r="A17" s="381">
        <v>37681</v>
      </c>
      <c r="B17" s="382">
        <v>3</v>
      </c>
      <c r="C17" s="383">
        <v>2</v>
      </c>
      <c r="D17" s="384">
        <v>1</v>
      </c>
      <c r="E17" s="385">
        <v>0.75</v>
      </c>
      <c r="F17" s="386">
        <v>0.25</v>
      </c>
      <c r="G17" s="386">
        <v>-0.25</v>
      </c>
      <c r="H17" s="385">
        <v>-0.75</v>
      </c>
      <c r="I17" s="386">
        <v>-1</v>
      </c>
      <c r="J17" s="385">
        <v>-0.7</v>
      </c>
      <c r="K17" s="385">
        <v>0</v>
      </c>
      <c r="L17" s="385">
        <v>1.25</v>
      </c>
      <c r="M17" s="386">
        <v>1.75</v>
      </c>
      <c r="N17" s="386">
        <v>2.5</v>
      </c>
      <c r="O17" s="385">
        <v>3.25</v>
      </c>
      <c r="P17" s="386">
        <v>3.75</v>
      </c>
      <c r="Q17" s="385">
        <v>4.25</v>
      </c>
      <c r="R17" s="386">
        <v>4.75</v>
      </c>
      <c r="S17" s="383">
        <v>5.75</v>
      </c>
      <c r="T17" s="387">
        <v>8.1999999999999993</v>
      </c>
      <c r="U17" s="388">
        <v>29</v>
      </c>
    </row>
    <row r="18" spans="1:21" customFormat="1" x14ac:dyDescent="0.2">
      <c r="A18" s="381">
        <v>37712</v>
      </c>
      <c r="B18" s="382">
        <v>3</v>
      </c>
      <c r="C18" s="383">
        <v>2</v>
      </c>
      <c r="D18" s="384">
        <v>0.75</v>
      </c>
      <c r="E18" s="385">
        <v>0.5</v>
      </c>
      <c r="F18" s="386">
        <v>0.25</v>
      </c>
      <c r="G18" s="386">
        <v>-0.25</v>
      </c>
      <c r="H18" s="385">
        <v>-0.65</v>
      </c>
      <c r="I18" s="386">
        <v>-0.85</v>
      </c>
      <c r="J18" s="385">
        <v>-0.65</v>
      </c>
      <c r="K18" s="385">
        <v>0</v>
      </c>
      <c r="L18" s="385">
        <v>1</v>
      </c>
      <c r="M18" s="386">
        <v>1.5</v>
      </c>
      <c r="N18" s="386">
        <v>2.25</v>
      </c>
      <c r="O18" s="385">
        <v>3</v>
      </c>
      <c r="P18" s="386">
        <v>3.5</v>
      </c>
      <c r="Q18" s="385">
        <v>4</v>
      </c>
      <c r="R18" s="386">
        <v>4.5</v>
      </c>
      <c r="S18" s="383">
        <v>5.5</v>
      </c>
      <c r="T18" s="387">
        <v>8.1999999999999993</v>
      </c>
      <c r="U18" s="388">
        <v>29</v>
      </c>
    </row>
    <row r="19" spans="1:21" customFormat="1" x14ac:dyDescent="0.2">
      <c r="A19" s="381">
        <v>37742</v>
      </c>
      <c r="B19" s="382">
        <v>3</v>
      </c>
      <c r="C19" s="383">
        <v>2</v>
      </c>
      <c r="D19" s="384">
        <v>0.75</v>
      </c>
      <c r="E19" s="385">
        <v>0.5</v>
      </c>
      <c r="F19" s="386">
        <v>0.25</v>
      </c>
      <c r="G19" s="386">
        <v>-0.25</v>
      </c>
      <c r="H19" s="385">
        <v>-0.65</v>
      </c>
      <c r="I19" s="386">
        <v>-0.85</v>
      </c>
      <c r="J19" s="385">
        <v>-0.65</v>
      </c>
      <c r="K19" s="385">
        <v>0</v>
      </c>
      <c r="L19" s="385">
        <v>1</v>
      </c>
      <c r="M19" s="386">
        <v>1.5</v>
      </c>
      <c r="N19" s="386">
        <v>2.25</v>
      </c>
      <c r="O19" s="385">
        <v>3</v>
      </c>
      <c r="P19" s="386">
        <v>3.5</v>
      </c>
      <c r="Q19" s="385">
        <v>4</v>
      </c>
      <c r="R19" s="386">
        <v>4.5</v>
      </c>
      <c r="S19" s="383">
        <v>5.5</v>
      </c>
      <c r="T19" s="387">
        <v>8.1999999999999993</v>
      </c>
      <c r="U19" s="388">
        <v>29</v>
      </c>
    </row>
    <row r="20" spans="1:21" customFormat="1" x14ac:dyDescent="0.2">
      <c r="A20" s="381">
        <v>37773</v>
      </c>
      <c r="B20" s="382">
        <v>3</v>
      </c>
      <c r="C20" s="383">
        <v>2</v>
      </c>
      <c r="D20" s="384">
        <v>0.75</v>
      </c>
      <c r="E20" s="385">
        <v>0.5</v>
      </c>
      <c r="F20" s="386">
        <v>0.25</v>
      </c>
      <c r="G20" s="386">
        <v>-0.25</v>
      </c>
      <c r="H20" s="385">
        <v>-0.65</v>
      </c>
      <c r="I20" s="386">
        <v>-0.85</v>
      </c>
      <c r="J20" s="385">
        <v>-0.65</v>
      </c>
      <c r="K20" s="385">
        <v>0</v>
      </c>
      <c r="L20" s="385">
        <v>1</v>
      </c>
      <c r="M20" s="386">
        <v>1.5</v>
      </c>
      <c r="N20" s="386">
        <v>2.25</v>
      </c>
      <c r="O20" s="385">
        <v>3</v>
      </c>
      <c r="P20" s="386">
        <v>3.5</v>
      </c>
      <c r="Q20" s="385">
        <v>4</v>
      </c>
      <c r="R20" s="386">
        <v>4.5</v>
      </c>
      <c r="S20" s="383">
        <v>5.5</v>
      </c>
      <c r="T20" s="387">
        <v>8.1999999999999993</v>
      </c>
      <c r="U20" s="388">
        <v>29</v>
      </c>
    </row>
    <row r="21" spans="1:21" customFormat="1" x14ac:dyDescent="0.2">
      <c r="A21" s="381">
        <v>37803</v>
      </c>
      <c r="B21" s="382">
        <v>3</v>
      </c>
      <c r="C21" s="383">
        <v>2</v>
      </c>
      <c r="D21" s="384">
        <v>0.75</v>
      </c>
      <c r="E21" s="385">
        <v>0.5</v>
      </c>
      <c r="F21" s="386">
        <v>0.25</v>
      </c>
      <c r="G21" s="386">
        <v>-0.25</v>
      </c>
      <c r="H21" s="385">
        <v>-0.65</v>
      </c>
      <c r="I21" s="386">
        <v>-0.85</v>
      </c>
      <c r="J21" s="385">
        <v>-0.65</v>
      </c>
      <c r="K21" s="385">
        <v>0</v>
      </c>
      <c r="L21" s="385">
        <v>1</v>
      </c>
      <c r="M21" s="386">
        <v>1.5</v>
      </c>
      <c r="N21" s="386">
        <v>2.25</v>
      </c>
      <c r="O21" s="385">
        <v>3</v>
      </c>
      <c r="P21" s="386">
        <v>3.5</v>
      </c>
      <c r="Q21" s="385">
        <v>4</v>
      </c>
      <c r="R21" s="386">
        <v>4.5</v>
      </c>
      <c r="S21" s="383">
        <v>5.5</v>
      </c>
      <c r="T21" s="387">
        <v>8.1999999999999993</v>
      </c>
      <c r="U21" s="388">
        <v>29</v>
      </c>
    </row>
    <row r="22" spans="1:21" customFormat="1" x14ac:dyDescent="0.2">
      <c r="A22" s="381">
        <v>37834</v>
      </c>
      <c r="B22" s="382">
        <v>3</v>
      </c>
      <c r="C22" s="383">
        <v>2</v>
      </c>
      <c r="D22" s="384">
        <v>0.75</v>
      </c>
      <c r="E22" s="385">
        <v>0.5</v>
      </c>
      <c r="F22" s="386">
        <v>0.25</v>
      </c>
      <c r="G22" s="386">
        <v>-0.25</v>
      </c>
      <c r="H22" s="385">
        <v>-0.65</v>
      </c>
      <c r="I22" s="386">
        <v>-0.85</v>
      </c>
      <c r="J22" s="385">
        <v>-0.65</v>
      </c>
      <c r="K22" s="385">
        <v>0</v>
      </c>
      <c r="L22" s="385">
        <v>1</v>
      </c>
      <c r="M22" s="386">
        <v>1.5</v>
      </c>
      <c r="N22" s="386">
        <v>2.25</v>
      </c>
      <c r="O22" s="385">
        <v>3</v>
      </c>
      <c r="P22" s="386">
        <v>3.5</v>
      </c>
      <c r="Q22" s="385">
        <v>4</v>
      </c>
      <c r="R22" s="386">
        <v>4.5</v>
      </c>
      <c r="S22" s="383">
        <v>5.5</v>
      </c>
      <c r="T22" s="387">
        <v>8.1999999999999993</v>
      </c>
      <c r="U22" s="388">
        <v>29</v>
      </c>
    </row>
    <row r="23" spans="1:21" customFormat="1" x14ac:dyDescent="0.2">
      <c r="A23" s="381">
        <v>37865</v>
      </c>
      <c r="B23" s="382">
        <v>3</v>
      </c>
      <c r="C23" s="383">
        <v>2</v>
      </c>
      <c r="D23" s="384">
        <v>0.75</v>
      </c>
      <c r="E23" s="385">
        <v>0.5</v>
      </c>
      <c r="F23" s="386">
        <v>0.25</v>
      </c>
      <c r="G23" s="386">
        <v>-0.25</v>
      </c>
      <c r="H23" s="385">
        <v>-0.65</v>
      </c>
      <c r="I23" s="386">
        <v>-0.85</v>
      </c>
      <c r="J23" s="385">
        <v>-0.65</v>
      </c>
      <c r="K23" s="385">
        <v>0</v>
      </c>
      <c r="L23" s="385">
        <v>1</v>
      </c>
      <c r="M23" s="386">
        <v>1.5</v>
      </c>
      <c r="N23" s="386">
        <v>2.25</v>
      </c>
      <c r="O23" s="385">
        <v>3</v>
      </c>
      <c r="P23" s="386">
        <v>3.5</v>
      </c>
      <c r="Q23" s="385">
        <v>4</v>
      </c>
      <c r="R23" s="386">
        <v>4.5</v>
      </c>
      <c r="S23" s="383">
        <v>5.5</v>
      </c>
      <c r="T23" s="387">
        <v>8.1999999999999993</v>
      </c>
      <c r="U23" s="388">
        <v>29</v>
      </c>
    </row>
    <row r="24" spans="1:21" customFormat="1" x14ac:dyDescent="0.2">
      <c r="A24" s="381">
        <v>37895</v>
      </c>
      <c r="B24" s="382">
        <v>3</v>
      </c>
      <c r="C24" s="383">
        <v>2</v>
      </c>
      <c r="D24" s="384">
        <v>0.75</v>
      </c>
      <c r="E24" s="385">
        <v>0.5</v>
      </c>
      <c r="F24" s="386">
        <v>0.25</v>
      </c>
      <c r="G24" s="386">
        <v>-0.25</v>
      </c>
      <c r="H24" s="385">
        <v>-0.65</v>
      </c>
      <c r="I24" s="386">
        <v>-0.85</v>
      </c>
      <c r="J24" s="385">
        <v>-0.65</v>
      </c>
      <c r="K24" s="385">
        <v>0</v>
      </c>
      <c r="L24" s="385">
        <v>1</v>
      </c>
      <c r="M24" s="386">
        <v>1.5</v>
      </c>
      <c r="N24" s="386">
        <v>2.25</v>
      </c>
      <c r="O24" s="385">
        <v>3</v>
      </c>
      <c r="P24" s="386">
        <v>3.5</v>
      </c>
      <c r="Q24" s="385">
        <v>4</v>
      </c>
      <c r="R24" s="386">
        <v>4.5</v>
      </c>
      <c r="S24" s="383">
        <v>5.5</v>
      </c>
      <c r="T24" s="387">
        <v>8.1999999999999993</v>
      </c>
      <c r="U24" s="388">
        <v>29</v>
      </c>
    </row>
    <row r="25" spans="1:21" customFormat="1" x14ac:dyDescent="0.2">
      <c r="A25" s="381">
        <v>37926</v>
      </c>
      <c r="B25" s="382">
        <v>3</v>
      </c>
      <c r="C25" s="383">
        <v>2</v>
      </c>
      <c r="D25" s="384">
        <v>0.75</v>
      </c>
      <c r="E25" s="385">
        <v>0.5</v>
      </c>
      <c r="F25" s="386">
        <v>0.25</v>
      </c>
      <c r="G25" s="386">
        <v>-0.25</v>
      </c>
      <c r="H25" s="385">
        <v>-0.65</v>
      </c>
      <c r="I25" s="386">
        <v>-0.85</v>
      </c>
      <c r="J25" s="385">
        <v>-0.65</v>
      </c>
      <c r="K25" s="385">
        <v>0</v>
      </c>
      <c r="L25" s="385">
        <v>1</v>
      </c>
      <c r="M25" s="386">
        <v>1.5</v>
      </c>
      <c r="N25" s="386">
        <v>2.25</v>
      </c>
      <c r="O25" s="385">
        <v>3</v>
      </c>
      <c r="P25" s="386">
        <v>3.5</v>
      </c>
      <c r="Q25" s="385">
        <v>4</v>
      </c>
      <c r="R25" s="386">
        <v>4.5</v>
      </c>
      <c r="S25" s="383">
        <v>5.5</v>
      </c>
      <c r="T25" s="387">
        <v>8.1999999999999993</v>
      </c>
      <c r="U25" s="388">
        <v>29</v>
      </c>
    </row>
    <row r="26" spans="1:21" customFormat="1" x14ac:dyDescent="0.2">
      <c r="A26" s="381">
        <v>37956</v>
      </c>
      <c r="B26" s="382">
        <v>3</v>
      </c>
      <c r="C26" s="383">
        <v>2</v>
      </c>
      <c r="D26" s="384">
        <v>0.75</v>
      </c>
      <c r="E26" s="385">
        <v>0.5</v>
      </c>
      <c r="F26" s="386">
        <v>0.25</v>
      </c>
      <c r="G26" s="386">
        <v>-0.25</v>
      </c>
      <c r="H26" s="385">
        <v>-0.65</v>
      </c>
      <c r="I26" s="386">
        <v>-0.85</v>
      </c>
      <c r="J26" s="385">
        <v>-0.65</v>
      </c>
      <c r="K26" s="385">
        <v>0</v>
      </c>
      <c r="L26" s="385">
        <v>1</v>
      </c>
      <c r="M26" s="386">
        <v>1.5</v>
      </c>
      <c r="N26" s="386">
        <v>2.25</v>
      </c>
      <c r="O26" s="385">
        <v>3</v>
      </c>
      <c r="P26" s="386">
        <v>3.5</v>
      </c>
      <c r="Q26" s="385">
        <v>4</v>
      </c>
      <c r="R26" s="386">
        <v>4.5</v>
      </c>
      <c r="S26" s="383">
        <v>5.5</v>
      </c>
      <c r="T26" s="387">
        <v>8.1999999999999993</v>
      </c>
      <c r="U26" s="388">
        <v>29</v>
      </c>
    </row>
    <row r="27" spans="1:21" customFormat="1" x14ac:dyDescent="0.2">
      <c r="A27" s="381">
        <v>37987</v>
      </c>
      <c r="B27" s="382">
        <v>3</v>
      </c>
      <c r="C27" s="383">
        <v>2</v>
      </c>
      <c r="D27" s="384">
        <v>0.75</v>
      </c>
      <c r="E27" s="385">
        <v>0.5</v>
      </c>
      <c r="F27" s="386">
        <v>0.25</v>
      </c>
      <c r="G27" s="386">
        <v>-0.25</v>
      </c>
      <c r="H27" s="385">
        <v>-0.65</v>
      </c>
      <c r="I27" s="386">
        <v>-0.85</v>
      </c>
      <c r="J27" s="385">
        <v>-0.65</v>
      </c>
      <c r="K27" s="385">
        <v>0</v>
      </c>
      <c r="L27" s="385">
        <v>1</v>
      </c>
      <c r="M27" s="386">
        <v>1.5</v>
      </c>
      <c r="N27" s="386">
        <v>2.25</v>
      </c>
      <c r="O27" s="385">
        <v>3</v>
      </c>
      <c r="P27" s="386">
        <v>3.5</v>
      </c>
      <c r="Q27" s="385">
        <v>4</v>
      </c>
      <c r="R27" s="386">
        <v>4.5</v>
      </c>
      <c r="S27" s="383">
        <v>5.5</v>
      </c>
      <c r="T27" s="387">
        <v>8.1999999999999993</v>
      </c>
      <c r="U27" s="388">
        <v>29</v>
      </c>
    </row>
    <row r="28" spans="1:21" customFormat="1" x14ac:dyDescent="0.2">
      <c r="A28" s="381">
        <v>38018</v>
      </c>
      <c r="B28" s="382">
        <v>3</v>
      </c>
      <c r="C28" s="383">
        <v>2</v>
      </c>
      <c r="D28" s="384">
        <v>0.75</v>
      </c>
      <c r="E28" s="385">
        <v>0.5</v>
      </c>
      <c r="F28" s="386">
        <v>0.25</v>
      </c>
      <c r="G28" s="386">
        <v>-0.25</v>
      </c>
      <c r="H28" s="385">
        <v>-0.65</v>
      </c>
      <c r="I28" s="386">
        <v>-0.85</v>
      </c>
      <c r="J28" s="385">
        <v>-0.65</v>
      </c>
      <c r="K28" s="385">
        <v>0</v>
      </c>
      <c r="L28" s="385">
        <v>1</v>
      </c>
      <c r="M28" s="386">
        <v>1.5</v>
      </c>
      <c r="N28" s="386">
        <v>2.25</v>
      </c>
      <c r="O28" s="385">
        <v>3</v>
      </c>
      <c r="P28" s="386">
        <v>3.5</v>
      </c>
      <c r="Q28" s="385">
        <v>4</v>
      </c>
      <c r="R28" s="386">
        <v>4.5</v>
      </c>
      <c r="S28" s="383">
        <v>5.5</v>
      </c>
      <c r="T28" s="387">
        <v>8.1999999999999993</v>
      </c>
      <c r="U28" s="388">
        <v>29</v>
      </c>
    </row>
    <row r="29" spans="1:21" customFormat="1" x14ac:dyDescent="0.2">
      <c r="A29" s="381">
        <v>38047</v>
      </c>
      <c r="B29" s="382">
        <v>3</v>
      </c>
      <c r="C29" s="383">
        <v>2</v>
      </c>
      <c r="D29" s="384">
        <v>0.75</v>
      </c>
      <c r="E29" s="385">
        <v>0.5</v>
      </c>
      <c r="F29" s="386">
        <v>0.25</v>
      </c>
      <c r="G29" s="386">
        <v>-0.25</v>
      </c>
      <c r="H29" s="385">
        <v>-0.65</v>
      </c>
      <c r="I29" s="386">
        <v>-0.85</v>
      </c>
      <c r="J29" s="385">
        <v>-0.65</v>
      </c>
      <c r="K29" s="385">
        <v>0</v>
      </c>
      <c r="L29" s="385">
        <v>1</v>
      </c>
      <c r="M29" s="386">
        <v>1.5</v>
      </c>
      <c r="N29" s="386">
        <v>2.25</v>
      </c>
      <c r="O29" s="385">
        <v>3</v>
      </c>
      <c r="P29" s="386">
        <v>3.5</v>
      </c>
      <c r="Q29" s="385">
        <v>4</v>
      </c>
      <c r="R29" s="386">
        <v>4.5</v>
      </c>
      <c r="S29" s="383">
        <v>5.5</v>
      </c>
      <c r="T29" s="387">
        <v>8.1999999999999993</v>
      </c>
      <c r="U29" s="388">
        <v>29</v>
      </c>
    </row>
    <row r="30" spans="1:21" customFormat="1" x14ac:dyDescent="0.2">
      <c r="A30" s="381">
        <v>38078</v>
      </c>
      <c r="B30" s="382">
        <v>3</v>
      </c>
      <c r="C30" s="383">
        <v>2</v>
      </c>
      <c r="D30" s="384">
        <v>0.75</v>
      </c>
      <c r="E30" s="385">
        <v>0.5</v>
      </c>
      <c r="F30" s="386">
        <v>0.25</v>
      </c>
      <c r="G30" s="386">
        <v>-0.25</v>
      </c>
      <c r="H30" s="385">
        <v>-0.65</v>
      </c>
      <c r="I30" s="386">
        <v>-0.85</v>
      </c>
      <c r="J30" s="385">
        <v>-0.65</v>
      </c>
      <c r="K30" s="385">
        <v>0</v>
      </c>
      <c r="L30" s="385">
        <v>1</v>
      </c>
      <c r="M30" s="386">
        <v>1.5</v>
      </c>
      <c r="N30" s="386">
        <v>2.25</v>
      </c>
      <c r="O30" s="385">
        <v>3</v>
      </c>
      <c r="P30" s="386">
        <v>3.5</v>
      </c>
      <c r="Q30" s="385">
        <v>4</v>
      </c>
      <c r="R30" s="386">
        <v>4.5</v>
      </c>
      <c r="S30" s="383">
        <v>5.5</v>
      </c>
      <c r="T30" s="387">
        <v>8.1999999999999993</v>
      </c>
      <c r="U30" s="388">
        <v>29</v>
      </c>
    </row>
    <row r="31" spans="1:21" customFormat="1" x14ac:dyDescent="0.2">
      <c r="A31" s="381">
        <v>38108</v>
      </c>
      <c r="B31" s="382">
        <v>3</v>
      </c>
      <c r="C31" s="383">
        <v>2</v>
      </c>
      <c r="D31" s="384">
        <v>0.75</v>
      </c>
      <c r="E31" s="385">
        <v>0.5</v>
      </c>
      <c r="F31" s="386">
        <v>0.25</v>
      </c>
      <c r="G31" s="386">
        <v>-0.25</v>
      </c>
      <c r="H31" s="385">
        <v>-0.65</v>
      </c>
      <c r="I31" s="386">
        <v>-0.85</v>
      </c>
      <c r="J31" s="385">
        <v>-0.65</v>
      </c>
      <c r="K31" s="385">
        <v>0</v>
      </c>
      <c r="L31" s="385">
        <v>1</v>
      </c>
      <c r="M31" s="386">
        <v>1.5</v>
      </c>
      <c r="N31" s="386">
        <v>2.25</v>
      </c>
      <c r="O31" s="385">
        <v>3</v>
      </c>
      <c r="P31" s="386">
        <v>3.5</v>
      </c>
      <c r="Q31" s="385">
        <v>4</v>
      </c>
      <c r="R31" s="386">
        <v>4.5</v>
      </c>
      <c r="S31" s="383">
        <v>5.5</v>
      </c>
      <c r="T31" s="387">
        <v>8.1999999999999993</v>
      </c>
      <c r="U31" s="388">
        <v>29</v>
      </c>
    </row>
    <row r="32" spans="1:21" customFormat="1" x14ac:dyDescent="0.2">
      <c r="A32" s="381">
        <v>38139</v>
      </c>
      <c r="B32" s="382">
        <v>3</v>
      </c>
      <c r="C32" s="383">
        <v>2</v>
      </c>
      <c r="D32" s="384">
        <v>0.75</v>
      </c>
      <c r="E32" s="385">
        <v>0.5</v>
      </c>
      <c r="F32" s="386">
        <v>0.25</v>
      </c>
      <c r="G32" s="386">
        <v>-0.25</v>
      </c>
      <c r="H32" s="385">
        <v>-0.65</v>
      </c>
      <c r="I32" s="386">
        <v>-0.85</v>
      </c>
      <c r="J32" s="385">
        <v>-0.65</v>
      </c>
      <c r="K32" s="385">
        <v>0</v>
      </c>
      <c r="L32" s="385">
        <v>1</v>
      </c>
      <c r="M32" s="386">
        <v>1.5</v>
      </c>
      <c r="N32" s="386">
        <v>2.25</v>
      </c>
      <c r="O32" s="385">
        <v>3</v>
      </c>
      <c r="P32" s="386">
        <v>3.5</v>
      </c>
      <c r="Q32" s="385">
        <v>4</v>
      </c>
      <c r="R32" s="386">
        <v>4.5</v>
      </c>
      <c r="S32" s="383">
        <v>5.5</v>
      </c>
      <c r="T32" s="387">
        <v>8.1999999999999993</v>
      </c>
      <c r="U32" s="388">
        <v>29</v>
      </c>
    </row>
    <row r="33" spans="1:21" customFormat="1" x14ac:dyDescent="0.2">
      <c r="A33" s="381">
        <v>38169</v>
      </c>
      <c r="B33" s="382">
        <v>3</v>
      </c>
      <c r="C33" s="383">
        <v>2</v>
      </c>
      <c r="D33" s="384">
        <v>0.75</v>
      </c>
      <c r="E33" s="385">
        <v>0.5</v>
      </c>
      <c r="F33" s="386">
        <v>0.25</v>
      </c>
      <c r="G33" s="386">
        <v>-0.25</v>
      </c>
      <c r="H33" s="385">
        <v>-0.65</v>
      </c>
      <c r="I33" s="386">
        <v>-0.85</v>
      </c>
      <c r="J33" s="385">
        <v>-0.65</v>
      </c>
      <c r="K33" s="385">
        <v>0</v>
      </c>
      <c r="L33" s="385">
        <v>1</v>
      </c>
      <c r="M33" s="386">
        <v>1.5</v>
      </c>
      <c r="N33" s="386">
        <v>2.25</v>
      </c>
      <c r="O33" s="385">
        <v>3</v>
      </c>
      <c r="P33" s="386">
        <v>3.5</v>
      </c>
      <c r="Q33" s="385">
        <v>4</v>
      </c>
      <c r="R33" s="386">
        <v>4.5</v>
      </c>
      <c r="S33" s="383">
        <v>5.5</v>
      </c>
      <c r="T33" s="387">
        <v>8.1999999999999993</v>
      </c>
      <c r="U33" s="388">
        <v>29</v>
      </c>
    </row>
    <row r="34" spans="1:21" customFormat="1" x14ac:dyDescent="0.2">
      <c r="A34" s="381">
        <v>38200</v>
      </c>
      <c r="B34" s="382">
        <v>3</v>
      </c>
      <c r="C34" s="383">
        <v>2</v>
      </c>
      <c r="D34" s="384">
        <v>0.75</v>
      </c>
      <c r="E34" s="385">
        <v>0.5</v>
      </c>
      <c r="F34" s="386">
        <v>0.25</v>
      </c>
      <c r="G34" s="386">
        <v>-0.25</v>
      </c>
      <c r="H34" s="385">
        <v>-0.65</v>
      </c>
      <c r="I34" s="386">
        <v>-0.85</v>
      </c>
      <c r="J34" s="385">
        <v>-0.65</v>
      </c>
      <c r="K34" s="385">
        <v>0</v>
      </c>
      <c r="L34" s="385">
        <v>1</v>
      </c>
      <c r="M34" s="386">
        <v>1.5</v>
      </c>
      <c r="N34" s="386">
        <v>2.25</v>
      </c>
      <c r="O34" s="385">
        <v>3</v>
      </c>
      <c r="P34" s="386">
        <v>3.5</v>
      </c>
      <c r="Q34" s="385">
        <v>4</v>
      </c>
      <c r="R34" s="386">
        <v>4.5</v>
      </c>
      <c r="S34" s="383">
        <v>5.5</v>
      </c>
      <c r="T34" s="387">
        <v>8.1999999999999993</v>
      </c>
      <c r="U34" s="388">
        <v>29</v>
      </c>
    </row>
    <row r="35" spans="1:21" customFormat="1" x14ac:dyDescent="0.2">
      <c r="A35" s="381">
        <v>38231</v>
      </c>
      <c r="B35" s="382">
        <v>3</v>
      </c>
      <c r="C35" s="383">
        <v>2</v>
      </c>
      <c r="D35" s="384">
        <v>0.75</v>
      </c>
      <c r="E35" s="385">
        <v>0.5</v>
      </c>
      <c r="F35" s="386">
        <v>0.25</v>
      </c>
      <c r="G35" s="386">
        <v>-0.25</v>
      </c>
      <c r="H35" s="385">
        <v>-0.65</v>
      </c>
      <c r="I35" s="386">
        <v>-0.85</v>
      </c>
      <c r="J35" s="385">
        <v>-0.65</v>
      </c>
      <c r="K35" s="385">
        <v>0</v>
      </c>
      <c r="L35" s="385">
        <v>1</v>
      </c>
      <c r="M35" s="386">
        <v>1.5</v>
      </c>
      <c r="N35" s="386">
        <v>2.25</v>
      </c>
      <c r="O35" s="385">
        <v>3</v>
      </c>
      <c r="P35" s="386">
        <v>3.5</v>
      </c>
      <c r="Q35" s="385">
        <v>4</v>
      </c>
      <c r="R35" s="386">
        <v>4.5</v>
      </c>
      <c r="S35" s="383">
        <v>5.5</v>
      </c>
      <c r="T35" s="387">
        <v>8.1999999999999993</v>
      </c>
      <c r="U35" s="388">
        <v>29</v>
      </c>
    </row>
    <row r="36" spans="1:21" customFormat="1" x14ac:dyDescent="0.2">
      <c r="A36" s="381">
        <v>38261</v>
      </c>
      <c r="B36" s="382">
        <v>3</v>
      </c>
      <c r="C36" s="383">
        <v>2</v>
      </c>
      <c r="D36" s="384">
        <v>0.75</v>
      </c>
      <c r="E36" s="385">
        <v>0.5</v>
      </c>
      <c r="F36" s="386">
        <v>0.25</v>
      </c>
      <c r="G36" s="386">
        <v>-0.25</v>
      </c>
      <c r="H36" s="385">
        <v>-0.65</v>
      </c>
      <c r="I36" s="386">
        <v>-0.85</v>
      </c>
      <c r="J36" s="385">
        <v>-0.65</v>
      </c>
      <c r="K36" s="385">
        <v>0</v>
      </c>
      <c r="L36" s="385">
        <v>1</v>
      </c>
      <c r="M36" s="386">
        <v>1.5</v>
      </c>
      <c r="N36" s="386">
        <v>2.25</v>
      </c>
      <c r="O36" s="385">
        <v>3</v>
      </c>
      <c r="P36" s="386">
        <v>3.5</v>
      </c>
      <c r="Q36" s="385">
        <v>4</v>
      </c>
      <c r="R36" s="386">
        <v>4.5</v>
      </c>
      <c r="S36" s="383">
        <v>5.5</v>
      </c>
      <c r="T36" s="387">
        <v>8.1999999999999993</v>
      </c>
      <c r="U36" s="388">
        <v>29</v>
      </c>
    </row>
    <row r="37" spans="1:21" customFormat="1" x14ac:dyDescent="0.2">
      <c r="A37" s="381">
        <v>38292</v>
      </c>
      <c r="B37" s="382">
        <v>3</v>
      </c>
      <c r="C37" s="383">
        <v>2</v>
      </c>
      <c r="D37" s="384">
        <v>0.75</v>
      </c>
      <c r="E37" s="385">
        <v>0.5</v>
      </c>
      <c r="F37" s="386">
        <v>0.25</v>
      </c>
      <c r="G37" s="386">
        <v>-0.25</v>
      </c>
      <c r="H37" s="385">
        <v>-0.65</v>
      </c>
      <c r="I37" s="386">
        <v>-0.85</v>
      </c>
      <c r="J37" s="385">
        <v>-0.65</v>
      </c>
      <c r="K37" s="385">
        <v>0</v>
      </c>
      <c r="L37" s="385">
        <v>1</v>
      </c>
      <c r="M37" s="386">
        <v>1.5</v>
      </c>
      <c r="N37" s="386">
        <v>2.25</v>
      </c>
      <c r="O37" s="385">
        <v>3</v>
      </c>
      <c r="P37" s="386">
        <v>3.5</v>
      </c>
      <c r="Q37" s="385">
        <v>4</v>
      </c>
      <c r="R37" s="386">
        <v>4.5</v>
      </c>
      <c r="S37" s="383">
        <v>5.5</v>
      </c>
      <c r="T37" s="387">
        <v>8.1999999999999993</v>
      </c>
      <c r="U37" s="388">
        <v>29</v>
      </c>
    </row>
    <row r="38" spans="1:21" customFormat="1" x14ac:dyDescent="0.2">
      <c r="A38" s="381">
        <v>40513</v>
      </c>
      <c r="B38" s="382">
        <v>3</v>
      </c>
      <c r="C38" s="383">
        <v>2</v>
      </c>
      <c r="D38" s="384">
        <v>0.75</v>
      </c>
      <c r="E38" s="385">
        <v>0.5</v>
      </c>
      <c r="F38" s="386">
        <v>0.25</v>
      </c>
      <c r="G38" s="386">
        <v>-0.25</v>
      </c>
      <c r="H38" s="385">
        <v>-0.65</v>
      </c>
      <c r="I38" s="386">
        <v>-0.85</v>
      </c>
      <c r="J38" s="385">
        <v>-0.65</v>
      </c>
      <c r="K38" s="385">
        <v>0</v>
      </c>
      <c r="L38" s="385">
        <v>1</v>
      </c>
      <c r="M38" s="386">
        <v>1.5</v>
      </c>
      <c r="N38" s="386">
        <v>2.25</v>
      </c>
      <c r="O38" s="385">
        <v>3</v>
      </c>
      <c r="P38" s="386">
        <v>3.5</v>
      </c>
      <c r="Q38" s="385">
        <v>4</v>
      </c>
      <c r="R38" s="386">
        <v>4.5</v>
      </c>
      <c r="S38" s="383">
        <v>5.5</v>
      </c>
      <c r="T38" s="387">
        <v>8.1999999999999993</v>
      </c>
      <c r="U38" s="388">
        <v>29</v>
      </c>
    </row>
    <row r="39" spans="1:21" customFormat="1" ht="13.5" thickBot="1" x14ac:dyDescent="0.25">
      <c r="A39" s="389">
        <v>44531</v>
      </c>
      <c r="B39" s="390">
        <v>3</v>
      </c>
      <c r="C39" s="391">
        <v>2</v>
      </c>
      <c r="D39" s="392">
        <v>0.75</v>
      </c>
      <c r="E39" s="393">
        <v>0.5</v>
      </c>
      <c r="F39" s="394">
        <v>0.25</v>
      </c>
      <c r="G39" s="395">
        <v>-0.25</v>
      </c>
      <c r="H39" s="393">
        <v>-0.65</v>
      </c>
      <c r="I39" s="394">
        <v>-0.85</v>
      </c>
      <c r="J39" s="393">
        <v>-0.65</v>
      </c>
      <c r="K39" s="393">
        <v>0</v>
      </c>
      <c r="L39" s="393">
        <v>1</v>
      </c>
      <c r="M39" s="394">
        <v>1.5</v>
      </c>
      <c r="N39" s="395">
        <v>2.25</v>
      </c>
      <c r="O39" s="393">
        <v>3</v>
      </c>
      <c r="P39" s="395">
        <v>3.4</v>
      </c>
      <c r="Q39" s="393">
        <v>4</v>
      </c>
      <c r="R39" s="395">
        <v>4.5</v>
      </c>
      <c r="S39" s="391">
        <v>5.5</v>
      </c>
      <c r="T39" s="396">
        <v>8.1999999999999993</v>
      </c>
      <c r="U39" s="397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19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</row>
    <row r="43" spans="1:21" ht="13.5" thickBot="1" x14ac:dyDescent="0.25">
      <c r="A43" s="209"/>
      <c r="B43" s="210">
        <v>-5</v>
      </c>
      <c r="C43" s="211">
        <v>-4</v>
      </c>
      <c r="D43" s="212">
        <v>-3.5</v>
      </c>
      <c r="E43" s="212">
        <v>-3</v>
      </c>
      <c r="F43" s="212">
        <v>-2.5</v>
      </c>
      <c r="G43" s="212">
        <v>-2</v>
      </c>
      <c r="H43" s="212">
        <v>-1.5</v>
      </c>
      <c r="I43" s="212">
        <v>-1</v>
      </c>
      <c r="J43" s="212">
        <v>-0.5</v>
      </c>
      <c r="K43" s="212">
        <v>0</v>
      </c>
      <c r="L43" s="212">
        <v>0.5</v>
      </c>
      <c r="M43" s="212">
        <v>1</v>
      </c>
      <c r="N43" s="212">
        <v>1.5</v>
      </c>
      <c r="O43" s="212">
        <v>2</v>
      </c>
      <c r="P43" s="212">
        <v>2.5</v>
      </c>
      <c r="Q43" s="212">
        <v>3</v>
      </c>
      <c r="R43" s="212">
        <v>4</v>
      </c>
      <c r="S43" s="212">
        <v>5</v>
      </c>
      <c r="T43" s="213">
        <v>10</v>
      </c>
      <c r="U43" s="214">
        <v>40</v>
      </c>
    </row>
    <row r="44" spans="1:21" x14ac:dyDescent="0.2">
      <c r="A44" s="215">
        <v>37165</v>
      </c>
      <c r="B44" s="229">
        <v>4.75</v>
      </c>
      <c r="C44" s="230">
        <v>3.75</v>
      </c>
      <c r="D44" s="231">
        <v>2.5</v>
      </c>
      <c r="E44" s="232">
        <v>1.5</v>
      </c>
      <c r="F44" s="233">
        <v>0.5</v>
      </c>
      <c r="G44" s="233">
        <v>0</v>
      </c>
      <c r="H44" s="232">
        <v>-0.5</v>
      </c>
      <c r="I44" s="233">
        <v>-0.75</v>
      </c>
      <c r="J44" s="232">
        <v>-0.5</v>
      </c>
      <c r="K44" s="232">
        <v>0</v>
      </c>
      <c r="L44" s="232">
        <v>1</v>
      </c>
      <c r="M44" s="233">
        <v>1.75</v>
      </c>
      <c r="N44" s="233">
        <v>2.5</v>
      </c>
      <c r="O44" s="232">
        <v>3.25</v>
      </c>
      <c r="P44" s="233">
        <v>4</v>
      </c>
      <c r="Q44" s="232">
        <v>4.75</v>
      </c>
      <c r="R44" s="233">
        <v>6</v>
      </c>
      <c r="S44" s="234">
        <v>7.25</v>
      </c>
      <c r="T44" s="235">
        <v>16.260978154878529</v>
      </c>
      <c r="U44" s="230">
        <v>58.403635071802682</v>
      </c>
    </row>
    <row r="45" spans="1:21" x14ac:dyDescent="0.2">
      <c r="A45" s="216">
        <v>37196</v>
      </c>
      <c r="B45" s="236">
        <v>4.5</v>
      </c>
      <c r="C45" s="237">
        <v>3.5</v>
      </c>
      <c r="D45" s="238">
        <v>2.25</v>
      </c>
      <c r="E45" s="239">
        <v>1.25</v>
      </c>
      <c r="F45" s="240">
        <v>0.25</v>
      </c>
      <c r="G45" s="240">
        <v>-0.25</v>
      </c>
      <c r="H45" s="239">
        <v>-0.75</v>
      </c>
      <c r="I45" s="240">
        <v>-1</v>
      </c>
      <c r="J45" s="239">
        <v>-0.75</v>
      </c>
      <c r="K45" s="239">
        <v>0</v>
      </c>
      <c r="L45" s="239">
        <v>1.25</v>
      </c>
      <c r="M45" s="240">
        <v>2.5</v>
      </c>
      <c r="N45" s="240">
        <v>3</v>
      </c>
      <c r="O45" s="239">
        <v>3.75</v>
      </c>
      <c r="P45" s="240">
        <v>4.5</v>
      </c>
      <c r="Q45" s="239">
        <v>5</v>
      </c>
      <c r="R45" s="240">
        <v>6.25</v>
      </c>
      <c r="S45" s="241">
        <v>7.5</v>
      </c>
      <c r="T45" s="242">
        <v>12</v>
      </c>
      <c r="U45" s="237">
        <v>44</v>
      </c>
    </row>
    <row r="46" spans="1:21" x14ac:dyDescent="0.2">
      <c r="A46" s="216">
        <v>37226</v>
      </c>
      <c r="B46" s="236">
        <v>4.5</v>
      </c>
      <c r="C46" s="237">
        <v>3.5</v>
      </c>
      <c r="D46" s="238">
        <v>2.25</v>
      </c>
      <c r="E46" s="239">
        <v>1.25</v>
      </c>
      <c r="F46" s="240">
        <v>0.25</v>
      </c>
      <c r="G46" s="240">
        <v>-0.25</v>
      </c>
      <c r="H46" s="239">
        <v>-0.75</v>
      </c>
      <c r="I46" s="240">
        <v>-1</v>
      </c>
      <c r="J46" s="239">
        <v>-0.75</v>
      </c>
      <c r="K46" s="239">
        <v>0</v>
      </c>
      <c r="L46" s="239">
        <v>1.25</v>
      </c>
      <c r="M46" s="240">
        <v>2.5</v>
      </c>
      <c r="N46" s="240">
        <v>3</v>
      </c>
      <c r="O46" s="239">
        <v>3.75</v>
      </c>
      <c r="P46" s="240">
        <v>4.5</v>
      </c>
      <c r="Q46" s="239">
        <v>5</v>
      </c>
      <c r="R46" s="240">
        <v>6.25</v>
      </c>
      <c r="S46" s="241">
        <v>7.5</v>
      </c>
      <c r="T46" s="242">
        <v>12</v>
      </c>
      <c r="U46" s="237">
        <v>44</v>
      </c>
    </row>
    <row r="47" spans="1:21" x14ac:dyDescent="0.2">
      <c r="A47" s="216">
        <v>37257</v>
      </c>
      <c r="B47" s="236">
        <v>4.5</v>
      </c>
      <c r="C47" s="237">
        <v>3.5</v>
      </c>
      <c r="D47" s="238">
        <v>2.25</v>
      </c>
      <c r="E47" s="239">
        <v>1.25</v>
      </c>
      <c r="F47" s="240">
        <v>0.25</v>
      </c>
      <c r="G47" s="240">
        <v>-0.25</v>
      </c>
      <c r="H47" s="239">
        <v>-0.75</v>
      </c>
      <c r="I47" s="240">
        <v>-1</v>
      </c>
      <c r="J47" s="239">
        <v>-0.75</v>
      </c>
      <c r="K47" s="239">
        <v>0</v>
      </c>
      <c r="L47" s="239">
        <v>1.25</v>
      </c>
      <c r="M47" s="240">
        <v>2.5</v>
      </c>
      <c r="N47" s="240">
        <v>3</v>
      </c>
      <c r="O47" s="239">
        <v>3.75</v>
      </c>
      <c r="P47" s="240">
        <v>4.5</v>
      </c>
      <c r="Q47" s="239">
        <v>5</v>
      </c>
      <c r="R47" s="240">
        <v>6.25</v>
      </c>
      <c r="S47" s="241">
        <v>7.5</v>
      </c>
      <c r="T47" s="242">
        <v>12</v>
      </c>
      <c r="U47" s="237">
        <v>44</v>
      </c>
    </row>
    <row r="48" spans="1:21" x14ac:dyDescent="0.2">
      <c r="A48" s="216">
        <v>37288</v>
      </c>
      <c r="B48" s="236">
        <v>4.5</v>
      </c>
      <c r="C48" s="237">
        <v>3.5</v>
      </c>
      <c r="D48" s="238">
        <v>2.25</v>
      </c>
      <c r="E48" s="239">
        <v>1.25</v>
      </c>
      <c r="F48" s="240">
        <v>0.25</v>
      </c>
      <c r="G48" s="240">
        <v>-0.25</v>
      </c>
      <c r="H48" s="239">
        <v>-0.75</v>
      </c>
      <c r="I48" s="240">
        <v>-1</v>
      </c>
      <c r="J48" s="239">
        <v>-0.75</v>
      </c>
      <c r="K48" s="239">
        <v>0</v>
      </c>
      <c r="L48" s="239">
        <v>1.25</v>
      </c>
      <c r="M48" s="240">
        <v>2.5</v>
      </c>
      <c r="N48" s="240">
        <v>3</v>
      </c>
      <c r="O48" s="239">
        <v>3.75</v>
      </c>
      <c r="P48" s="240">
        <v>4.5</v>
      </c>
      <c r="Q48" s="239">
        <v>5</v>
      </c>
      <c r="R48" s="240">
        <v>6.25</v>
      </c>
      <c r="S48" s="241">
        <v>7.5</v>
      </c>
      <c r="T48" s="242">
        <v>12</v>
      </c>
      <c r="U48" s="237">
        <v>44</v>
      </c>
    </row>
    <row r="49" spans="1:21" x14ac:dyDescent="0.2">
      <c r="A49" s="216">
        <v>37316</v>
      </c>
      <c r="B49" s="236">
        <v>4.5</v>
      </c>
      <c r="C49" s="237">
        <v>3.5</v>
      </c>
      <c r="D49" s="238">
        <v>2.25</v>
      </c>
      <c r="E49" s="239">
        <v>1.25</v>
      </c>
      <c r="F49" s="240">
        <v>0.25</v>
      </c>
      <c r="G49" s="240">
        <v>-0.25</v>
      </c>
      <c r="H49" s="239">
        <v>-0.75</v>
      </c>
      <c r="I49" s="240">
        <v>-1</v>
      </c>
      <c r="J49" s="239">
        <v>-0.75</v>
      </c>
      <c r="K49" s="239">
        <v>0</v>
      </c>
      <c r="L49" s="239">
        <v>1.2</v>
      </c>
      <c r="M49" s="240">
        <v>2.4</v>
      </c>
      <c r="N49" s="240">
        <v>2.9</v>
      </c>
      <c r="O49" s="239">
        <v>3.65</v>
      </c>
      <c r="P49" s="240">
        <v>4.4000000000000004</v>
      </c>
      <c r="Q49" s="239">
        <v>4.9000000000000004</v>
      </c>
      <c r="R49" s="240">
        <v>6.1</v>
      </c>
      <c r="S49" s="241">
        <v>7.3</v>
      </c>
      <c r="T49" s="242">
        <v>12</v>
      </c>
      <c r="U49" s="237">
        <v>44</v>
      </c>
    </row>
    <row r="50" spans="1:21" x14ac:dyDescent="0.2">
      <c r="A50" s="216">
        <v>37347</v>
      </c>
      <c r="B50" s="236">
        <v>4</v>
      </c>
      <c r="C50" s="237">
        <v>3</v>
      </c>
      <c r="D50" s="238">
        <v>1.5</v>
      </c>
      <c r="E50" s="239">
        <v>0.5</v>
      </c>
      <c r="F50" s="240">
        <v>0.1</v>
      </c>
      <c r="G50" s="240">
        <v>-0.25</v>
      </c>
      <c r="H50" s="239">
        <v>-0.5</v>
      </c>
      <c r="I50" s="240">
        <v>-0.85</v>
      </c>
      <c r="J50" s="239">
        <v>-0.65</v>
      </c>
      <c r="K50" s="239">
        <v>0</v>
      </c>
      <c r="L50" s="239">
        <v>0.9</v>
      </c>
      <c r="M50" s="240">
        <v>1.5</v>
      </c>
      <c r="N50" s="240">
        <v>2.25</v>
      </c>
      <c r="O50" s="239">
        <v>2.5</v>
      </c>
      <c r="P50" s="240">
        <v>3.35</v>
      </c>
      <c r="Q50" s="239">
        <v>3.5</v>
      </c>
      <c r="R50" s="240">
        <v>4.5</v>
      </c>
      <c r="S50" s="241">
        <v>5.25</v>
      </c>
      <c r="T50" s="242">
        <v>8.1999999999999993</v>
      </c>
      <c r="U50" s="237">
        <v>29</v>
      </c>
    </row>
    <row r="51" spans="1:21" x14ac:dyDescent="0.2">
      <c r="A51" s="216">
        <v>37377</v>
      </c>
      <c r="B51" s="243">
        <v>3</v>
      </c>
      <c r="C51" s="244">
        <v>2</v>
      </c>
      <c r="D51" s="238">
        <v>1</v>
      </c>
      <c r="E51" s="239">
        <v>0.75</v>
      </c>
      <c r="F51" s="240">
        <v>0.25</v>
      </c>
      <c r="G51" s="240">
        <v>0</v>
      </c>
      <c r="H51" s="245">
        <v>-0.4</v>
      </c>
      <c r="I51" s="240">
        <v>-0.6</v>
      </c>
      <c r="J51" s="245">
        <v>-0.6</v>
      </c>
      <c r="K51" s="245">
        <v>0</v>
      </c>
      <c r="L51" s="245">
        <v>0.8</v>
      </c>
      <c r="M51" s="240">
        <v>1.25</v>
      </c>
      <c r="N51" s="240">
        <v>1.75</v>
      </c>
      <c r="O51" s="245">
        <v>2.25</v>
      </c>
      <c r="P51" s="240">
        <v>2.85</v>
      </c>
      <c r="Q51" s="245">
        <v>3.25</v>
      </c>
      <c r="R51" s="240">
        <v>4.25</v>
      </c>
      <c r="S51" s="246">
        <v>5</v>
      </c>
      <c r="T51" s="247">
        <v>8.1999999999999993</v>
      </c>
      <c r="U51" s="244">
        <v>29</v>
      </c>
    </row>
    <row r="52" spans="1:21" x14ac:dyDescent="0.2">
      <c r="A52" s="216">
        <v>37408</v>
      </c>
      <c r="B52" s="243">
        <v>3</v>
      </c>
      <c r="C52" s="244">
        <v>2</v>
      </c>
      <c r="D52" s="238">
        <v>1</v>
      </c>
      <c r="E52" s="239">
        <v>0.75</v>
      </c>
      <c r="F52" s="240">
        <v>0.25</v>
      </c>
      <c r="G52" s="240">
        <v>0</v>
      </c>
      <c r="H52" s="245">
        <v>-0.4</v>
      </c>
      <c r="I52" s="240">
        <v>-0.6</v>
      </c>
      <c r="J52" s="245">
        <v>-0.6</v>
      </c>
      <c r="K52" s="245">
        <v>0</v>
      </c>
      <c r="L52" s="245">
        <v>0.8</v>
      </c>
      <c r="M52" s="240">
        <v>1.25</v>
      </c>
      <c r="N52" s="240">
        <v>1.75</v>
      </c>
      <c r="O52" s="245">
        <v>2.25</v>
      </c>
      <c r="P52" s="240">
        <v>2.85</v>
      </c>
      <c r="Q52" s="245">
        <v>3.25</v>
      </c>
      <c r="R52" s="240">
        <v>4.25</v>
      </c>
      <c r="S52" s="246">
        <v>5</v>
      </c>
      <c r="T52" s="247">
        <v>8.1999999999999993</v>
      </c>
      <c r="U52" s="244">
        <v>29</v>
      </c>
    </row>
    <row r="53" spans="1:21" x14ac:dyDescent="0.2">
      <c r="A53" s="216">
        <v>37438</v>
      </c>
      <c r="B53" s="243">
        <v>3</v>
      </c>
      <c r="C53" s="244">
        <v>2</v>
      </c>
      <c r="D53" s="238">
        <v>1</v>
      </c>
      <c r="E53" s="239">
        <v>0.75</v>
      </c>
      <c r="F53" s="240">
        <v>0.25</v>
      </c>
      <c r="G53" s="240">
        <v>0</v>
      </c>
      <c r="H53" s="245">
        <v>-0.4</v>
      </c>
      <c r="I53" s="240">
        <v>-0.6</v>
      </c>
      <c r="J53" s="245">
        <v>-0.6</v>
      </c>
      <c r="K53" s="245">
        <v>0</v>
      </c>
      <c r="L53" s="245">
        <v>0.8</v>
      </c>
      <c r="M53" s="240">
        <v>1.25</v>
      </c>
      <c r="N53" s="240">
        <v>1.75</v>
      </c>
      <c r="O53" s="245">
        <v>2.25</v>
      </c>
      <c r="P53" s="240">
        <v>2.85</v>
      </c>
      <c r="Q53" s="245">
        <v>3.25</v>
      </c>
      <c r="R53" s="240">
        <v>4.25</v>
      </c>
      <c r="S53" s="246">
        <v>5</v>
      </c>
      <c r="T53" s="247">
        <v>8.1999999999999993</v>
      </c>
      <c r="U53" s="244">
        <v>29</v>
      </c>
    </row>
    <row r="54" spans="1:21" x14ac:dyDescent="0.2">
      <c r="A54" s="216">
        <v>37469</v>
      </c>
      <c r="B54" s="243">
        <v>3</v>
      </c>
      <c r="C54" s="244">
        <v>2</v>
      </c>
      <c r="D54" s="238">
        <v>1</v>
      </c>
      <c r="E54" s="239">
        <v>0.75</v>
      </c>
      <c r="F54" s="240">
        <v>0.25</v>
      </c>
      <c r="G54" s="240">
        <v>0</v>
      </c>
      <c r="H54" s="245">
        <v>-0.4</v>
      </c>
      <c r="I54" s="240">
        <v>-0.6</v>
      </c>
      <c r="J54" s="245">
        <v>-0.6</v>
      </c>
      <c r="K54" s="245">
        <v>0</v>
      </c>
      <c r="L54" s="245">
        <v>0.8</v>
      </c>
      <c r="M54" s="240">
        <v>1.25</v>
      </c>
      <c r="N54" s="240">
        <v>1.75</v>
      </c>
      <c r="O54" s="245">
        <v>2.25</v>
      </c>
      <c r="P54" s="240">
        <v>2.85</v>
      </c>
      <c r="Q54" s="245">
        <v>3.25</v>
      </c>
      <c r="R54" s="240">
        <v>4.25</v>
      </c>
      <c r="S54" s="246">
        <v>5</v>
      </c>
      <c r="T54" s="248">
        <v>8.1999999999999993</v>
      </c>
      <c r="U54" s="249">
        <v>29</v>
      </c>
    </row>
    <row r="55" spans="1:21" x14ac:dyDescent="0.2">
      <c r="A55" s="216">
        <v>37500</v>
      </c>
      <c r="B55" s="243">
        <v>3</v>
      </c>
      <c r="C55" s="244">
        <v>2</v>
      </c>
      <c r="D55" s="238">
        <v>1</v>
      </c>
      <c r="E55" s="239">
        <v>0.75</v>
      </c>
      <c r="F55" s="240">
        <v>0.25</v>
      </c>
      <c r="G55" s="240">
        <v>0</v>
      </c>
      <c r="H55" s="245">
        <v>-0.4</v>
      </c>
      <c r="I55" s="240">
        <v>-0.6</v>
      </c>
      <c r="J55" s="245">
        <v>-0.6</v>
      </c>
      <c r="K55" s="245">
        <v>0</v>
      </c>
      <c r="L55" s="245">
        <v>0.8</v>
      </c>
      <c r="M55" s="240">
        <v>1.25</v>
      </c>
      <c r="N55" s="240">
        <v>1.75</v>
      </c>
      <c r="O55" s="245">
        <v>2.25</v>
      </c>
      <c r="P55" s="240">
        <v>2.85</v>
      </c>
      <c r="Q55" s="245">
        <v>3.25</v>
      </c>
      <c r="R55" s="240">
        <v>4.25</v>
      </c>
      <c r="S55" s="246">
        <v>5</v>
      </c>
      <c r="T55" s="247">
        <v>8.1999999999999993</v>
      </c>
      <c r="U55" s="244">
        <v>29</v>
      </c>
    </row>
    <row r="56" spans="1:21" x14ac:dyDescent="0.2">
      <c r="A56" s="216">
        <v>37530</v>
      </c>
      <c r="B56" s="243">
        <v>3</v>
      </c>
      <c r="C56" s="244">
        <v>2</v>
      </c>
      <c r="D56" s="238">
        <v>1</v>
      </c>
      <c r="E56" s="239">
        <v>0.75</v>
      </c>
      <c r="F56" s="240">
        <v>0.25</v>
      </c>
      <c r="G56" s="240">
        <v>0</v>
      </c>
      <c r="H56" s="245">
        <v>-0.4</v>
      </c>
      <c r="I56" s="240">
        <v>-0.6</v>
      </c>
      <c r="J56" s="245">
        <v>-0.6</v>
      </c>
      <c r="K56" s="245">
        <v>0</v>
      </c>
      <c r="L56" s="245">
        <v>0.8</v>
      </c>
      <c r="M56" s="240">
        <v>1.25</v>
      </c>
      <c r="N56" s="240">
        <v>1.75</v>
      </c>
      <c r="O56" s="245">
        <v>2.25</v>
      </c>
      <c r="P56" s="240">
        <v>2.85</v>
      </c>
      <c r="Q56" s="245">
        <v>3.25</v>
      </c>
      <c r="R56" s="240">
        <v>4.25</v>
      </c>
      <c r="S56" s="246">
        <v>5</v>
      </c>
      <c r="T56" s="247">
        <v>8.1999999999999993</v>
      </c>
      <c r="U56" s="244">
        <v>29</v>
      </c>
    </row>
    <row r="57" spans="1:21" x14ac:dyDescent="0.2">
      <c r="A57" s="216">
        <v>37561</v>
      </c>
      <c r="B57" s="243">
        <v>3</v>
      </c>
      <c r="C57" s="244">
        <v>2</v>
      </c>
      <c r="D57" s="238">
        <v>1</v>
      </c>
      <c r="E57" s="239">
        <v>0.75</v>
      </c>
      <c r="F57" s="240">
        <v>0.25</v>
      </c>
      <c r="G57" s="240">
        <v>0</v>
      </c>
      <c r="H57" s="245">
        <v>-0.4</v>
      </c>
      <c r="I57" s="240">
        <v>-0.6</v>
      </c>
      <c r="J57" s="245">
        <v>-0.6</v>
      </c>
      <c r="K57" s="245">
        <v>0</v>
      </c>
      <c r="L57" s="245">
        <v>0.8</v>
      </c>
      <c r="M57" s="240">
        <v>1.25</v>
      </c>
      <c r="N57" s="240">
        <v>1.75</v>
      </c>
      <c r="O57" s="245">
        <v>2.25</v>
      </c>
      <c r="P57" s="240">
        <v>2.85</v>
      </c>
      <c r="Q57" s="245">
        <v>3.25</v>
      </c>
      <c r="R57" s="240">
        <v>4.25</v>
      </c>
      <c r="S57" s="246">
        <v>5</v>
      </c>
      <c r="T57" s="247">
        <v>8.1999999999999993</v>
      </c>
      <c r="U57" s="244">
        <v>29</v>
      </c>
    </row>
    <row r="58" spans="1:21" x14ac:dyDescent="0.2">
      <c r="A58" s="216">
        <v>37591</v>
      </c>
      <c r="B58" s="243">
        <v>3</v>
      </c>
      <c r="C58" s="244">
        <v>2</v>
      </c>
      <c r="D58" s="238">
        <v>1</v>
      </c>
      <c r="E58" s="239">
        <v>0.75</v>
      </c>
      <c r="F58" s="240">
        <v>0.25</v>
      </c>
      <c r="G58" s="240">
        <v>0</v>
      </c>
      <c r="H58" s="245">
        <v>-0.4</v>
      </c>
      <c r="I58" s="240">
        <v>-0.6</v>
      </c>
      <c r="J58" s="245">
        <v>-0.6</v>
      </c>
      <c r="K58" s="245">
        <v>0</v>
      </c>
      <c r="L58" s="245">
        <v>0.8</v>
      </c>
      <c r="M58" s="240">
        <v>1.25</v>
      </c>
      <c r="N58" s="240">
        <v>1.75</v>
      </c>
      <c r="O58" s="245">
        <v>2.25</v>
      </c>
      <c r="P58" s="240">
        <v>2.85</v>
      </c>
      <c r="Q58" s="245">
        <v>3.25</v>
      </c>
      <c r="R58" s="240">
        <v>4.25</v>
      </c>
      <c r="S58" s="246">
        <v>5</v>
      </c>
      <c r="T58" s="247">
        <v>8.1999999999999993</v>
      </c>
      <c r="U58" s="244">
        <v>29</v>
      </c>
    </row>
    <row r="59" spans="1:21" x14ac:dyDescent="0.2">
      <c r="A59" s="217">
        <v>37622</v>
      </c>
      <c r="B59" s="250">
        <v>3</v>
      </c>
      <c r="C59" s="251">
        <v>2</v>
      </c>
      <c r="D59" s="252">
        <v>1</v>
      </c>
      <c r="E59" s="253">
        <v>0.75</v>
      </c>
      <c r="F59" s="254">
        <v>0.25</v>
      </c>
      <c r="G59" s="254">
        <v>0</v>
      </c>
      <c r="H59" s="253">
        <v>-0.4</v>
      </c>
      <c r="I59" s="254">
        <v>-0.6</v>
      </c>
      <c r="J59" s="253">
        <v>-0.6</v>
      </c>
      <c r="K59" s="253">
        <v>0</v>
      </c>
      <c r="L59" s="253">
        <v>0.8</v>
      </c>
      <c r="M59" s="254">
        <v>1.25</v>
      </c>
      <c r="N59" s="254">
        <v>1.75</v>
      </c>
      <c r="O59" s="253">
        <v>2.25</v>
      </c>
      <c r="P59" s="254">
        <v>2.85</v>
      </c>
      <c r="Q59" s="253">
        <v>3.25</v>
      </c>
      <c r="R59" s="254">
        <v>4.25</v>
      </c>
      <c r="S59" s="251">
        <v>5</v>
      </c>
      <c r="T59" s="255">
        <v>8.1999999999999993</v>
      </c>
      <c r="U59" s="256">
        <v>29</v>
      </c>
    </row>
    <row r="60" spans="1:21" x14ac:dyDescent="0.2">
      <c r="A60" s="217">
        <v>37653</v>
      </c>
      <c r="B60" s="250">
        <v>3</v>
      </c>
      <c r="C60" s="251">
        <v>2</v>
      </c>
      <c r="D60" s="252">
        <v>1</v>
      </c>
      <c r="E60" s="253">
        <v>0.75</v>
      </c>
      <c r="F60" s="254">
        <v>0.25</v>
      </c>
      <c r="G60" s="254">
        <v>0</v>
      </c>
      <c r="H60" s="253">
        <v>-0.4</v>
      </c>
      <c r="I60" s="254">
        <v>-0.6</v>
      </c>
      <c r="J60" s="253">
        <v>-0.6</v>
      </c>
      <c r="K60" s="253">
        <v>0</v>
      </c>
      <c r="L60" s="253">
        <v>0.8</v>
      </c>
      <c r="M60" s="254">
        <v>1.25</v>
      </c>
      <c r="N60" s="254">
        <v>1.75</v>
      </c>
      <c r="O60" s="253">
        <v>2.25</v>
      </c>
      <c r="P60" s="254">
        <v>2.85</v>
      </c>
      <c r="Q60" s="253">
        <v>3.25</v>
      </c>
      <c r="R60" s="254">
        <v>4.25</v>
      </c>
      <c r="S60" s="251">
        <v>5</v>
      </c>
      <c r="T60" s="255">
        <v>8.1999999999999993</v>
      </c>
      <c r="U60" s="256">
        <v>29</v>
      </c>
    </row>
    <row r="61" spans="1:21" x14ac:dyDescent="0.2">
      <c r="A61" s="217">
        <v>37681</v>
      </c>
      <c r="B61" s="250">
        <v>3</v>
      </c>
      <c r="C61" s="251">
        <v>2</v>
      </c>
      <c r="D61" s="252">
        <v>1</v>
      </c>
      <c r="E61" s="253">
        <v>0.75</v>
      </c>
      <c r="F61" s="254">
        <v>0.25</v>
      </c>
      <c r="G61" s="254">
        <v>0</v>
      </c>
      <c r="H61" s="253">
        <v>-0.4</v>
      </c>
      <c r="I61" s="254">
        <v>-0.6</v>
      </c>
      <c r="J61" s="253">
        <v>-0.6</v>
      </c>
      <c r="K61" s="253">
        <v>0</v>
      </c>
      <c r="L61" s="253">
        <v>0.8</v>
      </c>
      <c r="M61" s="254">
        <v>1.25</v>
      </c>
      <c r="N61" s="254">
        <v>1.75</v>
      </c>
      <c r="O61" s="253">
        <v>2.25</v>
      </c>
      <c r="P61" s="254">
        <v>2.85</v>
      </c>
      <c r="Q61" s="253">
        <v>3.25</v>
      </c>
      <c r="R61" s="254">
        <v>4.25</v>
      </c>
      <c r="S61" s="251">
        <v>5</v>
      </c>
      <c r="T61" s="255">
        <v>8.1999999999999993</v>
      </c>
      <c r="U61" s="256">
        <v>29</v>
      </c>
    </row>
    <row r="62" spans="1:21" x14ac:dyDescent="0.2">
      <c r="A62" s="217">
        <v>37712</v>
      </c>
      <c r="B62" s="250">
        <v>3</v>
      </c>
      <c r="C62" s="251">
        <v>2</v>
      </c>
      <c r="D62" s="252">
        <v>0.75</v>
      </c>
      <c r="E62" s="253">
        <v>0.5</v>
      </c>
      <c r="F62" s="254">
        <v>0.25</v>
      </c>
      <c r="G62" s="254">
        <v>0</v>
      </c>
      <c r="H62" s="253">
        <v>-0.35</v>
      </c>
      <c r="I62" s="254">
        <v>-0.5</v>
      </c>
      <c r="J62" s="253">
        <v>-0.55000000000000004</v>
      </c>
      <c r="K62" s="253">
        <v>0</v>
      </c>
      <c r="L62" s="253">
        <v>0.8</v>
      </c>
      <c r="M62" s="254">
        <v>1.25</v>
      </c>
      <c r="N62" s="254">
        <v>1.75</v>
      </c>
      <c r="O62" s="253">
        <v>2.25</v>
      </c>
      <c r="P62" s="254">
        <v>2.85</v>
      </c>
      <c r="Q62" s="253">
        <v>3.25</v>
      </c>
      <c r="R62" s="254">
        <v>4.25</v>
      </c>
      <c r="S62" s="251">
        <v>5</v>
      </c>
      <c r="T62" s="255">
        <v>8.1999999999999993</v>
      </c>
      <c r="U62" s="256">
        <v>29</v>
      </c>
    </row>
    <row r="63" spans="1:21" x14ac:dyDescent="0.2">
      <c r="A63" s="217">
        <v>37742</v>
      </c>
      <c r="B63" s="250">
        <v>3</v>
      </c>
      <c r="C63" s="251">
        <v>2</v>
      </c>
      <c r="D63" s="252">
        <v>0.75</v>
      </c>
      <c r="E63" s="253">
        <v>0.5</v>
      </c>
      <c r="F63" s="254">
        <v>0.25</v>
      </c>
      <c r="G63" s="254">
        <v>0</v>
      </c>
      <c r="H63" s="253">
        <v>-0.35</v>
      </c>
      <c r="I63" s="254">
        <v>-0.5</v>
      </c>
      <c r="J63" s="253">
        <v>-0.55000000000000004</v>
      </c>
      <c r="K63" s="253">
        <v>0</v>
      </c>
      <c r="L63" s="253">
        <v>0.8</v>
      </c>
      <c r="M63" s="254">
        <v>1.25</v>
      </c>
      <c r="N63" s="254">
        <v>1.75</v>
      </c>
      <c r="O63" s="253">
        <v>2.25</v>
      </c>
      <c r="P63" s="254">
        <v>2.85</v>
      </c>
      <c r="Q63" s="253">
        <v>3.25</v>
      </c>
      <c r="R63" s="254">
        <v>4.25</v>
      </c>
      <c r="S63" s="251">
        <v>5</v>
      </c>
      <c r="T63" s="255">
        <v>8.1999999999999993</v>
      </c>
      <c r="U63" s="256">
        <v>29</v>
      </c>
    </row>
    <row r="64" spans="1:21" x14ac:dyDescent="0.2">
      <c r="A64" s="217">
        <v>37773</v>
      </c>
      <c r="B64" s="250">
        <v>3</v>
      </c>
      <c r="C64" s="251">
        <v>2</v>
      </c>
      <c r="D64" s="252">
        <v>0.75</v>
      </c>
      <c r="E64" s="253">
        <v>0.5</v>
      </c>
      <c r="F64" s="254">
        <v>0.25</v>
      </c>
      <c r="G64" s="254">
        <v>0</v>
      </c>
      <c r="H64" s="253">
        <v>-0.35</v>
      </c>
      <c r="I64" s="254">
        <v>-0.5</v>
      </c>
      <c r="J64" s="253">
        <v>-0.55000000000000004</v>
      </c>
      <c r="K64" s="253">
        <v>0</v>
      </c>
      <c r="L64" s="253">
        <v>0.8</v>
      </c>
      <c r="M64" s="254">
        <v>1.25</v>
      </c>
      <c r="N64" s="254">
        <v>1.75</v>
      </c>
      <c r="O64" s="253">
        <v>2.25</v>
      </c>
      <c r="P64" s="254">
        <v>2.85</v>
      </c>
      <c r="Q64" s="253">
        <v>3.25</v>
      </c>
      <c r="R64" s="254">
        <v>4.25</v>
      </c>
      <c r="S64" s="251">
        <v>5</v>
      </c>
      <c r="T64" s="255">
        <v>8.1999999999999993</v>
      </c>
      <c r="U64" s="256">
        <v>29</v>
      </c>
    </row>
    <row r="65" spans="1:21" x14ac:dyDescent="0.2">
      <c r="A65" s="217">
        <v>37803</v>
      </c>
      <c r="B65" s="250">
        <v>3</v>
      </c>
      <c r="C65" s="251">
        <v>2</v>
      </c>
      <c r="D65" s="252">
        <v>0.75</v>
      </c>
      <c r="E65" s="253">
        <v>0.5</v>
      </c>
      <c r="F65" s="254">
        <v>0.25</v>
      </c>
      <c r="G65" s="254">
        <v>0</v>
      </c>
      <c r="H65" s="253">
        <v>-0.35</v>
      </c>
      <c r="I65" s="254">
        <v>-0.5</v>
      </c>
      <c r="J65" s="253">
        <v>-0.55000000000000004</v>
      </c>
      <c r="K65" s="253">
        <v>0</v>
      </c>
      <c r="L65" s="253">
        <v>0.8</v>
      </c>
      <c r="M65" s="254">
        <v>1.25</v>
      </c>
      <c r="N65" s="254">
        <v>1.75</v>
      </c>
      <c r="O65" s="253">
        <v>2.25</v>
      </c>
      <c r="P65" s="254">
        <v>2.85</v>
      </c>
      <c r="Q65" s="253">
        <v>3.25</v>
      </c>
      <c r="R65" s="254">
        <v>4.25</v>
      </c>
      <c r="S65" s="251">
        <v>5</v>
      </c>
      <c r="T65" s="255">
        <v>8.1999999999999993</v>
      </c>
      <c r="U65" s="256">
        <v>29</v>
      </c>
    </row>
    <row r="66" spans="1:21" x14ac:dyDescent="0.2">
      <c r="A66" s="217">
        <v>37834</v>
      </c>
      <c r="B66" s="250">
        <v>3</v>
      </c>
      <c r="C66" s="251">
        <v>2</v>
      </c>
      <c r="D66" s="252">
        <v>0.75</v>
      </c>
      <c r="E66" s="253">
        <v>0.5</v>
      </c>
      <c r="F66" s="254">
        <v>0.25</v>
      </c>
      <c r="G66" s="254">
        <v>0</v>
      </c>
      <c r="H66" s="253">
        <v>-0.35</v>
      </c>
      <c r="I66" s="254">
        <v>-0.5</v>
      </c>
      <c r="J66" s="253">
        <v>-0.55000000000000004</v>
      </c>
      <c r="K66" s="253">
        <v>0</v>
      </c>
      <c r="L66" s="253">
        <v>0.8</v>
      </c>
      <c r="M66" s="254">
        <v>1.25</v>
      </c>
      <c r="N66" s="254">
        <v>1.75</v>
      </c>
      <c r="O66" s="253">
        <v>2.25</v>
      </c>
      <c r="P66" s="254">
        <v>2.85</v>
      </c>
      <c r="Q66" s="253">
        <v>3.25</v>
      </c>
      <c r="R66" s="254">
        <v>4.25</v>
      </c>
      <c r="S66" s="251">
        <v>5</v>
      </c>
      <c r="T66" s="255">
        <v>8.1999999999999993</v>
      </c>
      <c r="U66" s="256">
        <v>29</v>
      </c>
    </row>
    <row r="67" spans="1:21" x14ac:dyDescent="0.2">
      <c r="A67" s="217">
        <v>37865</v>
      </c>
      <c r="B67" s="250">
        <v>3</v>
      </c>
      <c r="C67" s="251">
        <v>2</v>
      </c>
      <c r="D67" s="252">
        <v>0.75</v>
      </c>
      <c r="E67" s="253">
        <v>0.5</v>
      </c>
      <c r="F67" s="254">
        <v>0.25</v>
      </c>
      <c r="G67" s="254">
        <v>0</v>
      </c>
      <c r="H67" s="253">
        <v>-0.35</v>
      </c>
      <c r="I67" s="254">
        <v>-0.5</v>
      </c>
      <c r="J67" s="253">
        <v>-0.55000000000000004</v>
      </c>
      <c r="K67" s="253">
        <v>0</v>
      </c>
      <c r="L67" s="253">
        <v>0.8</v>
      </c>
      <c r="M67" s="254">
        <v>1.25</v>
      </c>
      <c r="N67" s="254">
        <v>1.75</v>
      </c>
      <c r="O67" s="253">
        <v>2.25</v>
      </c>
      <c r="P67" s="254">
        <v>2.85</v>
      </c>
      <c r="Q67" s="253">
        <v>3.25</v>
      </c>
      <c r="R67" s="254">
        <v>4.25</v>
      </c>
      <c r="S67" s="251">
        <v>5</v>
      </c>
      <c r="T67" s="255">
        <v>8.1999999999999993</v>
      </c>
      <c r="U67" s="256">
        <v>29</v>
      </c>
    </row>
    <row r="68" spans="1:21" x14ac:dyDescent="0.2">
      <c r="A68" s="217">
        <v>37895</v>
      </c>
      <c r="B68" s="250">
        <v>3</v>
      </c>
      <c r="C68" s="251">
        <v>2</v>
      </c>
      <c r="D68" s="252">
        <v>0.75</v>
      </c>
      <c r="E68" s="253">
        <v>0.5</v>
      </c>
      <c r="F68" s="254">
        <v>0.25</v>
      </c>
      <c r="G68" s="254">
        <v>0</v>
      </c>
      <c r="H68" s="253">
        <v>-0.35</v>
      </c>
      <c r="I68" s="254">
        <v>-0.5</v>
      </c>
      <c r="J68" s="253">
        <v>-0.55000000000000004</v>
      </c>
      <c r="K68" s="253">
        <v>0</v>
      </c>
      <c r="L68" s="253">
        <v>0.8</v>
      </c>
      <c r="M68" s="254">
        <v>1.25</v>
      </c>
      <c r="N68" s="254">
        <v>1.75</v>
      </c>
      <c r="O68" s="253">
        <v>2.25</v>
      </c>
      <c r="P68" s="254">
        <v>2.85</v>
      </c>
      <c r="Q68" s="253">
        <v>3.25</v>
      </c>
      <c r="R68" s="254">
        <v>4.25</v>
      </c>
      <c r="S68" s="251">
        <v>5</v>
      </c>
      <c r="T68" s="255">
        <v>8.1999999999999993</v>
      </c>
      <c r="U68" s="256">
        <v>29</v>
      </c>
    </row>
    <row r="69" spans="1:21" x14ac:dyDescent="0.2">
      <c r="A69" s="217">
        <v>37926</v>
      </c>
      <c r="B69" s="250">
        <v>3</v>
      </c>
      <c r="C69" s="251">
        <v>2</v>
      </c>
      <c r="D69" s="252">
        <v>0.75</v>
      </c>
      <c r="E69" s="253">
        <v>0.5</v>
      </c>
      <c r="F69" s="254">
        <v>0.25</v>
      </c>
      <c r="G69" s="254">
        <v>0</v>
      </c>
      <c r="H69" s="253">
        <v>-0.35</v>
      </c>
      <c r="I69" s="254">
        <v>-0.5</v>
      </c>
      <c r="J69" s="253">
        <v>-0.55000000000000004</v>
      </c>
      <c r="K69" s="253">
        <v>0</v>
      </c>
      <c r="L69" s="253">
        <v>0.8</v>
      </c>
      <c r="M69" s="254">
        <v>1.25</v>
      </c>
      <c r="N69" s="254">
        <v>1.75</v>
      </c>
      <c r="O69" s="253">
        <v>2.25</v>
      </c>
      <c r="P69" s="254">
        <v>2.85</v>
      </c>
      <c r="Q69" s="253">
        <v>3.25</v>
      </c>
      <c r="R69" s="254">
        <v>4.25</v>
      </c>
      <c r="S69" s="251">
        <v>5</v>
      </c>
      <c r="T69" s="255">
        <v>8.1999999999999993</v>
      </c>
      <c r="U69" s="256">
        <v>29</v>
      </c>
    </row>
    <row r="70" spans="1:21" x14ac:dyDescent="0.2">
      <c r="A70" s="217">
        <v>37956</v>
      </c>
      <c r="B70" s="250">
        <v>3</v>
      </c>
      <c r="C70" s="251">
        <v>2</v>
      </c>
      <c r="D70" s="252">
        <v>0.75</v>
      </c>
      <c r="E70" s="253">
        <v>0.5</v>
      </c>
      <c r="F70" s="254">
        <v>0.25</v>
      </c>
      <c r="G70" s="254">
        <v>0</v>
      </c>
      <c r="H70" s="253">
        <v>-0.35</v>
      </c>
      <c r="I70" s="254">
        <v>-0.5</v>
      </c>
      <c r="J70" s="253">
        <v>-0.55000000000000004</v>
      </c>
      <c r="K70" s="253">
        <v>0</v>
      </c>
      <c r="L70" s="253">
        <v>0.8</v>
      </c>
      <c r="M70" s="254">
        <v>1.25</v>
      </c>
      <c r="N70" s="254">
        <v>1.75</v>
      </c>
      <c r="O70" s="253">
        <v>2.25</v>
      </c>
      <c r="P70" s="254">
        <v>2.85</v>
      </c>
      <c r="Q70" s="253">
        <v>3.25</v>
      </c>
      <c r="R70" s="254">
        <v>4.25</v>
      </c>
      <c r="S70" s="251">
        <v>5</v>
      </c>
      <c r="T70" s="255">
        <v>8.1999999999999993</v>
      </c>
      <c r="U70" s="256">
        <v>29</v>
      </c>
    </row>
    <row r="71" spans="1:21" x14ac:dyDescent="0.2">
      <c r="A71" s="217">
        <v>37987</v>
      </c>
      <c r="B71" s="250">
        <v>3</v>
      </c>
      <c r="C71" s="251">
        <v>2</v>
      </c>
      <c r="D71" s="252">
        <v>0.75</v>
      </c>
      <c r="E71" s="253">
        <v>0.5</v>
      </c>
      <c r="F71" s="254">
        <v>0.25</v>
      </c>
      <c r="G71" s="254">
        <v>0</v>
      </c>
      <c r="H71" s="253">
        <v>-0.35</v>
      </c>
      <c r="I71" s="254">
        <v>-0.5</v>
      </c>
      <c r="J71" s="253">
        <v>-0.55000000000000004</v>
      </c>
      <c r="K71" s="253">
        <v>0</v>
      </c>
      <c r="L71" s="253">
        <v>0.8</v>
      </c>
      <c r="M71" s="254">
        <v>1.25</v>
      </c>
      <c r="N71" s="254">
        <v>1.75</v>
      </c>
      <c r="O71" s="253">
        <v>2.25</v>
      </c>
      <c r="P71" s="254">
        <v>2.85</v>
      </c>
      <c r="Q71" s="253">
        <v>3.25</v>
      </c>
      <c r="R71" s="254">
        <v>4.25</v>
      </c>
      <c r="S71" s="251">
        <v>5</v>
      </c>
      <c r="T71" s="255">
        <v>8.1999999999999993</v>
      </c>
      <c r="U71" s="256">
        <v>29</v>
      </c>
    </row>
    <row r="72" spans="1:21" x14ac:dyDescent="0.2">
      <c r="A72" s="217">
        <v>38018</v>
      </c>
      <c r="B72" s="250">
        <v>3</v>
      </c>
      <c r="C72" s="251">
        <v>2</v>
      </c>
      <c r="D72" s="252">
        <v>0.75</v>
      </c>
      <c r="E72" s="253">
        <v>0.5</v>
      </c>
      <c r="F72" s="254">
        <v>0.25</v>
      </c>
      <c r="G72" s="254">
        <v>0</v>
      </c>
      <c r="H72" s="253">
        <v>-0.35</v>
      </c>
      <c r="I72" s="254">
        <v>-0.5</v>
      </c>
      <c r="J72" s="253">
        <v>-0.55000000000000004</v>
      </c>
      <c r="K72" s="253">
        <v>0</v>
      </c>
      <c r="L72" s="253">
        <v>0.8</v>
      </c>
      <c r="M72" s="254">
        <v>1.25</v>
      </c>
      <c r="N72" s="254">
        <v>1.75</v>
      </c>
      <c r="O72" s="253">
        <v>2.25</v>
      </c>
      <c r="P72" s="254">
        <v>2.85</v>
      </c>
      <c r="Q72" s="253">
        <v>3.25</v>
      </c>
      <c r="R72" s="254">
        <v>4.25</v>
      </c>
      <c r="S72" s="251">
        <v>5</v>
      </c>
      <c r="T72" s="255">
        <v>8.1999999999999993</v>
      </c>
      <c r="U72" s="256">
        <v>29</v>
      </c>
    </row>
    <row r="73" spans="1:21" x14ac:dyDescent="0.2">
      <c r="A73" s="217">
        <v>38047</v>
      </c>
      <c r="B73" s="250">
        <v>3</v>
      </c>
      <c r="C73" s="251">
        <v>2</v>
      </c>
      <c r="D73" s="252">
        <v>0.75</v>
      </c>
      <c r="E73" s="253">
        <v>0.5</v>
      </c>
      <c r="F73" s="254">
        <v>0.25</v>
      </c>
      <c r="G73" s="254">
        <v>0</v>
      </c>
      <c r="H73" s="253">
        <v>-0.35</v>
      </c>
      <c r="I73" s="254">
        <v>-0.5</v>
      </c>
      <c r="J73" s="253">
        <v>-0.55000000000000004</v>
      </c>
      <c r="K73" s="253">
        <v>0</v>
      </c>
      <c r="L73" s="253">
        <v>0.8</v>
      </c>
      <c r="M73" s="254">
        <v>1.25</v>
      </c>
      <c r="N73" s="254">
        <v>1.75</v>
      </c>
      <c r="O73" s="253">
        <v>2.25</v>
      </c>
      <c r="P73" s="254">
        <v>2.85</v>
      </c>
      <c r="Q73" s="253">
        <v>3.25</v>
      </c>
      <c r="R73" s="254">
        <v>4.25</v>
      </c>
      <c r="S73" s="251">
        <v>5</v>
      </c>
      <c r="T73" s="255">
        <v>8.1999999999999993</v>
      </c>
      <c r="U73" s="256">
        <v>29</v>
      </c>
    </row>
    <row r="74" spans="1:21" x14ac:dyDescent="0.2">
      <c r="A74" s="217">
        <v>38078</v>
      </c>
      <c r="B74" s="250">
        <v>3</v>
      </c>
      <c r="C74" s="251">
        <v>2</v>
      </c>
      <c r="D74" s="252">
        <v>0.75</v>
      </c>
      <c r="E74" s="253">
        <v>0.5</v>
      </c>
      <c r="F74" s="254">
        <v>0.25</v>
      </c>
      <c r="G74" s="254">
        <v>0</v>
      </c>
      <c r="H74" s="253">
        <v>-0.3</v>
      </c>
      <c r="I74" s="254">
        <v>-0.5</v>
      </c>
      <c r="J74" s="253">
        <v>-0.55000000000000004</v>
      </c>
      <c r="K74" s="253">
        <v>0</v>
      </c>
      <c r="L74" s="253">
        <v>0.8</v>
      </c>
      <c r="M74" s="254">
        <v>1.25</v>
      </c>
      <c r="N74" s="254">
        <v>1.75</v>
      </c>
      <c r="O74" s="253">
        <v>2.25</v>
      </c>
      <c r="P74" s="254">
        <v>2.85</v>
      </c>
      <c r="Q74" s="253">
        <v>3.25</v>
      </c>
      <c r="R74" s="254">
        <v>4.25</v>
      </c>
      <c r="S74" s="251">
        <v>5</v>
      </c>
      <c r="T74" s="255">
        <v>8.1999999999999993</v>
      </c>
      <c r="U74" s="256">
        <v>29</v>
      </c>
    </row>
    <row r="75" spans="1:21" x14ac:dyDescent="0.2">
      <c r="A75" s="217">
        <v>38108</v>
      </c>
      <c r="B75" s="250">
        <v>3</v>
      </c>
      <c r="C75" s="251">
        <v>2</v>
      </c>
      <c r="D75" s="252">
        <v>0.75</v>
      </c>
      <c r="E75" s="253">
        <v>0.5</v>
      </c>
      <c r="F75" s="254">
        <v>0.25</v>
      </c>
      <c r="G75" s="254">
        <v>0</v>
      </c>
      <c r="H75" s="253">
        <v>-0.3</v>
      </c>
      <c r="I75" s="254">
        <v>-0.5</v>
      </c>
      <c r="J75" s="253">
        <v>-0.55000000000000004</v>
      </c>
      <c r="K75" s="253">
        <v>0</v>
      </c>
      <c r="L75" s="253">
        <v>0.8</v>
      </c>
      <c r="M75" s="254">
        <v>1.25</v>
      </c>
      <c r="N75" s="254">
        <v>1.75</v>
      </c>
      <c r="O75" s="253">
        <v>2.25</v>
      </c>
      <c r="P75" s="254">
        <v>2.85</v>
      </c>
      <c r="Q75" s="253">
        <v>3.25</v>
      </c>
      <c r="R75" s="254">
        <v>4.25</v>
      </c>
      <c r="S75" s="251">
        <v>5</v>
      </c>
      <c r="T75" s="255">
        <v>8.1999999999999993</v>
      </c>
      <c r="U75" s="256">
        <v>29</v>
      </c>
    </row>
    <row r="76" spans="1:21" x14ac:dyDescent="0.2">
      <c r="A76" s="217">
        <v>38139</v>
      </c>
      <c r="B76" s="250">
        <v>3</v>
      </c>
      <c r="C76" s="251">
        <v>2</v>
      </c>
      <c r="D76" s="252">
        <v>0.75</v>
      </c>
      <c r="E76" s="253">
        <v>0.5</v>
      </c>
      <c r="F76" s="254">
        <v>0.25</v>
      </c>
      <c r="G76" s="254">
        <v>0</v>
      </c>
      <c r="H76" s="253">
        <v>-0.3</v>
      </c>
      <c r="I76" s="254">
        <v>-0.5</v>
      </c>
      <c r="J76" s="253">
        <v>-0.55000000000000004</v>
      </c>
      <c r="K76" s="253">
        <v>0</v>
      </c>
      <c r="L76" s="253">
        <v>0.8</v>
      </c>
      <c r="M76" s="254">
        <v>1.25</v>
      </c>
      <c r="N76" s="254">
        <v>1.75</v>
      </c>
      <c r="O76" s="253">
        <v>2.25</v>
      </c>
      <c r="P76" s="254">
        <v>2.85</v>
      </c>
      <c r="Q76" s="253">
        <v>3.25</v>
      </c>
      <c r="R76" s="254">
        <v>4.25</v>
      </c>
      <c r="S76" s="251">
        <v>5</v>
      </c>
      <c r="T76" s="255">
        <v>8.1999999999999993</v>
      </c>
      <c r="U76" s="256">
        <v>29</v>
      </c>
    </row>
    <row r="77" spans="1:21" x14ac:dyDescent="0.2">
      <c r="A77" s="217">
        <v>38169</v>
      </c>
      <c r="B77" s="250">
        <v>3</v>
      </c>
      <c r="C77" s="251">
        <v>2</v>
      </c>
      <c r="D77" s="252">
        <v>0.75</v>
      </c>
      <c r="E77" s="253">
        <v>0.5</v>
      </c>
      <c r="F77" s="254">
        <v>0.25</v>
      </c>
      <c r="G77" s="254">
        <v>0</v>
      </c>
      <c r="H77" s="253">
        <v>-0.3</v>
      </c>
      <c r="I77" s="254">
        <v>-0.5</v>
      </c>
      <c r="J77" s="253">
        <v>-0.55000000000000004</v>
      </c>
      <c r="K77" s="253">
        <v>0</v>
      </c>
      <c r="L77" s="253">
        <v>0.8</v>
      </c>
      <c r="M77" s="254">
        <v>1.25</v>
      </c>
      <c r="N77" s="254">
        <v>1.75</v>
      </c>
      <c r="O77" s="253">
        <v>2.25</v>
      </c>
      <c r="P77" s="254">
        <v>2.85</v>
      </c>
      <c r="Q77" s="253">
        <v>3.25</v>
      </c>
      <c r="R77" s="254">
        <v>4.25</v>
      </c>
      <c r="S77" s="251">
        <v>5</v>
      </c>
      <c r="T77" s="255">
        <v>8.1999999999999993</v>
      </c>
      <c r="U77" s="256">
        <v>29</v>
      </c>
    </row>
    <row r="78" spans="1:21" x14ac:dyDescent="0.2">
      <c r="A78" s="217">
        <v>38200</v>
      </c>
      <c r="B78" s="250">
        <v>3</v>
      </c>
      <c r="C78" s="251">
        <v>2</v>
      </c>
      <c r="D78" s="252">
        <v>0.75</v>
      </c>
      <c r="E78" s="253">
        <v>0.5</v>
      </c>
      <c r="F78" s="254">
        <v>0.25</v>
      </c>
      <c r="G78" s="254">
        <v>0</v>
      </c>
      <c r="H78" s="253">
        <v>-0.3</v>
      </c>
      <c r="I78" s="254">
        <v>-0.5</v>
      </c>
      <c r="J78" s="253">
        <v>-0.55000000000000004</v>
      </c>
      <c r="K78" s="253">
        <v>0</v>
      </c>
      <c r="L78" s="253">
        <v>0.8</v>
      </c>
      <c r="M78" s="254">
        <v>1.25</v>
      </c>
      <c r="N78" s="254">
        <v>1.75</v>
      </c>
      <c r="O78" s="253">
        <v>2.25</v>
      </c>
      <c r="P78" s="254">
        <v>2.85</v>
      </c>
      <c r="Q78" s="253">
        <v>3.25</v>
      </c>
      <c r="R78" s="254">
        <v>4.25</v>
      </c>
      <c r="S78" s="251">
        <v>5</v>
      </c>
      <c r="T78" s="255">
        <v>8.1999999999999993</v>
      </c>
      <c r="U78" s="256">
        <v>29</v>
      </c>
    </row>
    <row r="79" spans="1:21" x14ac:dyDescent="0.2">
      <c r="A79" s="217">
        <v>38231</v>
      </c>
      <c r="B79" s="250">
        <v>3</v>
      </c>
      <c r="C79" s="251">
        <v>2</v>
      </c>
      <c r="D79" s="252">
        <v>0.75</v>
      </c>
      <c r="E79" s="253">
        <v>0.5</v>
      </c>
      <c r="F79" s="254">
        <v>0.25</v>
      </c>
      <c r="G79" s="254">
        <v>0</v>
      </c>
      <c r="H79" s="253">
        <v>-0.3</v>
      </c>
      <c r="I79" s="254">
        <v>-0.5</v>
      </c>
      <c r="J79" s="253">
        <v>-0.55000000000000004</v>
      </c>
      <c r="K79" s="253">
        <v>0</v>
      </c>
      <c r="L79" s="253">
        <v>0.8</v>
      </c>
      <c r="M79" s="254">
        <v>1.25</v>
      </c>
      <c r="N79" s="254">
        <v>1.75</v>
      </c>
      <c r="O79" s="253">
        <v>2.25</v>
      </c>
      <c r="P79" s="254">
        <v>2.85</v>
      </c>
      <c r="Q79" s="253">
        <v>3.25</v>
      </c>
      <c r="R79" s="254">
        <v>4.25</v>
      </c>
      <c r="S79" s="251">
        <v>5</v>
      </c>
      <c r="T79" s="255">
        <v>8.1999999999999993</v>
      </c>
      <c r="U79" s="256">
        <v>29</v>
      </c>
    </row>
    <row r="80" spans="1:21" x14ac:dyDescent="0.2">
      <c r="A80" s="217">
        <v>40513</v>
      </c>
      <c r="B80" s="250">
        <v>3</v>
      </c>
      <c r="C80" s="251">
        <v>2</v>
      </c>
      <c r="D80" s="252">
        <v>0.75</v>
      </c>
      <c r="E80" s="253">
        <v>0.5</v>
      </c>
      <c r="F80" s="254">
        <v>0.25</v>
      </c>
      <c r="G80" s="254">
        <v>0</v>
      </c>
      <c r="H80" s="253">
        <v>-0.3</v>
      </c>
      <c r="I80" s="254">
        <v>-0.5</v>
      </c>
      <c r="J80" s="253">
        <v>-0.55000000000000004</v>
      </c>
      <c r="K80" s="253">
        <v>0</v>
      </c>
      <c r="L80" s="253">
        <v>0.8</v>
      </c>
      <c r="M80" s="254">
        <v>1.25</v>
      </c>
      <c r="N80" s="254">
        <v>1.75</v>
      </c>
      <c r="O80" s="253">
        <v>2.25</v>
      </c>
      <c r="P80" s="254">
        <v>2.85</v>
      </c>
      <c r="Q80" s="253">
        <v>3.25</v>
      </c>
      <c r="R80" s="254">
        <v>4.25</v>
      </c>
      <c r="S80" s="251">
        <v>5</v>
      </c>
      <c r="T80" s="255">
        <v>8.1999999999999993</v>
      </c>
      <c r="U80" s="256">
        <v>29</v>
      </c>
    </row>
    <row r="81" spans="1:21" ht="13.5" thickBot="1" x14ac:dyDescent="0.25">
      <c r="A81" s="218">
        <v>44531</v>
      </c>
      <c r="B81" s="257">
        <v>3</v>
      </c>
      <c r="C81" s="258">
        <v>2</v>
      </c>
      <c r="D81" s="259">
        <v>0.75</v>
      </c>
      <c r="E81" s="260">
        <v>0.5</v>
      </c>
      <c r="F81" s="261">
        <v>0.25</v>
      </c>
      <c r="G81" s="261">
        <v>0</v>
      </c>
      <c r="H81" s="260">
        <v>-0.3</v>
      </c>
      <c r="I81" s="261">
        <v>-0.5</v>
      </c>
      <c r="J81" s="260">
        <v>-0.55000000000000004</v>
      </c>
      <c r="K81" s="260">
        <v>0</v>
      </c>
      <c r="L81" s="260">
        <v>0.8</v>
      </c>
      <c r="M81" s="261">
        <v>1.25</v>
      </c>
      <c r="N81" s="261">
        <v>1.75</v>
      </c>
      <c r="O81" s="260">
        <v>2.25</v>
      </c>
      <c r="P81" s="261">
        <v>2.85</v>
      </c>
      <c r="Q81" s="260">
        <v>3.25</v>
      </c>
      <c r="R81" s="261">
        <v>4.25</v>
      </c>
      <c r="S81" s="258">
        <v>5</v>
      </c>
      <c r="T81" s="262">
        <v>8.1999999999999993</v>
      </c>
      <c r="U81" s="263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20" t="s">
        <v>171</v>
      </c>
      <c r="D83" s="221" t="s">
        <v>171</v>
      </c>
      <c r="E83" s="221" t="s">
        <v>171</v>
      </c>
      <c r="F83" s="221" t="s">
        <v>171</v>
      </c>
      <c r="G83" s="221" t="s">
        <v>171</v>
      </c>
      <c r="H83" s="221" t="s">
        <v>171</v>
      </c>
      <c r="I83" s="222" t="s">
        <v>171</v>
      </c>
    </row>
    <row r="84" spans="1:21" x14ac:dyDescent="0.2">
      <c r="A84" s="79" t="s">
        <v>172</v>
      </c>
      <c r="B84" s="79">
        <v>2</v>
      </c>
      <c r="C84" s="223" t="s">
        <v>171</v>
      </c>
      <c r="D84" s="103" t="s">
        <v>171</v>
      </c>
      <c r="E84" s="103" t="s">
        <v>171</v>
      </c>
      <c r="F84" s="103" t="s">
        <v>171</v>
      </c>
      <c r="G84" s="103" t="s">
        <v>171</v>
      </c>
      <c r="H84" s="103" t="s">
        <v>171</v>
      </c>
      <c r="I84" s="224" t="s">
        <v>171</v>
      </c>
    </row>
    <row r="85" spans="1:21" x14ac:dyDescent="0.2">
      <c r="A85" s="79" t="s">
        <v>173</v>
      </c>
      <c r="B85" s="79">
        <v>3</v>
      </c>
      <c r="C85" s="223" t="s">
        <v>171</v>
      </c>
      <c r="D85" s="103" t="s">
        <v>171</v>
      </c>
      <c r="E85" s="103" t="s">
        <v>171</v>
      </c>
      <c r="F85" s="103" t="s">
        <v>171</v>
      </c>
      <c r="G85" s="103" t="s">
        <v>171</v>
      </c>
      <c r="H85" s="103" t="s">
        <v>171</v>
      </c>
      <c r="I85" s="224" t="s">
        <v>171</v>
      </c>
    </row>
    <row r="86" spans="1:21" x14ac:dyDescent="0.2">
      <c r="B86" s="79">
        <v>4</v>
      </c>
      <c r="C86" s="223" t="s">
        <v>171</v>
      </c>
      <c r="D86" s="103" t="s">
        <v>171</v>
      </c>
      <c r="E86" s="103" t="s">
        <v>171</v>
      </c>
      <c r="F86" s="103" t="s">
        <v>171</v>
      </c>
      <c r="G86" s="103" t="s">
        <v>171</v>
      </c>
      <c r="H86" s="103" t="s">
        <v>171</v>
      </c>
      <c r="I86" s="224" t="s">
        <v>171</v>
      </c>
    </row>
    <row r="87" spans="1:21" x14ac:dyDescent="0.2">
      <c r="B87" s="79">
        <v>5</v>
      </c>
      <c r="C87" s="223" t="s">
        <v>171</v>
      </c>
      <c r="D87" s="103" t="s">
        <v>171</v>
      </c>
      <c r="E87" s="103" t="s">
        <v>171</v>
      </c>
      <c r="F87" s="103" t="s">
        <v>171</v>
      </c>
      <c r="G87" s="103" t="s">
        <v>171</v>
      </c>
      <c r="H87" s="103" t="s">
        <v>171</v>
      </c>
      <c r="I87" s="224" t="s">
        <v>171</v>
      </c>
    </row>
    <row r="88" spans="1:21" x14ac:dyDescent="0.2">
      <c r="B88" s="79">
        <v>6</v>
      </c>
      <c r="C88" s="223" t="s">
        <v>171</v>
      </c>
      <c r="D88" s="103" t="s">
        <v>171</v>
      </c>
      <c r="E88" s="103" t="s">
        <v>171</v>
      </c>
      <c r="F88" s="103" t="s">
        <v>171</v>
      </c>
      <c r="G88" s="103" t="s">
        <v>171</v>
      </c>
      <c r="H88" s="103" t="s">
        <v>171</v>
      </c>
      <c r="I88" s="224" t="s">
        <v>171</v>
      </c>
    </row>
    <row r="89" spans="1:21" x14ac:dyDescent="0.2">
      <c r="B89" s="79">
        <v>7</v>
      </c>
      <c r="C89" s="223" t="s">
        <v>171</v>
      </c>
      <c r="D89" s="103" t="s">
        <v>171</v>
      </c>
      <c r="E89" s="103" t="s">
        <v>171</v>
      </c>
      <c r="F89" s="103" t="s">
        <v>171</v>
      </c>
      <c r="G89" s="103" t="s">
        <v>171</v>
      </c>
      <c r="H89" s="103" t="s">
        <v>171</v>
      </c>
      <c r="I89" s="224" t="s">
        <v>171</v>
      </c>
    </row>
    <row r="90" spans="1:21" x14ac:dyDescent="0.2">
      <c r="B90" s="79">
        <v>8</v>
      </c>
      <c r="C90" s="223" t="s">
        <v>171</v>
      </c>
      <c r="D90" s="103" t="s">
        <v>171</v>
      </c>
      <c r="E90" s="103" t="s">
        <v>171</v>
      </c>
      <c r="F90" s="103" t="s">
        <v>171</v>
      </c>
      <c r="G90" s="103" t="s">
        <v>171</v>
      </c>
      <c r="H90" s="103" t="s">
        <v>171</v>
      </c>
      <c r="I90" s="224" t="s">
        <v>171</v>
      </c>
    </row>
    <row r="91" spans="1:21" x14ac:dyDescent="0.2">
      <c r="B91" s="79">
        <v>9</v>
      </c>
      <c r="C91" s="223" t="s">
        <v>171</v>
      </c>
      <c r="D91" s="103" t="s">
        <v>171</v>
      </c>
      <c r="E91" s="103" t="s">
        <v>171</v>
      </c>
      <c r="F91" s="103" t="s">
        <v>171</v>
      </c>
      <c r="G91" s="103" t="s">
        <v>171</v>
      </c>
      <c r="H91" s="103" t="s">
        <v>171</v>
      </c>
      <c r="I91" s="224" t="s">
        <v>171</v>
      </c>
    </row>
    <row r="92" spans="1:21" x14ac:dyDescent="0.2">
      <c r="B92" s="79">
        <v>10</v>
      </c>
      <c r="C92" s="223" t="s">
        <v>171</v>
      </c>
      <c r="D92" s="103" t="s">
        <v>171</v>
      </c>
      <c r="E92" s="103" t="s">
        <v>171</v>
      </c>
      <c r="F92" s="103" t="s">
        <v>171</v>
      </c>
      <c r="G92" s="103" t="s">
        <v>171</v>
      </c>
      <c r="H92" s="103" t="s">
        <v>171</v>
      </c>
      <c r="I92" s="224" t="s">
        <v>171</v>
      </c>
    </row>
    <row r="93" spans="1:21" x14ac:dyDescent="0.2">
      <c r="B93" s="79">
        <v>11</v>
      </c>
      <c r="C93" s="223" t="s">
        <v>171</v>
      </c>
      <c r="D93" s="103" t="s">
        <v>171</v>
      </c>
      <c r="E93" s="103" t="s">
        <v>171</v>
      </c>
      <c r="F93" s="103" t="s">
        <v>171</v>
      </c>
      <c r="G93" s="103" t="s">
        <v>171</v>
      </c>
      <c r="H93" s="103" t="s">
        <v>171</v>
      </c>
      <c r="I93" s="224" t="s">
        <v>171</v>
      </c>
    </row>
    <row r="94" spans="1:21" x14ac:dyDescent="0.2">
      <c r="B94" s="79">
        <v>12</v>
      </c>
      <c r="C94" s="223" t="s">
        <v>171</v>
      </c>
      <c r="D94" s="103" t="s">
        <v>171</v>
      </c>
      <c r="E94" s="103" t="s">
        <v>171</v>
      </c>
      <c r="F94" s="103" t="s">
        <v>171</v>
      </c>
      <c r="G94" s="103" t="s">
        <v>171</v>
      </c>
      <c r="H94" s="103" t="s">
        <v>171</v>
      </c>
      <c r="I94" s="224" t="s">
        <v>171</v>
      </c>
    </row>
    <row r="95" spans="1:21" x14ac:dyDescent="0.2">
      <c r="B95" s="79">
        <v>13</v>
      </c>
      <c r="C95" s="223" t="s">
        <v>171</v>
      </c>
      <c r="D95" s="103" t="s">
        <v>171</v>
      </c>
      <c r="E95" s="103" t="s">
        <v>171</v>
      </c>
      <c r="F95" s="103" t="s">
        <v>171</v>
      </c>
      <c r="G95" s="103" t="s">
        <v>171</v>
      </c>
      <c r="H95" s="103" t="s">
        <v>171</v>
      </c>
      <c r="I95" s="224" t="s">
        <v>171</v>
      </c>
    </row>
    <row r="96" spans="1:21" x14ac:dyDescent="0.2">
      <c r="B96" s="79">
        <v>14</v>
      </c>
      <c r="C96" s="223" t="s">
        <v>171</v>
      </c>
      <c r="D96" s="103" t="s">
        <v>171</v>
      </c>
      <c r="E96" s="103" t="s">
        <v>171</v>
      </c>
      <c r="F96" s="103" t="s">
        <v>171</v>
      </c>
      <c r="G96" s="103" t="s">
        <v>171</v>
      </c>
      <c r="H96" s="103" t="s">
        <v>171</v>
      </c>
      <c r="I96" s="224" t="s">
        <v>171</v>
      </c>
    </row>
    <row r="97" spans="2:9" x14ac:dyDescent="0.2">
      <c r="B97" s="79">
        <v>15</v>
      </c>
      <c r="C97" s="223" t="s">
        <v>171</v>
      </c>
      <c r="D97" s="103" t="s">
        <v>171</v>
      </c>
      <c r="E97" s="103" t="s">
        <v>171</v>
      </c>
      <c r="F97" s="103" t="s">
        <v>171</v>
      </c>
      <c r="G97" s="103" t="s">
        <v>171</v>
      </c>
      <c r="H97" s="103" t="s">
        <v>171</v>
      </c>
      <c r="I97" s="224" t="s">
        <v>171</v>
      </c>
    </row>
    <row r="98" spans="2:9" x14ac:dyDescent="0.2">
      <c r="B98" s="79">
        <v>16</v>
      </c>
      <c r="C98" s="223" t="s">
        <v>171</v>
      </c>
      <c r="D98" s="103" t="s">
        <v>171</v>
      </c>
      <c r="E98" s="103" t="s">
        <v>171</v>
      </c>
      <c r="F98" s="103" t="s">
        <v>171</v>
      </c>
      <c r="G98" s="103" t="s">
        <v>171</v>
      </c>
      <c r="H98" s="103" t="s">
        <v>171</v>
      </c>
      <c r="I98" s="224" t="s">
        <v>171</v>
      </c>
    </row>
    <row r="99" spans="2:9" x14ac:dyDescent="0.2">
      <c r="B99" s="79">
        <v>17</v>
      </c>
      <c r="C99" s="223" t="s">
        <v>171</v>
      </c>
      <c r="D99" s="103" t="s">
        <v>171</v>
      </c>
      <c r="E99" s="103" t="s">
        <v>171</v>
      </c>
      <c r="F99" s="103" t="s">
        <v>171</v>
      </c>
      <c r="G99" s="103" t="s">
        <v>171</v>
      </c>
      <c r="H99" s="103" t="s">
        <v>171</v>
      </c>
      <c r="I99" s="224" t="s">
        <v>171</v>
      </c>
    </row>
    <row r="100" spans="2:9" x14ac:dyDescent="0.2">
      <c r="B100" s="79">
        <v>18</v>
      </c>
      <c r="C100" s="223" t="s">
        <v>171</v>
      </c>
      <c r="D100" s="103" t="s">
        <v>171</v>
      </c>
      <c r="E100" s="103" t="s">
        <v>171</v>
      </c>
      <c r="F100" s="103" t="s">
        <v>171</v>
      </c>
      <c r="G100" s="103" t="s">
        <v>171</v>
      </c>
      <c r="H100" s="103" t="s">
        <v>171</v>
      </c>
      <c r="I100" s="224" t="s">
        <v>171</v>
      </c>
    </row>
    <row r="101" spans="2:9" x14ac:dyDescent="0.2">
      <c r="B101" s="79">
        <v>19</v>
      </c>
      <c r="C101" s="223" t="s">
        <v>171</v>
      </c>
      <c r="D101" s="103" t="s">
        <v>171</v>
      </c>
      <c r="E101" s="103" t="s">
        <v>171</v>
      </c>
      <c r="F101" s="103" t="s">
        <v>171</v>
      </c>
      <c r="G101" s="103" t="s">
        <v>171</v>
      </c>
      <c r="H101" s="103" t="s">
        <v>171</v>
      </c>
      <c r="I101" s="224" t="s">
        <v>171</v>
      </c>
    </row>
    <row r="102" spans="2:9" x14ac:dyDescent="0.2">
      <c r="B102" s="79">
        <v>20</v>
      </c>
      <c r="C102" s="223" t="s">
        <v>171</v>
      </c>
      <c r="D102" s="103" t="s">
        <v>171</v>
      </c>
      <c r="E102" s="103" t="s">
        <v>171</v>
      </c>
      <c r="F102" s="103" t="s">
        <v>171</v>
      </c>
      <c r="G102" s="103" t="s">
        <v>171</v>
      </c>
      <c r="H102" s="103" t="s">
        <v>171</v>
      </c>
      <c r="I102" s="224" t="s">
        <v>171</v>
      </c>
    </row>
    <row r="103" spans="2:9" x14ac:dyDescent="0.2">
      <c r="B103" s="79">
        <v>21</v>
      </c>
      <c r="C103" s="223" t="s">
        <v>171</v>
      </c>
      <c r="D103" s="103" t="s">
        <v>171</v>
      </c>
      <c r="E103" s="103" t="s">
        <v>171</v>
      </c>
      <c r="F103" s="103" t="s">
        <v>171</v>
      </c>
      <c r="G103" s="103" t="s">
        <v>171</v>
      </c>
      <c r="H103" s="103" t="s">
        <v>171</v>
      </c>
      <c r="I103" s="224" t="s">
        <v>171</v>
      </c>
    </row>
    <row r="104" spans="2:9" x14ac:dyDescent="0.2">
      <c r="B104" s="79">
        <v>22</v>
      </c>
      <c r="C104" s="223" t="s">
        <v>171</v>
      </c>
      <c r="D104" s="103" t="s">
        <v>171</v>
      </c>
      <c r="E104" s="103" t="s">
        <v>171</v>
      </c>
      <c r="F104" s="103" t="s">
        <v>171</v>
      </c>
      <c r="G104" s="103" t="s">
        <v>171</v>
      </c>
      <c r="H104" s="103" t="s">
        <v>171</v>
      </c>
      <c r="I104" s="224" t="s">
        <v>171</v>
      </c>
    </row>
    <row r="105" spans="2:9" x14ac:dyDescent="0.2">
      <c r="B105" s="79">
        <v>23</v>
      </c>
      <c r="C105" s="223" t="s">
        <v>171</v>
      </c>
      <c r="D105" s="103" t="s">
        <v>171</v>
      </c>
      <c r="E105" s="103" t="s">
        <v>171</v>
      </c>
      <c r="F105" s="103" t="s">
        <v>171</v>
      </c>
      <c r="G105" s="103" t="s">
        <v>171</v>
      </c>
      <c r="H105" s="103" t="s">
        <v>171</v>
      </c>
      <c r="I105" s="224" t="s">
        <v>171</v>
      </c>
    </row>
    <row r="106" spans="2:9" x14ac:dyDescent="0.2">
      <c r="B106" s="79">
        <v>24</v>
      </c>
      <c r="C106" s="223" t="s">
        <v>171</v>
      </c>
      <c r="D106" s="103" t="s">
        <v>171</v>
      </c>
      <c r="E106" s="103" t="s">
        <v>171</v>
      </c>
      <c r="F106" s="103" t="s">
        <v>171</v>
      </c>
      <c r="G106" s="103" t="s">
        <v>171</v>
      </c>
      <c r="H106" s="103" t="s">
        <v>171</v>
      </c>
      <c r="I106" s="224" t="s">
        <v>171</v>
      </c>
    </row>
    <row r="107" spans="2:9" x14ac:dyDescent="0.2">
      <c r="B107" s="79">
        <v>25</v>
      </c>
      <c r="C107" s="223" t="s">
        <v>171</v>
      </c>
      <c r="D107" s="103" t="s">
        <v>171</v>
      </c>
      <c r="E107" s="103" t="s">
        <v>171</v>
      </c>
      <c r="F107" s="103" t="s">
        <v>171</v>
      </c>
      <c r="G107" s="103" t="s">
        <v>171</v>
      </c>
      <c r="H107" s="103" t="s">
        <v>171</v>
      </c>
      <c r="I107" s="224" t="s">
        <v>171</v>
      </c>
    </row>
    <row r="108" spans="2:9" x14ac:dyDescent="0.2">
      <c r="B108" s="79">
        <v>26</v>
      </c>
      <c r="C108" s="223" t="s">
        <v>171</v>
      </c>
      <c r="D108" s="103" t="s">
        <v>171</v>
      </c>
      <c r="E108" s="103" t="s">
        <v>171</v>
      </c>
      <c r="F108" s="103" t="s">
        <v>171</v>
      </c>
      <c r="G108" s="103" t="s">
        <v>171</v>
      </c>
      <c r="H108" s="103" t="s">
        <v>171</v>
      </c>
      <c r="I108" s="224" t="s">
        <v>171</v>
      </c>
    </row>
    <row r="109" spans="2:9" x14ac:dyDescent="0.2">
      <c r="B109" s="79">
        <v>27</v>
      </c>
      <c r="C109" s="223" t="s">
        <v>171</v>
      </c>
      <c r="D109" s="103" t="s">
        <v>171</v>
      </c>
      <c r="E109" s="103" t="s">
        <v>171</v>
      </c>
      <c r="F109" s="103" t="s">
        <v>171</v>
      </c>
      <c r="G109" s="103" t="s">
        <v>171</v>
      </c>
      <c r="H109" s="103" t="s">
        <v>171</v>
      </c>
      <c r="I109" s="224" t="s">
        <v>171</v>
      </c>
    </row>
    <row r="110" spans="2:9" x14ac:dyDescent="0.2">
      <c r="B110" s="79">
        <v>28</v>
      </c>
      <c r="C110" s="223" t="s">
        <v>171</v>
      </c>
      <c r="D110" s="103" t="s">
        <v>171</v>
      </c>
      <c r="E110" s="103" t="s">
        <v>171</v>
      </c>
      <c r="F110" s="103" t="s">
        <v>171</v>
      </c>
      <c r="G110" s="103" t="s">
        <v>171</v>
      </c>
      <c r="H110" s="103" t="s">
        <v>171</v>
      </c>
      <c r="I110" s="224" t="s">
        <v>171</v>
      </c>
    </row>
    <row r="111" spans="2:9" x14ac:dyDescent="0.2">
      <c r="B111" s="79">
        <v>29</v>
      </c>
      <c r="C111" s="223" t="s">
        <v>171</v>
      </c>
      <c r="D111" s="103" t="s">
        <v>171</v>
      </c>
      <c r="E111" s="103" t="s">
        <v>171</v>
      </c>
      <c r="F111" s="103" t="s">
        <v>171</v>
      </c>
      <c r="G111" s="103" t="s">
        <v>171</v>
      </c>
      <c r="H111" s="103" t="s">
        <v>171</v>
      </c>
      <c r="I111" s="224" t="s">
        <v>171</v>
      </c>
    </row>
    <row r="112" spans="2:9" x14ac:dyDescent="0.2">
      <c r="B112" s="79">
        <v>30</v>
      </c>
      <c r="C112" s="223" t="s">
        <v>171</v>
      </c>
      <c r="D112" s="103" t="s">
        <v>171</v>
      </c>
      <c r="E112" s="103" t="s">
        <v>171</v>
      </c>
      <c r="F112" s="103" t="s">
        <v>171</v>
      </c>
      <c r="G112" s="103" t="s">
        <v>171</v>
      </c>
      <c r="H112" s="103" t="s">
        <v>171</v>
      </c>
      <c r="I112" s="224" t="s">
        <v>171</v>
      </c>
    </row>
    <row r="113" spans="1:9" x14ac:dyDescent="0.2">
      <c r="B113" s="79">
        <v>31</v>
      </c>
      <c r="C113" s="223" t="s">
        <v>171</v>
      </c>
      <c r="D113" s="103" t="s">
        <v>171</v>
      </c>
      <c r="E113" s="103" t="s">
        <v>171</v>
      </c>
      <c r="F113" s="103" t="s">
        <v>171</v>
      </c>
      <c r="G113" s="103" t="s">
        <v>171</v>
      </c>
      <c r="H113" s="103" t="s">
        <v>171</v>
      </c>
      <c r="I113" s="224" t="s">
        <v>171</v>
      </c>
    </row>
    <row r="114" spans="1:9" x14ac:dyDescent="0.2">
      <c r="B114" s="79">
        <v>32</v>
      </c>
      <c r="C114" s="223" t="s">
        <v>171</v>
      </c>
      <c r="D114" s="103" t="s">
        <v>171</v>
      </c>
      <c r="E114" s="103" t="s">
        <v>171</v>
      </c>
      <c r="F114" s="103" t="s">
        <v>171</v>
      </c>
      <c r="G114" s="103" t="s">
        <v>171</v>
      </c>
      <c r="H114" s="103" t="s">
        <v>171</v>
      </c>
      <c r="I114" s="224" t="s">
        <v>171</v>
      </c>
    </row>
    <row r="115" spans="1:9" x14ac:dyDescent="0.2">
      <c r="B115" s="79">
        <v>33</v>
      </c>
      <c r="C115" s="223" t="s">
        <v>171</v>
      </c>
      <c r="D115" s="103" t="s">
        <v>171</v>
      </c>
      <c r="E115" s="103" t="s">
        <v>171</v>
      </c>
      <c r="F115" s="103" t="s">
        <v>171</v>
      </c>
      <c r="G115" s="103" t="s">
        <v>171</v>
      </c>
      <c r="H115" s="103" t="s">
        <v>171</v>
      </c>
      <c r="I115" s="224" t="s">
        <v>171</v>
      </c>
    </row>
    <row r="116" spans="1:9" x14ac:dyDescent="0.2">
      <c r="B116" s="79">
        <v>34</v>
      </c>
      <c r="C116" s="223" t="s">
        <v>171</v>
      </c>
      <c r="D116" s="103" t="s">
        <v>171</v>
      </c>
      <c r="E116" s="103" t="s">
        <v>171</v>
      </c>
      <c r="F116" s="103" t="s">
        <v>171</v>
      </c>
      <c r="G116" s="103" t="s">
        <v>171</v>
      </c>
      <c r="H116" s="103" t="s">
        <v>171</v>
      </c>
      <c r="I116" s="224" t="s">
        <v>171</v>
      </c>
    </row>
    <row r="117" spans="1:9" x14ac:dyDescent="0.2">
      <c r="B117" s="79">
        <v>35</v>
      </c>
      <c r="C117" s="223" t="s">
        <v>171</v>
      </c>
      <c r="D117" s="103" t="s">
        <v>171</v>
      </c>
      <c r="E117" s="103" t="s">
        <v>171</v>
      </c>
      <c r="F117" s="103" t="s">
        <v>171</v>
      </c>
      <c r="G117" s="103" t="s">
        <v>171</v>
      </c>
      <c r="H117" s="103" t="s">
        <v>171</v>
      </c>
      <c r="I117" s="224" t="s">
        <v>171</v>
      </c>
    </row>
    <row r="118" spans="1:9" x14ac:dyDescent="0.2">
      <c r="B118" s="79">
        <v>36</v>
      </c>
      <c r="C118" s="223" t="s">
        <v>171</v>
      </c>
      <c r="D118" s="103" t="s">
        <v>171</v>
      </c>
      <c r="E118" s="103" t="s">
        <v>171</v>
      </c>
      <c r="F118" s="103" t="s">
        <v>171</v>
      </c>
      <c r="G118" s="103" t="s">
        <v>171</v>
      </c>
      <c r="H118" s="103" t="s">
        <v>171</v>
      </c>
      <c r="I118" s="224" t="s">
        <v>171</v>
      </c>
    </row>
    <row r="119" spans="1:9" x14ac:dyDescent="0.2">
      <c r="B119" s="79">
        <v>37</v>
      </c>
      <c r="C119" s="223" t="s">
        <v>171</v>
      </c>
      <c r="D119" s="103" t="s">
        <v>171</v>
      </c>
      <c r="E119" s="103" t="s">
        <v>171</v>
      </c>
      <c r="F119" s="103" t="s">
        <v>171</v>
      </c>
      <c r="G119" s="103" t="s">
        <v>171</v>
      </c>
      <c r="H119" s="103" t="s">
        <v>171</v>
      </c>
      <c r="I119" s="224" t="s">
        <v>171</v>
      </c>
    </row>
    <row r="120" spans="1:9" ht="13.5" thickBot="1" x14ac:dyDescent="0.25">
      <c r="B120" s="79">
        <v>38</v>
      </c>
      <c r="C120" s="225" t="s">
        <v>171</v>
      </c>
      <c r="D120" s="226" t="s">
        <v>171</v>
      </c>
      <c r="E120" s="226" t="s">
        <v>171</v>
      </c>
      <c r="F120" s="226" t="s">
        <v>171</v>
      </c>
      <c r="G120" s="226" t="s">
        <v>171</v>
      </c>
      <c r="H120" s="226" t="s">
        <v>171</v>
      </c>
      <c r="I120" s="227" t="s">
        <v>171</v>
      </c>
    </row>
    <row r="121" spans="1:9" x14ac:dyDescent="0.2">
      <c r="D121" s="103"/>
      <c r="E121" s="103"/>
      <c r="F121" s="103"/>
      <c r="G121" s="103"/>
      <c r="H121" s="103"/>
      <c r="I121" s="103"/>
    </row>
    <row r="122" spans="1:9" x14ac:dyDescent="0.2">
      <c r="B122" s="228"/>
      <c r="D122" s="103"/>
      <c r="E122" s="103"/>
      <c r="F122" s="103"/>
      <c r="G122" s="103"/>
      <c r="H122" s="103"/>
      <c r="I122" s="103"/>
    </row>
    <row r="123" spans="1:9" x14ac:dyDescent="0.2">
      <c r="A123" s="79">
        <v>1</v>
      </c>
    </row>
    <row r="124" spans="1:9" x14ac:dyDescent="0.2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6" bestFit="1" customWidth="1"/>
  </cols>
  <sheetData>
    <row r="4" spans="1:11" x14ac:dyDescent="0.2">
      <c r="A4" s="146" t="s">
        <v>95</v>
      </c>
      <c r="K4" s="146" t="s">
        <v>76</v>
      </c>
    </row>
    <row r="5" spans="1:11" x14ac:dyDescent="0.2">
      <c r="A5" s="146" t="s">
        <v>98</v>
      </c>
      <c r="K5" s="146" t="s">
        <v>87</v>
      </c>
    </row>
    <row r="6" spans="1:11" x14ac:dyDescent="0.2">
      <c r="A6" s="146" t="s">
        <v>54</v>
      </c>
      <c r="K6" s="146" t="s">
        <v>70</v>
      </c>
    </row>
    <row r="7" spans="1:11" x14ac:dyDescent="0.2">
      <c r="A7" s="146" t="s">
        <v>70</v>
      </c>
      <c r="K7" s="146" t="s">
        <v>62</v>
      </c>
    </row>
    <row r="8" spans="1:11" x14ac:dyDescent="0.2">
      <c r="A8" s="146" t="s">
        <v>88</v>
      </c>
      <c r="G8" s="146" t="s">
        <v>77</v>
      </c>
      <c r="K8" s="146" t="s">
        <v>92</v>
      </c>
    </row>
    <row r="9" spans="1:11" x14ac:dyDescent="0.2">
      <c r="A9" s="146" t="s">
        <v>71</v>
      </c>
      <c r="G9" s="146" t="s">
        <v>79</v>
      </c>
      <c r="K9" s="146" t="s">
        <v>89</v>
      </c>
    </row>
    <row r="10" spans="1:11" x14ac:dyDescent="0.2">
      <c r="A10" s="146" t="s">
        <v>72</v>
      </c>
      <c r="G10" s="146" t="s">
        <v>65</v>
      </c>
      <c r="K10" s="146" t="s">
        <v>90</v>
      </c>
    </row>
    <row r="11" spans="1:11" x14ac:dyDescent="0.2">
      <c r="A11" s="146" t="s">
        <v>89</v>
      </c>
      <c r="K11" s="146" t="s">
        <v>86</v>
      </c>
    </row>
    <row r="12" spans="1:11" x14ac:dyDescent="0.2">
      <c r="A12" s="146" t="s">
        <v>90</v>
      </c>
      <c r="K12" s="146" t="s">
        <v>68</v>
      </c>
    </row>
    <row r="13" spans="1:11" x14ac:dyDescent="0.2">
      <c r="A13" s="146" t="s">
        <v>73</v>
      </c>
      <c r="K13" s="146" t="s">
        <v>69</v>
      </c>
    </row>
    <row r="14" spans="1:11" x14ac:dyDescent="0.2">
      <c r="A14" s="146" t="s">
        <v>74</v>
      </c>
      <c r="K14" s="146" t="s">
        <v>94</v>
      </c>
    </row>
    <row r="15" spans="1:11" x14ac:dyDescent="0.2">
      <c r="A15" s="146" t="s">
        <v>75</v>
      </c>
      <c r="K15" s="146" t="s">
        <v>146</v>
      </c>
    </row>
    <row r="16" spans="1:11" x14ac:dyDescent="0.2">
      <c r="A16" s="146" t="s">
        <v>76</v>
      </c>
    </row>
    <row r="17" spans="1:8" x14ac:dyDescent="0.2">
      <c r="A17" s="146" t="s">
        <v>87</v>
      </c>
    </row>
    <row r="18" spans="1:8" x14ac:dyDescent="0.2">
      <c r="A18" s="146" t="s">
        <v>102</v>
      </c>
    </row>
    <row r="19" spans="1:8" x14ac:dyDescent="0.2">
      <c r="A19" s="146" t="s">
        <v>59</v>
      </c>
      <c r="F19" s="146" t="s">
        <v>81</v>
      </c>
    </row>
    <row r="20" spans="1:8" x14ac:dyDescent="0.2">
      <c r="A20" s="146" t="s">
        <v>55</v>
      </c>
      <c r="F20" s="146" t="s">
        <v>60</v>
      </c>
      <c r="H20" s="146" t="s">
        <v>79</v>
      </c>
    </row>
    <row r="21" spans="1:8" x14ac:dyDescent="0.2">
      <c r="A21" s="146" t="s">
        <v>101</v>
      </c>
      <c r="H21" s="146" t="s">
        <v>78</v>
      </c>
    </row>
    <row r="22" spans="1:8" x14ac:dyDescent="0.2">
      <c r="A22" s="146" t="s">
        <v>56</v>
      </c>
    </row>
    <row r="23" spans="1:8" x14ac:dyDescent="0.2">
      <c r="A23" s="146" t="s">
        <v>57</v>
      </c>
    </row>
    <row r="24" spans="1:8" x14ac:dyDescent="0.2">
      <c r="A24" s="146" t="s">
        <v>58</v>
      </c>
    </row>
    <row r="25" spans="1:8" x14ac:dyDescent="0.2">
      <c r="A25" s="146" t="s">
        <v>60</v>
      </c>
    </row>
    <row r="26" spans="1:8" x14ac:dyDescent="0.2">
      <c r="A26" s="146" t="s">
        <v>91</v>
      </c>
    </row>
    <row r="27" spans="1:8" x14ac:dyDescent="0.2">
      <c r="A27" s="146" t="s">
        <v>92</v>
      </c>
    </row>
    <row r="28" spans="1:8" x14ac:dyDescent="0.2">
      <c r="A28" s="146" t="s">
        <v>61</v>
      </c>
    </row>
    <row r="29" spans="1:8" x14ac:dyDescent="0.2">
      <c r="A29" s="146" t="s">
        <v>62</v>
      </c>
      <c r="F29" s="146" t="s">
        <v>87</v>
      </c>
    </row>
    <row r="30" spans="1:8" x14ac:dyDescent="0.2">
      <c r="A30" s="146" t="s">
        <v>93</v>
      </c>
      <c r="F30" s="146" t="s">
        <v>70</v>
      </c>
    </row>
    <row r="31" spans="1:8" x14ac:dyDescent="0.2">
      <c r="A31" s="146" t="s">
        <v>77</v>
      </c>
      <c r="F31" s="146" t="s">
        <v>90</v>
      </c>
    </row>
    <row r="32" spans="1:8" x14ac:dyDescent="0.2">
      <c r="A32" s="146" t="s">
        <v>78</v>
      </c>
      <c r="F32" s="146" t="s">
        <v>62</v>
      </c>
    </row>
    <row r="33" spans="1:6" x14ac:dyDescent="0.2">
      <c r="A33" s="146" t="s">
        <v>103</v>
      </c>
      <c r="F33" s="146" t="s">
        <v>68</v>
      </c>
    </row>
    <row r="34" spans="1:6" x14ac:dyDescent="0.2">
      <c r="A34" s="146" t="s">
        <v>99</v>
      </c>
      <c r="F34" s="146" t="s">
        <v>66</v>
      </c>
    </row>
    <row r="35" spans="1:6" x14ac:dyDescent="0.2">
      <c r="A35" s="146" t="s">
        <v>79</v>
      </c>
      <c r="F35" s="146" t="s">
        <v>86</v>
      </c>
    </row>
    <row r="36" spans="1:6" x14ac:dyDescent="0.2">
      <c r="A36" s="146" t="s">
        <v>97</v>
      </c>
    </row>
    <row r="37" spans="1:6" x14ac:dyDescent="0.2">
      <c r="A37" s="146" t="s">
        <v>80</v>
      </c>
    </row>
    <row r="38" spans="1:6" x14ac:dyDescent="0.2">
      <c r="A38" s="146" t="s">
        <v>81</v>
      </c>
    </row>
    <row r="39" spans="1:6" x14ac:dyDescent="0.2">
      <c r="A39" s="146" t="s">
        <v>100</v>
      </c>
    </row>
    <row r="40" spans="1:6" x14ac:dyDescent="0.2">
      <c r="A40" s="146" t="s">
        <v>82</v>
      </c>
    </row>
    <row r="41" spans="1:6" x14ac:dyDescent="0.2">
      <c r="A41" s="146" t="s">
        <v>84</v>
      </c>
    </row>
    <row r="42" spans="1:6" x14ac:dyDescent="0.2">
      <c r="A42" s="146" t="s">
        <v>85</v>
      </c>
    </row>
    <row r="43" spans="1:6" x14ac:dyDescent="0.2">
      <c r="A43" s="146" t="s">
        <v>86</v>
      </c>
      <c r="F43" s="146" t="s">
        <v>60</v>
      </c>
    </row>
    <row r="44" spans="1:6" x14ac:dyDescent="0.2">
      <c r="A44" s="146" t="s">
        <v>64</v>
      </c>
      <c r="F44" s="146" t="s">
        <v>81</v>
      </c>
    </row>
    <row r="45" spans="1:6" x14ac:dyDescent="0.2">
      <c r="A45" s="146" t="s">
        <v>65</v>
      </c>
    </row>
    <row r="46" spans="1:6" x14ac:dyDescent="0.2">
      <c r="A46" s="146" t="s">
        <v>83</v>
      </c>
    </row>
    <row r="47" spans="1:6" x14ac:dyDescent="0.2">
      <c r="A47" s="146" t="s">
        <v>96</v>
      </c>
    </row>
    <row r="48" spans="1:6" x14ac:dyDescent="0.2">
      <c r="A48" s="146" t="s">
        <v>155</v>
      </c>
    </row>
    <row r="49" spans="1:1" x14ac:dyDescent="0.2">
      <c r="A49" s="146" t="s">
        <v>63</v>
      </c>
    </row>
    <row r="50" spans="1:1" x14ac:dyDescent="0.2">
      <c r="A50" s="146" t="s">
        <v>66</v>
      </c>
    </row>
    <row r="51" spans="1:1" x14ac:dyDescent="0.2">
      <c r="A51" s="146" t="s">
        <v>67</v>
      </c>
    </row>
    <row r="52" spans="1:1" x14ac:dyDescent="0.2">
      <c r="A52" s="146" t="s">
        <v>68</v>
      </c>
    </row>
    <row r="53" spans="1:1" x14ac:dyDescent="0.2">
      <c r="A53" s="146" t="s">
        <v>69</v>
      </c>
    </row>
    <row r="54" spans="1:1" x14ac:dyDescent="0.2">
      <c r="A54" s="146" t="s">
        <v>94</v>
      </c>
    </row>
    <row r="55" spans="1:1" x14ac:dyDescent="0.2">
      <c r="A55" s="146" t="s">
        <v>146</v>
      </c>
    </row>
    <row r="56" spans="1:1" x14ac:dyDescent="0.2">
      <c r="A56" s="146" t="s">
        <v>140</v>
      </c>
    </row>
    <row r="57" spans="1:1" x14ac:dyDescent="0.2">
      <c r="A57" s="146" t="s">
        <v>91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G1" sqref="G1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292" t="s">
        <v>9</v>
      </c>
      <c r="F3" s="292" t="s">
        <v>105</v>
      </c>
      <c r="G3" s="292" t="s">
        <v>54</v>
      </c>
      <c r="H3" s="292" t="s">
        <v>55</v>
      </c>
      <c r="I3" s="292" t="s">
        <v>56</v>
      </c>
      <c r="J3" s="292" t="s">
        <v>57</v>
      </c>
      <c r="K3" s="292" t="s">
        <v>58</v>
      </c>
      <c r="L3" s="292" t="s">
        <v>59</v>
      </c>
      <c r="M3" s="292" t="s">
        <v>60</v>
      </c>
      <c r="N3" s="293" t="s">
        <v>61</v>
      </c>
      <c r="O3" s="292" t="s">
        <v>62</v>
      </c>
      <c r="P3" s="292" t="s">
        <v>63</v>
      </c>
      <c r="Q3" s="292" t="s">
        <v>64</v>
      </c>
      <c r="R3" s="292" t="s">
        <v>65</v>
      </c>
      <c r="S3" s="292" t="s">
        <v>66</v>
      </c>
      <c r="T3" s="292" t="s">
        <v>67</v>
      </c>
      <c r="U3" s="292" t="s">
        <v>68</v>
      </c>
      <c r="V3" s="292" t="s">
        <v>69</v>
      </c>
      <c r="W3" s="292" t="s">
        <v>70</v>
      </c>
      <c r="X3" s="292" t="s">
        <v>71</v>
      </c>
      <c r="Y3" s="294" t="s">
        <v>72</v>
      </c>
      <c r="Z3" s="295" t="s">
        <v>73</v>
      </c>
      <c r="AA3" s="23" t="s">
        <v>74</v>
      </c>
      <c r="AB3" s="23" t="s">
        <v>75</v>
      </c>
      <c r="AC3" s="23" t="s">
        <v>76</v>
      </c>
      <c r="AD3" s="23" t="s">
        <v>77</v>
      </c>
      <c r="AE3" s="23" t="s">
        <v>78</v>
      </c>
      <c r="AF3" s="23" t="s">
        <v>79</v>
      </c>
      <c r="AG3" s="23" t="s">
        <v>80</v>
      </c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 t="s">
        <v>86</v>
      </c>
      <c r="AN3" s="23" t="s">
        <v>87</v>
      </c>
      <c r="AO3" s="23" t="s">
        <v>88</v>
      </c>
      <c r="AP3" s="23" t="s">
        <v>89</v>
      </c>
      <c r="AQ3" s="23" t="s">
        <v>90</v>
      </c>
      <c r="AR3" s="23" t="s">
        <v>91</v>
      </c>
      <c r="AS3" s="23" t="s">
        <v>92</v>
      </c>
      <c r="AT3" s="23" t="s">
        <v>93</v>
      </c>
      <c r="AU3" s="23" t="s">
        <v>94</v>
      </c>
      <c r="AV3" s="23" t="s">
        <v>95</v>
      </c>
      <c r="AW3" s="23" t="s">
        <v>96</v>
      </c>
      <c r="AX3" s="23" t="s">
        <v>155</v>
      </c>
      <c r="AY3" s="193" t="s">
        <v>97</v>
      </c>
      <c r="AZ3" s="193" t="s">
        <v>98</v>
      </c>
      <c r="BA3" s="193" t="s">
        <v>99</v>
      </c>
      <c r="BB3" s="193" t="s">
        <v>100</v>
      </c>
      <c r="BC3" s="193" t="s">
        <v>101</v>
      </c>
      <c r="BD3" s="193" t="s">
        <v>102</v>
      </c>
      <c r="BE3" s="193" t="s">
        <v>103</v>
      </c>
      <c r="BF3" s="193" t="s">
        <v>146</v>
      </c>
      <c r="BG3" s="23" t="s">
        <v>156</v>
      </c>
      <c r="BH3" s="23" t="s">
        <v>162</v>
      </c>
      <c r="BI3" s="23" t="s">
        <v>157</v>
      </c>
      <c r="BJ3" s="23" t="s">
        <v>140</v>
      </c>
      <c r="BK3" s="23" t="s">
        <v>76</v>
      </c>
      <c r="BL3" s="23" t="s">
        <v>87</v>
      </c>
      <c r="BM3" s="23" t="s">
        <v>70</v>
      </c>
      <c r="BN3" s="23" t="s">
        <v>62</v>
      </c>
      <c r="BO3" s="23" t="s">
        <v>92</v>
      </c>
      <c r="BP3" s="23" t="s">
        <v>89</v>
      </c>
      <c r="BQ3" s="23" t="s">
        <v>90</v>
      </c>
      <c r="BR3" s="23" t="s">
        <v>86</v>
      </c>
      <c r="BS3" t="s">
        <v>68</v>
      </c>
      <c r="BT3" t="s">
        <v>69</v>
      </c>
      <c r="BU3" t="s">
        <v>94</v>
      </c>
      <c r="BV3" t="s">
        <v>146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104</v>
      </c>
      <c r="H5" s="24" t="s">
        <v>104</v>
      </c>
      <c r="I5" s="24" t="s">
        <v>104</v>
      </c>
      <c r="J5" s="24" t="s">
        <v>104</v>
      </c>
      <c r="K5" s="24" t="s">
        <v>104</v>
      </c>
      <c r="L5" s="24" t="s">
        <v>104</v>
      </c>
      <c r="M5" s="24" t="s">
        <v>104</v>
      </c>
      <c r="N5" s="24" t="s">
        <v>104</v>
      </c>
      <c r="O5" s="24" t="s">
        <v>104</v>
      </c>
      <c r="P5" s="24" t="s">
        <v>104</v>
      </c>
      <c r="Q5" s="24" t="s">
        <v>104</v>
      </c>
      <c r="R5" s="24" t="s">
        <v>104</v>
      </c>
      <c r="S5" s="24" t="s">
        <v>104</v>
      </c>
      <c r="T5" s="24" t="s">
        <v>104</v>
      </c>
      <c r="U5" s="24" t="s">
        <v>104</v>
      </c>
      <c r="V5" s="24" t="s">
        <v>104</v>
      </c>
      <c r="W5" s="24" t="s">
        <v>104</v>
      </c>
      <c r="X5" s="24" t="s">
        <v>104</v>
      </c>
      <c r="Y5" s="24" t="s">
        <v>104</v>
      </c>
      <c r="Z5" s="24" t="s">
        <v>104</v>
      </c>
      <c r="AA5" s="24" t="s">
        <v>104</v>
      </c>
      <c r="AB5" s="24" t="s">
        <v>104</v>
      </c>
      <c r="AC5" s="24" t="s">
        <v>104</v>
      </c>
      <c r="AD5" s="24" t="s">
        <v>104</v>
      </c>
      <c r="AE5" s="24" t="s">
        <v>104</v>
      </c>
      <c r="AF5" s="24" t="s">
        <v>104</v>
      </c>
      <c r="AG5" s="24" t="s">
        <v>104</v>
      </c>
      <c r="AH5" s="24" t="s">
        <v>104</v>
      </c>
      <c r="AI5" s="24" t="s">
        <v>104</v>
      </c>
      <c r="AJ5" s="24" t="s">
        <v>104</v>
      </c>
      <c r="AK5" s="24" t="s">
        <v>104</v>
      </c>
      <c r="AL5" s="24" t="s">
        <v>104</v>
      </c>
      <c r="AM5" s="24" t="s">
        <v>104</v>
      </c>
      <c r="AN5" s="24" t="s">
        <v>104</v>
      </c>
      <c r="AO5" s="24" t="s">
        <v>104</v>
      </c>
      <c r="AP5" s="24" t="s">
        <v>104</v>
      </c>
      <c r="AQ5" s="24" t="s">
        <v>104</v>
      </c>
      <c r="AR5" s="24" t="s">
        <v>104</v>
      </c>
      <c r="AS5" s="24" t="s">
        <v>104</v>
      </c>
      <c r="AT5" s="24" t="s">
        <v>104</v>
      </c>
      <c r="AU5" s="24" t="s">
        <v>104</v>
      </c>
      <c r="AV5" s="24" t="s">
        <v>104</v>
      </c>
      <c r="AW5" s="24" t="s">
        <v>104</v>
      </c>
      <c r="AX5" s="24" t="s">
        <v>104</v>
      </c>
      <c r="AY5" s="24" t="s">
        <v>104</v>
      </c>
      <c r="AZ5" s="24" t="s">
        <v>104</v>
      </c>
      <c r="BA5" s="24" t="s">
        <v>104</v>
      </c>
      <c r="BB5" s="24" t="s">
        <v>104</v>
      </c>
      <c r="BC5" s="24" t="s">
        <v>104</v>
      </c>
      <c r="BD5" s="24" t="s">
        <v>104</v>
      </c>
      <c r="BE5" s="24" t="s">
        <v>104</v>
      </c>
      <c r="BF5" s="24" t="s">
        <v>104</v>
      </c>
      <c r="BG5" s="23" t="s">
        <v>104</v>
      </c>
      <c r="BH5" s="23" t="s">
        <v>104</v>
      </c>
      <c r="BI5" s="23" t="s">
        <v>104</v>
      </c>
      <c r="BJ5" s="23" t="s">
        <v>104</v>
      </c>
      <c r="BK5" s="23" t="s">
        <v>176</v>
      </c>
      <c r="BL5" s="23" t="s">
        <v>176</v>
      </c>
      <c r="BM5" s="23" t="s">
        <v>176</v>
      </c>
      <c r="BN5" s="23" t="s">
        <v>176</v>
      </c>
      <c r="BO5" s="23" t="s">
        <v>176</v>
      </c>
      <c r="BP5" s="23" t="s">
        <v>176</v>
      </c>
      <c r="BQ5" s="23" t="s">
        <v>176</v>
      </c>
      <c r="BR5" s="23" t="s">
        <v>176</v>
      </c>
      <c r="BS5" t="s">
        <v>176</v>
      </c>
      <c r="BT5" t="s">
        <v>176</v>
      </c>
      <c r="BU5" t="s">
        <v>176</v>
      </c>
      <c r="BV5" t="s">
        <v>176</v>
      </c>
    </row>
    <row r="6" spans="1:74" x14ac:dyDescent="0.2">
      <c r="A6" s="24" t="e">
        <f>#REF!-B6</f>
        <v>#REF!</v>
      </c>
      <c r="B6" s="24">
        <v>4.3540000000000001</v>
      </c>
      <c r="C6" s="138">
        <v>37257</v>
      </c>
      <c r="D6" s="192">
        <v>2.7010000000000001</v>
      </c>
      <c r="E6" s="296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2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8">
        <f t="shared" si="3"/>
        <v>37316</v>
      </c>
      <c r="D8" s="192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8">
        <f t="shared" si="3"/>
        <v>37469</v>
      </c>
      <c r="D13" s="192">
        <v>2.9209999999999998</v>
      </c>
      <c r="E13" s="297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98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98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298">
        <v>0.16500000000000001</v>
      </c>
      <c r="Z263" s="298"/>
      <c r="AM263" s="298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298">
        <v>0.20499999999999999</v>
      </c>
      <c r="Z264" s="298"/>
      <c r="AM264" s="298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04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04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04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04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04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04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04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04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04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04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04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04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04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04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04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04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04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04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04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04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04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04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04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04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04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04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04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04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04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04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04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04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04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04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04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04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04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04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04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04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04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04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04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04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04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04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04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04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04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04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04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04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04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04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04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04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04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04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04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04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04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04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04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04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04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04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04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04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04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04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04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04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04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04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04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04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04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04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04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04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04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04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04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04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04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04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04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04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04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04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04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04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04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04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04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04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04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04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04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04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04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04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04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04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04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04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04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04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04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04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04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04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04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04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04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04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04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04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04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04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04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04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04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04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04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04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04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04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04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04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04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04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04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04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04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04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04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04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04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04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04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04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04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04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04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04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04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04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04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04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04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04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04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04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04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04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04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04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04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04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04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04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04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04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04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04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04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04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04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04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04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04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04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04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04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04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04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04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04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04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04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04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04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04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04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04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04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04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04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04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04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04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04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04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04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04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04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04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04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04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04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04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04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04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04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04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04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04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04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04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04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04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04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04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04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04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04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04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04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04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04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04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04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04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04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04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04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04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04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04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04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04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04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04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04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04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04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04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04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04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04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04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04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04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04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04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04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04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04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04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04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04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04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04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04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04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04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04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04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04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04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04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04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04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04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04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04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04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04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04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04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04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04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04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04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04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04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04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04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04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04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04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04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04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04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04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04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04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04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04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04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04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04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04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04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04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04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04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04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04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04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04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04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04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04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04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04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04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04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04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04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04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04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04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04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04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04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04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04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04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04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04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04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04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04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04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04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04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04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04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04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04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04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04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04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04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04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04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04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04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04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04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04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04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04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04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04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04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04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04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04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04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04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04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04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04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04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04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04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pipes</vt:lpstr>
      <vt:lpstr>curves</vt:lpstr>
      <vt:lpstr>expiry</vt:lpstr>
      <vt:lpstr>aproct</vt:lpstr>
      <vt:lpstr>b</vt:lpstr>
      <vt:lpstr>CAL7VOL</vt:lpstr>
      <vt:lpstr>CAL8VOL</vt:lpstr>
      <vt:lpstr>CAL9VOL</vt:lpstr>
      <vt:lpstr>curvesettle</vt:lpstr>
      <vt:lpstr>datelook</vt:lpstr>
      <vt:lpstr>ExpDates</vt:lpstr>
      <vt:lpstr>expiration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Jan Havlíček</cp:lastModifiedBy>
  <cp:lastPrinted>2001-06-22T15:12:17Z</cp:lastPrinted>
  <dcterms:created xsi:type="dcterms:W3CDTF">1999-08-13T14:02:41Z</dcterms:created>
  <dcterms:modified xsi:type="dcterms:W3CDTF">2023-09-16T20:48:47Z</dcterms:modified>
</cp:coreProperties>
</file>