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3DE1EC-D0A8-463C-A477-3BECC27548A2}" xr6:coauthVersionLast="47" xr6:coauthVersionMax="47" xr10:uidLastSave="{00000000-0000-0000-0000-000000000000}"/>
  <bookViews>
    <workbookView xWindow="-120" yWindow="-120" windowWidth="38640" windowHeight="15720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Entity'!$A$1:$I$24</definedName>
    <definedName name="_xlnm.Print_Area" localSheetId="1">'Edison Int''l '!$A$1:$M$36</definedName>
    <definedName name="_xlnm.Print_Area" localSheetId="0">'PG&amp;E Corp. '!$A$1:$M$59</definedName>
    <definedName name="_xlnm.Print_Area" localSheetId="2">'Px - ISO '!$A$1:$M$44</definedName>
    <definedName name="_xlnm.Print_Area" localSheetId="4">Summary!$A$6:$J$87</definedName>
    <definedName name="_xlnm.Print_Titles" localSheetId="4">Summary!$1:$5</definedName>
  </definedNames>
  <calcPr calcId="0" fullCalcOnLoad="1"/>
</workbook>
</file>

<file path=xl/calcChain.xml><?xml version="1.0" encoding="utf-8"?>
<calcChain xmlns="http://schemas.openxmlformats.org/spreadsheetml/2006/main">
  <c r="B7" i="5" l="1"/>
  <c r="D7" i="5"/>
  <c r="F7" i="5"/>
  <c r="H7" i="5"/>
  <c r="B8" i="5"/>
  <c r="D8" i="5"/>
  <c r="E8" i="5"/>
  <c r="H8" i="5"/>
  <c r="B9" i="5"/>
  <c r="D9" i="5"/>
  <c r="F9" i="5"/>
  <c r="G9" i="5"/>
  <c r="H9" i="5"/>
  <c r="B10" i="5"/>
  <c r="E10" i="5"/>
  <c r="H10" i="5"/>
  <c r="B11" i="5"/>
  <c r="G11" i="5"/>
  <c r="H11" i="5"/>
  <c r="B12" i="5"/>
  <c r="G12" i="5"/>
  <c r="H12" i="5"/>
  <c r="B13" i="5"/>
  <c r="D13" i="5"/>
  <c r="E13" i="5"/>
  <c r="F13" i="5"/>
  <c r="G13" i="5"/>
  <c r="H15" i="5"/>
  <c r="J15" i="5"/>
  <c r="B2" i="2"/>
  <c r="K7" i="2"/>
  <c r="H8" i="2"/>
  <c r="J8" i="2"/>
  <c r="H9" i="2"/>
  <c r="J9" i="2"/>
  <c r="H10" i="2"/>
  <c r="J10" i="2"/>
  <c r="F11" i="2"/>
  <c r="H11" i="2"/>
  <c r="J11" i="2"/>
  <c r="J12" i="2"/>
  <c r="K12" i="2"/>
  <c r="L12" i="2"/>
  <c r="K18" i="2"/>
  <c r="J19" i="2"/>
  <c r="H20" i="2"/>
  <c r="J20" i="2"/>
  <c r="J25" i="2"/>
  <c r="K26" i="2"/>
  <c r="J28" i="2"/>
  <c r="K28" i="2"/>
  <c r="L29" i="2"/>
  <c r="N29" i="2"/>
  <c r="J32" i="2"/>
  <c r="K32" i="2"/>
  <c r="L33" i="2"/>
  <c r="N33" i="2"/>
  <c r="J39" i="2"/>
  <c r="K39" i="2"/>
  <c r="H7" i="1"/>
  <c r="J7" i="1"/>
  <c r="K9" i="1"/>
  <c r="H10" i="1"/>
  <c r="J10" i="1"/>
  <c r="H11" i="1"/>
  <c r="J11" i="1"/>
  <c r="H12" i="1"/>
  <c r="J12" i="1"/>
  <c r="J13" i="1"/>
  <c r="K13" i="1"/>
  <c r="L13" i="1"/>
  <c r="J15" i="1"/>
  <c r="J16" i="1"/>
  <c r="L17" i="1"/>
  <c r="J19" i="1"/>
  <c r="K20" i="1"/>
  <c r="L23" i="1"/>
  <c r="H25" i="1"/>
  <c r="J25" i="1"/>
  <c r="J26" i="1"/>
  <c r="L27" i="1"/>
  <c r="K29" i="1"/>
  <c r="H30" i="1"/>
  <c r="J30" i="1"/>
  <c r="J31" i="1"/>
  <c r="K34" i="1"/>
  <c r="J35" i="1"/>
  <c r="K36" i="1"/>
  <c r="J37" i="1"/>
  <c r="K38" i="1"/>
  <c r="K39" i="1"/>
  <c r="K41" i="1"/>
  <c r="H42" i="1"/>
  <c r="K42" i="1"/>
  <c r="J44" i="1"/>
  <c r="K44" i="1"/>
  <c r="L45" i="1"/>
  <c r="N45" i="1"/>
  <c r="J47" i="1"/>
  <c r="K48" i="1"/>
  <c r="J49" i="1"/>
  <c r="K49" i="1"/>
  <c r="L50" i="1"/>
  <c r="J53" i="1"/>
  <c r="K53" i="1"/>
  <c r="L54" i="1"/>
  <c r="N54" i="1"/>
  <c r="J60" i="1"/>
  <c r="K60" i="1"/>
  <c r="B2" i="3"/>
  <c r="F7" i="3"/>
  <c r="J7" i="3"/>
  <c r="G8" i="3"/>
  <c r="K8" i="3"/>
  <c r="G9" i="3"/>
  <c r="K9" i="3"/>
  <c r="J10" i="3"/>
  <c r="J11" i="3"/>
  <c r="J12" i="3"/>
  <c r="F14" i="3"/>
  <c r="G14" i="3"/>
  <c r="J14" i="3"/>
  <c r="K14" i="3"/>
  <c r="G20" i="3"/>
  <c r="K20" i="3"/>
  <c r="G21" i="3"/>
  <c r="K21" i="3"/>
  <c r="F22" i="3"/>
  <c r="J22" i="3"/>
  <c r="G23" i="3"/>
  <c r="K23" i="3"/>
  <c r="G24" i="3"/>
  <c r="K24" i="3"/>
  <c r="G25" i="3"/>
  <c r="K25" i="3"/>
  <c r="K26" i="3"/>
  <c r="J27" i="3"/>
  <c r="E29" i="3"/>
  <c r="F29" i="3"/>
  <c r="G29" i="3"/>
  <c r="J29" i="3"/>
  <c r="K29" i="3"/>
  <c r="G35" i="3"/>
  <c r="L35" i="3"/>
  <c r="G36" i="3"/>
  <c r="L36" i="3"/>
  <c r="G37" i="3"/>
  <c r="L37" i="3"/>
  <c r="G38" i="3"/>
  <c r="J38" i="3"/>
  <c r="L38" i="3"/>
  <c r="G39" i="3"/>
  <c r="L39" i="3"/>
  <c r="G40" i="3"/>
  <c r="J40" i="3"/>
  <c r="L40" i="3"/>
  <c r="G42" i="3"/>
  <c r="J42" i="3"/>
  <c r="L42" i="3"/>
  <c r="G43" i="3"/>
  <c r="J43" i="3"/>
  <c r="L43" i="3"/>
  <c r="G44" i="3"/>
  <c r="J44" i="3"/>
  <c r="L44" i="3"/>
  <c r="B2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I10" i="4"/>
  <c r="J10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I19" i="4"/>
  <c r="J19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I24" i="4"/>
  <c r="J24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I48" i="4"/>
  <c r="J48" i="4"/>
  <c r="E51" i="4"/>
  <c r="I51" i="4"/>
  <c r="F52" i="4"/>
  <c r="J52" i="4"/>
  <c r="F53" i="4"/>
  <c r="J53" i="4"/>
  <c r="F54" i="4"/>
  <c r="J54" i="4"/>
  <c r="F55" i="4"/>
  <c r="J55" i="4"/>
  <c r="E56" i="4"/>
  <c r="I56" i="4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I65" i="4"/>
  <c r="J65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I70" i="4"/>
  <c r="J70" i="4"/>
  <c r="C73" i="4"/>
  <c r="D73" i="4"/>
  <c r="E73" i="4"/>
  <c r="F73" i="4"/>
  <c r="G73" i="4"/>
  <c r="H73" i="4"/>
  <c r="I73" i="4"/>
  <c r="J73" i="4"/>
  <c r="I74" i="4"/>
  <c r="J74" i="4"/>
  <c r="I77" i="4"/>
  <c r="I78" i="4"/>
  <c r="I79" i="4"/>
  <c r="I80" i="4"/>
  <c r="C81" i="4"/>
  <c r="D81" i="4"/>
  <c r="E81" i="4"/>
  <c r="F81" i="4"/>
  <c r="G81" i="4"/>
  <c r="H81" i="4"/>
  <c r="I81" i="4"/>
  <c r="J81" i="4"/>
  <c r="I82" i="4"/>
  <c r="J82" i="4"/>
  <c r="I84" i="4"/>
  <c r="J84" i="4"/>
  <c r="J86" i="4"/>
  <c r="I90" i="4"/>
  <c r="J90" i="4"/>
  <c r="I92" i="4"/>
  <c r="J92" i="4"/>
</calcChain>
</file>

<file path=xl/sharedStrings.xml><?xml version="1.0" encoding="utf-8"?>
<sst xmlns="http://schemas.openxmlformats.org/spreadsheetml/2006/main" count="478" uniqueCount="178">
  <si>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</si>
  <si>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</si>
  <si>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</si>
  <si>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</si>
  <si>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</si>
  <si>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</si>
  <si>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</si>
  <si>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</si>
  <si>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</si>
  <si>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</si>
  <si>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</si>
  <si>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</si>
  <si>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</si>
  <si>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</si>
  <si>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</si>
  <si>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</si>
  <si>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</si>
  <si>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</si>
  <si>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</si>
  <si>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</si>
  <si>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</si>
  <si>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</si>
  <si>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</si>
  <si>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</si>
  <si>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</si>
  <si>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</si>
  <si>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</si>
  <si>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</si>
  <si>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</si>
  <si>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>EES gas exposure with PG&amp;E.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</si>
  <si>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</si>
  <si>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</si>
  <si>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</si>
  <si>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</si>
  <si>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</si>
  <si>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</si>
  <si>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</si>
  <si>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</si>
  <si>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PGE exposure relating to an annuity stream (23 remaining monthly pmts of $2,667,000) for the termination of a long-term power sales agreement 3 years ago.</t>
  </si>
  <si>
    <t>Swap ends March 01.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</si>
  <si>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</si>
  <si>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</si>
  <si>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</si>
  <si>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</si>
  <si>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</si>
  <si>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</si>
  <si>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</si>
  <si>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</si>
  <si>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</si>
  <si>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</si>
  <si>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</si>
  <si>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</si>
  <si>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</si>
  <si>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</si>
  <si>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</si>
  <si>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November 2000 (Real Time Mkt)</t>
  </si>
  <si>
    <t>December 2000 (Real Time Mkt)</t>
  </si>
  <si>
    <t>December 2000 (Core Mkt)</t>
  </si>
  <si>
    <t>December 2000 (Blk FW Mkt)</t>
  </si>
  <si>
    <t>MTD January 2001 (Real Time Mkt)</t>
  </si>
  <si>
    <t>MTD January 2001 (Core Mkt)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</si>
  <si>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</si>
  <si>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</si>
  <si>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</si>
  <si>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</si>
  <si>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</si>
  <si>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</si>
  <si>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</si>
  <si>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</si>
  <si>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</si>
  <si>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</si>
  <si>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</si>
  <si>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Block forward positions out to 12/01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</si>
  <si>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</si>
  <si>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</si>
  <si>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</si>
  <si>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</si>
  <si>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</si>
  <si>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</si>
  <si>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</si>
  <si>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</si>
  <si>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</si>
  <si>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</si>
  <si>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>$1,321,065 due December 30, 2000 assumes A/R accrues at $62,275 per day through January 30, 2001.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</si>
  <si>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</si>
  <si>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</si>
  <si>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</si>
  <si>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</si>
  <si>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</si>
  <si>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</si>
  <si>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</si>
  <si>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</si>
  <si>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</si>
  <si>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</si>
  <si>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</si>
  <si>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</si>
  <si>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</si>
  <si>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</si>
  <si>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</si>
  <si>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</si>
  <si>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</si>
  <si>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</si>
  <si>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</si>
  <si>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 xml:space="preserve">Enron Coal </t>
  </si>
  <si>
    <t>HPL Co.</t>
  </si>
  <si>
    <t xml:space="preserve">Exposure as of </t>
  </si>
  <si>
    <t xml:space="preserve">Enron Wind </t>
  </si>
  <si>
    <t>ECT Resources Int.</t>
  </si>
  <si>
    <t>ECT Resources Ltd.</t>
  </si>
  <si>
    <t>Enron Europe Ltd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</si>
  <si>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</si>
  <si>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</si>
  <si>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</si>
  <si>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</si>
  <si>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</si>
  <si>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</si>
  <si>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</si>
  <si>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</si>
  <si>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PG&amp;E Corp. guaranteed $10MM receivable to EES under retail sales agreement.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</si>
  <si>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</si>
  <si>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</si>
  <si>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</si>
  <si>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</si>
  <si>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</si>
  <si>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</si>
  <si>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</si>
  <si>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</si>
  <si>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</si>
  <si>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</si>
  <si>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</si>
  <si>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</si>
  <si>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</si>
  <si>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</si>
  <si>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</si>
  <si>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</si>
  <si>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</si>
  <si>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</si>
  <si>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</si>
  <si>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>With Master Set Off</t>
  </si>
  <si>
    <t xml:space="preserve">          Subtotal PG&amp;E Trading Subsidiaries</t>
  </si>
  <si>
    <t xml:space="preserve">     Total Exposure to PG&amp;E Trading Subsidiaries</t>
  </si>
  <si>
    <t>(b)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</si>
  <si>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</si>
  <si>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</si>
  <si>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</si>
  <si>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</si>
  <si>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</si>
  <si>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</si>
  <si>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</si>
  <si>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</si>
  <si>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</si>
  <si>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</si>
  <si>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</si>
  <si>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</si>
  <si>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</si>
  <si>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</si>
  <si>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</si>
  <si>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</si>
  <si>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</si>
  <si>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</si>
  <si>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</si>
  <si>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</si>
  <si>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</si>
  <si>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PG&amp;E Energy Trading - Power L.P.</t>
  </si>
  <si>
    <t>EGL</t>
  </si>
  <si>
    <t xml:space="preserve">HPL Resources </t>
  </si>
  <si>
    <t xml:space="preserve">Louisiana Gas </t>
  </si>
  <si>
    <t xml:space="preserve">(a) Total Exposure to Non-Utility Subsidiaries will reduce to $36.8MM with Master Set-Off. </t>
  </si>
  <si>
    <t xml:space="preserve">(a) Total Exposure to PG&amp;E Trading Subsidiaries will reduce to $117.4MM with Master Set-Off. </t>
  </si>
  <si>
    <t xml:space="preserve">(b) Total Relationship Exposure to PG&amp;E will reduce to $898.9MM with Master Set-Off. </t>
  </si>
  <si>
    <t xml:space="preserve">(a) Total Relationship Exposure to EIX will reduce to $382.8MM with Master Set-Off. </t>
  </si>
  <si>
    <t>Px Credit due to EES</t>
  </si>
  <si>
    <t xml:space="preserve">Px Credits due EEMC </t>
  </si>
  <si>
    <t>Px Credits due EEMC</t>
  </si>
  <si>
    <t xml:space="preserve">(b) Total California Utility Exposure assumes netting with the following entities: Both Utilities, PG&amp;E Energy Services, Energy Trading Corporation, </t>
  </si>
  <si>
    <t>(b)/('c)</t>
  </si>
  <si>
    <t>('c) Total California Utility Exposure will reduce to $1.430MM with Master Set-Off.</t>
  </si>
  <si>
    <t>(a) $180MM of exposure assigned from EES on 12/28/00.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</si>
</sst>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b/>
      <i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8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4" fillId="3" borderId="0" xfId="0" applyFont="1" applyFill="1"/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4" fillId="2" borderId="3" xfId="0" applyNumberFormat="1" applyFont="1" applyFill="1" applyBorder="1" applyAlignment="1">
      <alignment horizontal="center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4" fillId="0" borderId="3" xfId="0" applyNumberFormat="1" applyFont="1" applyBorder="1" applyAlignment="1">
      <alignment horizontal="center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7" fillId="0" borderId="0" xfId="0" applyNumberFormat="1" applyFont="1" applyBorder="1" applyAlignment="1">
      <alignment vertical="top"/>
    </xf>
    <xf numFmtId="6" fontId="7" fillId="0" borderId="0" xfId="0" applyNumberFormat="1" applyFont="1" applyAlignment="1">
      <alignment vertical="top"/>
    </xf>
    <xf numFmtId="6" fontId="4" fillId="0" borderId="1" xfId="0" applyNumberFormat="1" applyFont="1" applyBorder="1" applyAlignment="1">
      <alignment horizontal="center" wrapText="1"/>
    </xf>
    <xf numFmtId="6" fontId="7" fillId="0" borderId="4" xfId="0" applyNumberFormat="1" applyFont="1" applyBorder="1" applyProtection="1">
      <protection locked="0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7" fillId="0" borderId="1" xfId="0" applyNumberFormat="1" applyFont="1" applyBorder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5" xfId="0" applyNumberFormat="1" applyFont="1" applyBorder="1" applyProtection="1">
      <protection locked="0"/>
    </xf>
    <xf numFmtId="0" fontId="4" fillId="0" borderId="0" xfId="0" applyFont="1" applyBorder="1"/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 wrapText="1"/>
    </xf>
    <xf numFmtId="17" fontId="7" fillId="0" borderId="0" xfId="0" quotePrefix="1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6" fontId="7" fillId="0" borderId="3" xfId="0" applyNumberFormat="1" applyFont="1" applyFill="1" applyBorder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6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7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Alignment="1"/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7" fillId="0" borderId="7" xfId="0" applyFont="1" applyBorder="1" applyProtection="1">
      <protection locked="0"/>
    </xf>
    <xf numFmtId="0" fontId="7" fillId="0" borderId="8" xfId="0" applyFont="1" applyBorder="1" applyProtection="1">
      <protection locked="0"/>
    </xf>
    <xf numFmtId="6" fontId="7" fillId="0" borderId="8" xfId="0" applyNumberFormat="1" applyFont="1" applyBorder="1"/>
    <xf numFmtId="6" fontId="7" fillId="0" borderId="9" xfId="0" applyNumberFormat="1" applyFont="1" applyBorder="1"/>
    <xf numFmtId="0" fontId="7" fillId="0" borderId="10" xfId="0" applyFont="1" applyFill="1" applyBorder="1" applyProtection="1">
      <protection locked="0"/>
    </xf>
    <xf numFmtId="0" fontId="4" fillId="0" borderId="10" xfId="0" applyFont="1" applyBorder="1" applyProtection="1">
      <protection locked="0"/>
    </xf>
    <xf numFmtId="0" fontId="7" fillId="0" borderId="10" xfId="0" applyFont="1" applyBorder="1" applyProtection="1">
      <protection locked="0"/>
    </xf>
    <xf numFmtId="6" fontId="7" fillId="0" borderId="11" xfId="0" applyNumberFormat="1" applyFont="1" applyBorder="1"/>
    <xf numFmtId="0" fontId="8" fillId="0" borderId="10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8" fillId="0" borderId="10" xfId="0" applyFont="1" applyBorder="1" applyAlignment="1">
      <alignment vertical="top"/>
    </xf>
    <xf numFmtId="0" fontId="10" fillId="0" borderId="10" xfId="0" applyFont="1" applyBorder="1" applyProtection="1">
      <protection locked="0"/>
    </xf>
    <xf numFmtId="0" fontId="7" fillId="0" borderId="10" xfId="0" applyFont="1" applyBorder="1"/>
    <xf numFmtId="0" fontId="4" fillId="0" borderId="10" xfId="0" applyFont="1" applyBorder="1"/>
    <xf numFmtId="0" fontId="4" fillId="0" borderId="12" xfId="0" applyFont="1" applyBorder="1"/>
    <xf numFmtId="0" fontId="7" fillId="0" borderId="13" xfId="0" applyFont="1" applyBorder="1" applyProtection="1">
      <protection locked="0"/>
    </xf>
    <xf numFmtId="6" fontId="7" fillId="0" borderId="13" xfId="0" applyNumberFormat="1" applyFont="1" applyBorder="1" applyProtection="1">
      <protection locked="0"/>
    </xf>
    <xf numFmtId="6" fontId="7" fillId="0" borderId="13" xfId="0" applyNumberFormat="1" applyFont="1" applyBorder="1"/>
    <xf numFmtId="0" fontId="4" fillId="2" borderId="7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6" fontId="7" fillId="2" borderId="8" xfId="0" applyNumberFormat="1" applyFont="1" applyFill="1" applyBorder="1" applyProtection="1">
      <protection locked="0"/>
    </xf>
    <xf numFmtId="6" fontId="4" fillId="2" borderId="8" xfId="0" applyNumberFormat="1" applyFont="1" applyFill="1" applyBorder="1"/>
    <xf numFmtId="0" fontId="4" fillId="2" borderId="10" xfId="0" applyFont="1" applyFill="1" applyBorder="1" applyProtection="1">
      <protection locked="0"/>
    </xf>
    <xf numFmtId="0" fontId="7" fillId="2" borderId="10" xfId="0" applyFont="1" applyFill="1" applyBorder="1" applyProtection="1">
      <protection locked="0"/>
    </xf>
    <xf numFmtId="6" fontId="7" fillId="2" borderId="11" xfId="0" applyNumberFormat="1" applyFont="1" applyFill="1" applyBorder="1"/>
    <xf numFmtId="0" fontId="4" fillId="2" borderId="10" xfId="0" applyFont="1" applyFill="1" applyBorder="1" applyAlignment="1">
      <alignment vertical="top"/>
    </xf>
    <xf numFmtId="6" fontId="4" fillId="2" borderId="11" xfId="0" applyNumberFormat="1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/>
    </xf>
    <xf numFmtId="0" fontId="7" fillId="0" borderId="12" xfId="0" applyFont="1" applyBorder="1" applyProtection="1">
      <protection locked="0"/>
    </xf>
    <xf numFmtId="6" fontId="7" fillId="0" borderId="14" xfId="0" applyNumberFormat="1" applyFont="1" applyBorder="1"/>
    <xf numFmtId="6" fontId="7" fillId="0" borderId="0" xfId="0" applyNumberFormat="1" applyFont="1" applyBorder="1" applyAlignment="1">
      <alignment horizontal="left" vertical="top" wrapText="1"/>
    </xf>
    <xf numFmtId="6" fontId="7" fillId="0" borderId="0" xfId="0" applyNumberFormat="1" applyFont="1" applyBorder="1" applyAlignment="1">
      <alignment horizontal="center"/>
    </xf>
    <xf numFmtId="6" fontId="4" fillId="0" borderId="13" xfId="0" applyNumberFormat="1" applyFont="1" applyBorder="1" applyAlignment="1">
      <alignment horizontal="center"/>
    </xf>
    <xf numFmtId="6" fontId="7" fillId="2" borderId="9" xfId="0" applyNumberFormat="1" applyFont="1" applyFill="1" applyBorder="1"/>
    <xf numFmtId="0" fontId="7" fillId="2" borderId="11" xfId="0" applyFont="1" applyFill="1" applyBorder="1"/>
    <xf numFmtId="6" fontId="7" fillId="0" borderId="11" xfId="0" applyNumberFormat="1" applyFont="1" applyFill="1" applyBorder="1"/>
    <xf numFmtId="6" fontId="7" fillId="0" borderId="11" xfId="0" applyNumberFormat="1" applyFont="1" applyBorder="1" applyAlignment="1">
      <alignment horizontal="center" vertical="top" wrapText="1"/>
    </xf>
    <xf numFmtId="0" fontId="7" fillId="2" borderId="7" xfId="0" applyFont="1" applyFill="1" applyBorder="1" applyAlignment="1" applyProtection="1">
      <alignment vertical="top"/>
      <protection locked="0"/>
    </xf>
    <xf numFmtId="0" fontId="7" fillId="2" borderId="8" xfId="0" applyFont="1" applyFill="1" applyBorder="1" applyAlignment="1" applyProtection="1">
      <alignment vertical="top"/>
      <protection locked="0"/>
    </xf>
    <xf numFmtId="6" fontId="4" fillId="2" borderId="8" xfId="0" applyNumberFormat="1" applyFont="1" applyFill="1" applyBorder="1" applyAlignment="1" applyProtection="1">
      <alignment horizontal="right" vertical="top"/>
      <protection locked="0"/>
    </xf>
    <xf numFmtId="0" fontId="4" fillId="2" borderId="9" xfId="0" applyFont="1" applyFill="1" applyBorder="1" applyAlignment="1" applyProtection="1">
      <alignment horizontal="right" vertical="top"/>
      <protection locked="0"/>
    </xf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horizontal="right" vertical="top"/>
      <protection locked="0"/>
    </xf>
    <xf numFmtId="0" fontId="7" fillId="7" borderId="10" xfId="0" applyFont="1" applyFill="1" applyBorder="1" applyAlignment="1">
      <alignment vertical="top"/>
    </xf>
    <xf numFmtId="0" fontId="7" fillId="7" borderId="0" xfId="0" applyFont="1" applyFill="1" applyBorder="1" applyAlignment="1">
      <alignment vertical="top"/>
    </xf>
    <xf numFmtId="6" fontId="7" fillId="7" borderId="0" xfId="0" applyNumberFormat="1" applyFont="1" applyFill="1" applyBorder="1" applyAlignment="1">
      <alignment vertical="top"/>
    </xf>
    <xf numFmtId="6" fontId="7" fillId="7" borderId="0" xfId="0" applyNumberFormat="1" applyFont="1" applyFill="1" applyBorder="1" applyAlignment="1" applyProtection="1">
      <alignment vertical="top"/>
      <protection locked="0"/>
    </xf>
    <xf numFmtId="0" fontId="4" fillId="2" borderId="10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13" xfId="0" applyFont="1" applyBorder="1"/>
    <xf numFmtId="40" fontId="7" fillId="0" borderId="13" xfId="0" applyNumberFormat="1" applyFont="1" applyBorder="1"/>
    <xf numFmtId="6" fontId="7" fillId="0" borderId="13" xfId="0" applyNumberFormat="1" applyFont="1" applyBorder="1" applyAlignment="1" applyProtection="1">
      <alignment vertical="top"/>
      <protection locked="0"/>
    </xf>
    <xf numFmtId="38" fontId="4" fillId="0" borderId="13" xfId="0" applyNumberFormat="1" applyFont="1" applyBorder="1"/>
    <xf numFmtId="6" fontId="4" fillId="0" borderId="13" xfId="0" applyNumberFormat="1" applyFont="1" applyBorder="1" applyAlignment="1">
      <alignment horizontal="center" vertical="top" wrapText="1"/>
    </xf>
    <xf numFmtId="0" fontId="4" fillId="0" borderId="14" xfId="0" applyFont="1" applyBorder="1" applyAlignment="1" applyProtection="1">
      <alignment horizontal="right" vertical="top"/>
      <protection locked="0"/>
    </xf>
    <xf numFmtId="0" fontId="4" fillId="0" borderId="7" xfId="0" applyFont="1" applyBorder="1"/>
    <xf numFmtId="0" fontId="7" fillId="0" borderId="8" xfId="0" applyFont="1" applyBorder="1"/>
    <xf numFmtId="40" fontId="7" fillId="0" borderId="8" xfId="0" applyNumberFormat="1" applyFont="1" applyBorder="1"/>
    <xf numFmtId="6" fontId="7" fillId="0" borderId="8" xfId="0" applyNumberFormat="1" applyFont="1" applyBorder="1" applyAlignment="1" applyProtection="1">
      <alignment vertical="top"/>
      <protection locked="0"/>
    </xf>
    <xf numFmtId="38" fontId="4" fillId="0" borderId="8" xfId="0" applyNumberFormat="1" applyFont="1" applyBorder="1"/>
    <xf numFmtId="6" fontId="4" fillId="0" borderId="8" xfId="0" applyNumberFormat="1" applyFont="1" applyBorder="1" applyAlignment="1">
      <alignment horizontal="center" vertical="top" wrapText="1"/>
    </xf>
    <xf numFmtId="0" fontId="4" fillId="0" borderId="9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38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11" xfId="0" applyFont="1" applyBorder="1" applyAlignment="1" applyProtection="1">
      <alignment horizontal="right" vertical="top"/>
      <protection locked="0"/>
    </xf>
    <xf numFmtId="0" fontId="7" fillId="4" borderId="10" xfId="0" applyFont="1" applyFill="1" applyBorder="1" applyProtection="1">
      <protection locked="0"/>
    </xf>
    <xf numFmtId="0" fontId="7" fillId="4" borderId="0" xfId="0" applyFont="1" applyFill="1" applyBorder="1" applyProtection="1">
      <protection locked="0"/>
    </xf>
    <xf numFmtId="6" fontId="7" fillId="4" borderId="0" xfId="0" applyNumberFormat="1" applyFont="1" applyFill="1" applyBorder="1" applyProtection="1">
      <protection locked="0"/>
    </xf>
    <xf numFmtId="6" fontId="7" fillId="4" borderId="0" xfId="0" applyNumberFormat="1" applyFont="1" applyFill="1" applyBorder="1"/>
    <xf numFmtId="6" fontId="7" fillId="4" borderId="11" xfId="0" applyNumberFormat="1" applyFont="1" applyFill="1" applyBorder="1"/>
    <xf numFmtId="0" fontId="4" fillId="0" borderId="10" xfId="0" applyFont="1" applyBorder="1" applyAlignment="1" applyProtection="1">
      <alignment vertical="top"/>
      <protection locked="0"/>
    </xf>
    <xf numFmtId="0" fontId="4" fillId="0" borderId="0" xfId="0" applyFont="1" applyBorder="1" applyAlignment="1" applyProtection="1">
      <alignment vertical="top"/>
      <protection locked="0"/>
    </xf>
    <xf numFmtId="6" fontId="4" fillId="0" borderId="0" xfId="0" applyNumberFormat="1" applyFont="1" applyBorder="1" applyAlignment="1" applyProtection="1">
      <alignment vertical="top"/>
      <protection locked="0"/>
    </xf>
    <xf numFmtId="6" fontId="4" fillId="0" borderId="0" xfId="0" applyNumberFormat="1" applyFont="1" applyBorder="1" applyAlignment="1">
      <alignment vertical="top"/>
    </xf>
    <xf numFmtId="0" fontId="7" fillId="0" borderId="11" xfId="0" applyFont="1" applyBorder="1"/>
    <xf numFmtId="0" fontId="7" fillId="0" borderId="10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vertical="top"/>
      <protection locked="0"/>
    </xf>
    <xf numFmtId="6" fontId="4" fillId="0" borderId="10" xfId="0" applyNumberFormat="1" applyFont="1" applyBorder="1"/>
    <xf numFmtId="6" fontId="4" fillId="0" borderId="12" xfId="0" applyNumberFormat="1" applyFont="1" applyBorder="1"/>
    <xf numFmtId="6" fontId="4" fillId="0" borderId="13" xfId="0" applyNumberFormat="1" applyFont="1" applyBorder="1" applyProtection="1">
      <protection locked="0"/>
    </xf>
    <xf numFmtId="0" fontId="4" fillId="0" borderId="13" xfId="0" applyFont="1" applyBorder="1"/>
    <xf numFmtId="0" fontId="7" fillId="0" borderId="14" xfId="0" applyFont="1" applyBorder="1"/>
    <xf numFmtId="6" fontId="4" fillId="2" borderId="0" xfId="0" applyNumberFormat="1" applyFont="1" applyFill="1" applyBorder="1" applyAlignment="1">
      <alignment horizontal="left" vertical="top" wrapText="1"/>
    </xf>
    <xf numFmtId="6" fontId="4" fillId="0" borderId="0" xfId="0" applyNumberFormat="1" applyFont="1" applyBorder="1" applyAlignment="1">
      <alignment horizontal="left" wrapText="1"/>
    </xf>
    <xf numFmtId="6" fontId="7" fillId="0" borderId="0" xfId="0" applyNumberFormat="1" applyFont="1" applyBorder="1" applyAlignment="1">
      <alignment horizontal="left" wrapText="1"/>
    </xf>
    <xf numFmtId="6" fontId="7" fillId="2" borderId="8" xfId="0" applyNumberFormat="1" applyFont="1" applyFill="1" applyBorder="1" applyAlignment="1">
      <alignment horizontal="left" vertical="top" wrapText="1"/>
    </xf>
    <xf numFmtId="6" fontId="7" fillId="7" borderId="3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Protection="1">
      <protection locked="0"/>
    </xf>
    <xf numFmtId="0" fontId="4" fillId="2" borderId="0" xfId="0" applyFont="1" applyFill="1" applyBorder="1"/>
    <xf numFmtId="0" fontId="4" fillId="2" borderId="8" xfId="0" applyFont="1" applyFill="1" applyBorder="1" applyAlignment="1" applyProtection="1">
      <alignment vertical="top"/>
      <protection locked="0"/>
    </xf>
    <xf numFmtId="0" fontId="4" fillId="7" borderId="0" xfId="0" applyFont="1" applyFill="1" applyBorder="1" applyAlignment="1">
      <alignment vertical="top"/>
    </xf>
    <xf numFmtId="0" fontId="4" fillId="0" borderId="0" xfId="0" applyFont="1" applyBorder="1" applyProtection="1">
      <protection locked="0"/>
    </xf>
    <xf numFmtId="0" fontId="4" fillId="6" borderId="0" xfId="0" applyFont="1" applyFill="1" applyBorder="1" applyProtection="1">
      <protection locked="0"/>
    </xf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8" xfId="0" applyFont="1" applyFill="1" applyBorder="1" applyProtection="1">
      <protection locked="0"/>
    </xf>
    <xf numFmtId="6" fontId="4" fillId="0" borderId="8" xfId="0" applyNumberFormat="1" applyFont="1" applyBorder="1"/>
    <xf numFmtId="0" fontId="4" fillId="0" borderId="12" xfId="0" applyFont="1" applyBorder="1" applyProtection="1">
      <protection locked="0"/>
    </xf>
    <xf numFmtId="0" fontId="7" fillId="1" borderId="7" xfId="0" applyFont="1" applyFill="1" applyBorder="1"/>
    <xf numFmtId="0" fontId="7" fillId="1" borderId="8" xfId="0" applyFont="1" applyFill="1" applyBorder="1"/>
    <xf numFmtId="6" fontId="7" fillId="1" borderId="8" xfId="0" applyNumberFormat="1" applyFont="1" applyFill="1" applyBorder="1"/>
    <xf numFmtId="6" fontId="7" fillId="1" borderId="9" xfId="0" applyNumberFormat="1" applyFont="1" applyFill="1" applyBorder="1"/>
    <xf numFmtId="0" fontId="7" fillId="1" borderId="10" xfId="0" applyFont="1" applyFill="1" applyBorder="1"/>
    <xf numFmtId="0" fontId="7" fillId="1" borderId="0" xfId="0" applyFont="1" applyFill="1" applyBorder="1"/>
    <xf numFmtId="6" fontId="7" fillId="1" borderId="0" xfId="0" applyNumberFormat="1" applyFont="1" applyFill="1" applyBorder="1"/>
    <xf numFmtId="6" fontId="4" fillId="1" borderId="1" xfId="0" applyNumberFormat="1" applyFont="1" applyFill="1" applyBorder="1"/>
    <xf numFmtId="6" fontId="7" fillId="1" borderId="3" xfId="0" applyNumberFormat="1" applyFont="1" applyFill="1" applyBorder="1"/>
    <xf numFmtId="6" fontId="7" fillId="1" borderId="11" xfId="0" applyNumberFormat="1" applyFont="1" applyFill="1" applyBorder="1"/>
    <xf numFmtId="0" fontId="4" fillId="1" borderId="10" xfId="0" applyFont="1" applyFill="1" applyBorder="1"/>
    <xf numFmtId="6" fontId="4" fillId="1" borderId="3" xfId="0" applyNumberFormat="1" applyFont="1" applyFill="1" applyBorder="1" applyAlignment="1">
      <alignment horizontal="center"/>
    </xf>
    <xf numFmtId="0" fontId="7" fillId="1" borderId="12" xfId="0" applyFont="1" applyFill="1" applyBorder="1"/>
    <xf numFmtId="0" fontId="7" fillId="1" borderId="13" xfId="0" applyFont="1" applyFill="1" applyBorder="1"/>
    <xf numFmtId="6" fontId="7" fillId="1" borderId="13" xfId="0" applyNumberFormat="1" applyFont="1" applyFill="1" applyBorder="1"/>
    <xf numFmtId="6" fontId="7" fillId="1" borderId="14" xfId="0" applyNumberFormat="1" applyFont="1" applyFill="1" applyBorder="1"/>
    <xf numFmtId="6" fontId="4" fillId="1" borderId="15" xfId="0" applyNumberFormat="1" applyFont="1" applyFill="1" applyBorder="1" applyProtection="1">
      <protection locked="0"/>
    </xf>
    <xf numFmtId="6" fontId="4" fillId="1" borderId="3" xfId="0" applyNumberFormat="1" applyFont="1" applyFill="1" applyBorder="1" applyProtection="1">
      <protection locked="0"/>
    </xf>
    <xf numFmtId="0" fontId="7" fillId="1" borderId="3" xfId="0" applyFont="1" applyFill="1" applyBorder="1"/>
    <xf numFmtId="6" fontId="4" fillId="1" borderId="7" xfId="0" applyNumberFormat="1" applyFont="1" applyFill="1" applyBorder="1"/>
    <xf numFmtId="0" fontId="7" fillId="1" borderId="8" xfId="0" applyFont="1" applyFill="1" applyBorder="1" applyProtection="1">
      <protection locked="0"/>
    </xf>
    <xf numFmtId="6" fontId="7" fillId="1" borderId="8" xfId="0" applyNumberFormat="1" applyFont="1" applyFill="1" applyBorder="1" applyProtection="1">
      <protection locked="0"/>
    </xf>
    <xf numFmtId="0" fontId="4" fillId="1" borderId="8" xfId="0" applyFont="1" applyFill="1" applyBorder="1"/>
    <xf numFmtId="0" fontId="7" fillId="1" borderId="9" xfId="0" applyFont="1" applyFill="1" applyBorder="1"/>
    <xf numFmtId="6" fontId="4" fillId="1" borderId="10" xfId="0" applyNumberFormat="1" applyFont="1" applyFill="1" applyBorder="1"/>
    <xf numFmtId="0" fontId="7" fillId="1" borderId="0" xfId="0" applyFont="1" applyFill="1" applyBorder="1" applyProtection="1">
      <protection locked="0"/>
    </xf>
    <xf numFmtId="6" fontId="7" fillId="1" borderId="0" xfId="0" applyNumberFormat="1" applyFont="1" applyFill="1" applyBorder="1" applyProtection="1">
      <protection locked="0"/>
    </xf>
    <xf numFmtId="0" fontId="7" fillId="1" borderId="11" xfId="0" applyFont="1" applyFill="1" applyBorder="1"/>
    <xf numFmtId="6" fontId="4" fillId="1" borderId="13" xfId="0" applyNumberFormat="1" applyFont="1" applyFill="1" applyBorder="1" applyAlignment="1">
      <alignment horizontal="center"/>
    </xf>
    <xf numFmtId="0" fontId="7" fillId="1" borderId="14" xfId="0" applyFont="1" applyFill="1" applyBorder="1"/>
    <xf numFmtId="0" fontId="0" fillId="0" borderId="7" xfId="0" applyBorder="1"/>
    <xf numFmtId="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6" fontId="0" fillId="0" borderId="0" xfId="0" applyNumberForma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1" xfId="0" applyFont="1" applyFill="1" applyBorder="1"/>
    <xf numFmtId="6" fontId="7" fillId="0" borderId="0" xfId="0" applyNumberFormat="1" applyFont="1" applyProtection="1">
      <protection locked="0"/>
    </xf>
    <xf numFmtId="6" fontId="4" fillId="0" borderId="0" xfId="0" applyNumberFormat="1" applyFont="1" applyAlignment="1" applyProtection="1">
      <alignment vertical="top"/>
      <protection locked="0"/>
    </xf>
    <xf numFmtId="0" fontId="4" fillId="0" borderId="0" xfId="0" applyFont="1" applyBorder="1" applyAlignment="1">
      <alignment vertical="top"/>
    </xf>
    <xf numFmtId="6" fontId="7" fillId="2" borderId="8" xfId="0" applyNumberFormat="1" applyFont="1" applyFill="1" applyBorder="1" applyAlignment="1" applyProtection="1">
      <alignment vertical="top"/>
      <protection locked="0"/>
    </xf>
    <xf numFmtId="0" fontId="5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abSelected="1" zoomScale="75" workbookViewId="0">
      <pane ySplit="6" topLeftCell="A36" activePane="bottomLeft" state="frozen"/>
      <selection pane="bottomLeft"/>
    </sheetView>
  </sheetViews>
  <sheetFormatPr defaultColWidth="20.5703125" defaultRowHeight="15" x14ac:dyDescent="0.2"/>
  <cols>
    <col min="1" max="1" width="58.140625" style="23" customWidth="1"/>
    <col min="2" max="2" width="20.5703125" style="23" customWidth="1"/>
    <col min="3" max="3" width="20.5703125" style="23" hidden="1" customWidth="1"/>
    <col min="4" max="8" width="20.5703125" style="23" customWidth="1"/>
    <col min="9" max="9" width="20.5703125" style="23" hidden="1" customWidth="1"/>
    <col min="10" max="11" width="20.5703125" style="23" customWidth="1"/>
    <col min="12" max="12" width="46.5703125" style="23" customWidth="1"/>
    <col min="13" max="13" width="5.85546875" style="23" customWidth="1"/>
    <col min="14" max="16384" width="20.5703125" style="23"/>
  </cols>
  <sheetData>
    <row r="1" spans="1:23" ht="18" x14ac:dyDescent="0.25">
      <c r="A1" s="140" t="s">
        <v>85</v>
      </c>
      <c r="B1" s="141"/>
      <c r="C1" s="141"/>
    </row>
    <row r="2" spans="1:23" ht="18" x14ac:dyDescent="0.25">
      <c r="A2" s="17" t="s">
        <v>84</v>
      </c>
      <c r="B2" s="16">
        <v>36908</v>
      </c>
      <c r="C2" s="16"/>
    </row>
    <row r="3" spans="1:23" s="41" customFormat="1" ht="15.75" x14ac:dyDescent="0.25">
      <c r="M3" s="32"/>
      <c r="N3" s="43"/>
    </row>
    <row r="4" spans="1:23" s="20" customFormat="1" ht="15.75" x14ac:dyDescent="0.25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23" s="20" customFormat="1" ht="15.75" x14ac:dyDescent="0.25">
      <c r="A5" s="21" t="s">
        <v>13</v>
      </c>
      <c r="B5" s="21" t="s">
        <v>14</v>
      </c>
      <c r="C5" s="21" t="s">
        <v>154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23" ht="15.7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23" s="25" customFormat="1" ht="20.100000000000001" customHeight="1" x14ac:dyDescent="0.25">
      <c r="A7" s="209" t="s">
        <v>0</v>
      </c>
      <c r="B7" s="210" t="s">
        <v>99</v>
      </c>
      <c r="C7" s="210" t="s">
        <v>150</v>
      </c>
      <c r="D7" s="211">
        <v>0</v>
      </c>
      <c r="E7" s="211">
        <v>-3387062</v>
      </c>
      <c r="F7" s="211">
        <v>67748252</v>
      </c>
      <c r="G7" s="211">
        <v>-1025578</v>
      </c>
      <c r="H7" s="211">
        <f>+F7+G7</f>
        <v>66722674</v>
      </c>
      <c r="I7" s="211">
        <v>66503871</v>
      </c>
      <c r="J7" s="211">
        <f>+H7+E7</f>
        <v>63335612</v>
      </c>
      <c r="K7" s="212">
        <v>0</v>
      </c>
      <c r="L7" s="212"/>
      <c r="M7" s="224"/>
      <c r="N7" s="24"/>
      <c r="O7" s="24"/>
    </row>
    <row r="8" spans="1:23" s="25" customFormat="1" ht="20.100000000000001" customHeight="1" x14ac:dyDescent="0.25">
      <c r="A8" s="213" t="s">
        <v>0</v>
      </c>
      <c r="B8" s="172" t="s">
        <v>100</v>
      </c>
      <c r="C8" s="172" t="s">
        <v>150</v>
      </c>
      <c r="D8" s="173">
        <v>13796187</v>
      </c>
      <c r="E8" s="173">
        <v>-34259559</v>
      </c>
      <c r="F8" s="173">
        <v>57911844</v>
      </c>
      <c r="G8" s="173">
        <v>-8523860</v>
      </c>
      <c r="H8" s="173">
        <v>49387984</v>
      </c>
      <c r="I8" s="173">
        <v>15128425</v>
      </c>
      <c r="J8" s="173">
        <v>28924612</v>
      </c>
      <c r="K8" s="174">
        <v>0</v>
      </c>
      <c r="L8" s="174"/>
      <c r="M8" s="215"/>
      <c r="N8" s="24"/>
      <c r="O8" s="24"/>
    </row>
    <row r="9" spans="1:23" s="25" customFormat="1" ht="20.100000000000001" customHeight="1" x14ac:dyDescent="0.25">
      <c r="A9" s="214" t="s">
        <v>0</v>
      </c>
      <c r="B9" s="175" t="s">
        <v>101</v>
      </c>
      <c r="C9" s="172" t="s">
        <v>150</v>
      </c>
      <c r="D9" s="173">
        <v>0</v>
      </c>
      <c r="E9" s="173">
        <v>-83975667</v>
      </c>
      <c r="F9" s="173">
        <v>1726200</v>
      </c>
      <c r="G9" s="173">
        <v>0</v>
      </c>
      <c r="H9" s="173">
        <v>1726200</v>
      </c>
      <c r="I9" s="173">
        <v>-82249467</v>
      </c>
      <c r="J9" s="173">
        <v>0</v>
      </c>
      <c r="K9" s="176">
        <f>+H9+E9</f>
        <v>-82249467</v>
      </c>
      <c r="L9" s="176"/>
      <c r="M9" s="215"/>
      <c r="N9" s="24"/>
      <c r="O9" s="24"/>
    </row>
    <row r="10" spans="1:23" s="25" customFormat="1" ht="20.100000000000001" customHeight="1" x14ac:dyDescent="0.25">
      <c r="A10" s="216" t="s">
        <v>0</v>
      </c>
      <c r="B10" s="177" t="s">
        <v>128</v>
      </c>
      <c r="C10" s="283" t="s">
        <v>128</v>
      </c>
      <c r="D10" s="96">
        <v>0</v>
      </c>
      <c r="E10" s="178">
        <v>185000000</v>
      </c>
      <c r="F10" s="179">
        <v>155000000</v>
      </c>
      <c r="G10" s="179">
        <v>0</v>
      </c>
      <c r="H10" s="179">
        <f>+G10+F10</f>
        <v>155000000</v>
      </c>
      <c r="I10" s="179"/>
      <c r="J10" s="179">
        <f>+H10+E10+D10</f>
        <v>340000000</v>
      </c>
      <c r="K10" s="174">
        <v>0</v>
      </c>
      <c r="L10" s="174" t="s">
        <v>171</v>
      </c>
      <c r="M10" s="215"/>
      <c r="N10" s="24"/>
      <c r="O10" s="24"/>
    </row>
    <row r="11" spans="1:23" s="25" customFormat="1" ht="19.5" customHeight="1" x14ac:dyDescent="0.25">
      <c r="A11" s="216" t="s">
        <v>0</v>
      </c>
      <c r="B11" s="177" t="s">
        <v>26</v>
      </c>
      <c r="C11" s="283" t="s">
        <v>128</v>
      </c>
      <c r="D11" s="96">
        <v>0</v>
      </c>
      <c r="E11" s="96">
        <v>220000000</v>
      </c>
      <c r="F11" s="96">
        <v>139000000</v>
      </c>
      <c r="G11" s="96">
        <v>0</v>
      </c>
      <c r="H11" s="96">
        <f>+F11+G11</f>
        <v>139000000</v>
      </c>
      <c r="I11" s="96"/>
      <c r="J11" s="96">
        <f>+H11+E11+D11</f>
        <v>359000000</v>
      </c>
      <c r="K11" s="96">
        <v>0</v>
      </c>
      <c r="L11" s="97" t="s">
        <v>172</v>
      </c>
      <c r="M11" s="217"/>
    </row>
    <row r="12" spans="1:23" s="25" customFormat="1" ht="21" customHeight="1" thickBot="1" x14ac:dyDescent="0.25">
      <c r="A12" s="218" t="s">
        <v>0</v>
      </c>
      <c r="B12" s="180" t="s">
        <v>102</v>
      </c>
      <c r="C12" s="177" t="s">
        <v>155</v>
      </c>
      <c r="D12" s="181">
        <v>0</v>
      </c>
      <c r="E12" s="181">
        <v>0</v>
      </c>
      <c r="F12" s="181">
        <v>159872.91</v>
      </c>
      <c r="G12" s="181">
        <v>0</v>
      </c>
      <c r="H12" s="181">
        <f>+F12+G12</f>
        <v>159872.91</v>
      </c>
      <c r="I12" s="181"/>
      <c r="J12" s="26">
        <f>+H12</f>
        <v>159872.91</v>
      </c>
      <c r="K12" s="26">
        <v>0</v>
      </c>
      <c r="L12" s="27"/>
      <c r="M12" s="225"/>
    </row>
    <row r="13" spans="1:23" ht="20.100000000000001" customHeight="1" thickTop="1" thickBot="1" x14ac:dyDescent="0.3">
      <c r="A13" s="213" t="s">
        <v>24</v>
      </c>
      <c r="B13" s="175"/>
      <c r="C13" s="175"/>
      <c r="D13" s="173"/>
      <c r="E13" s="173"/>
      <c r="F13" s="173"/>
      <c r="G13" s="173"/>
      <c r="H13" s="173"/>
      <c r="I13" s="173"/>
      <c r="J13" s="173">
        <f>SUM(J7:J12)</f>
        <v>791420096.90999997</v>
      </c>
      <c r="K13" s="173">
        <f>SUM(K7:K12)</f>
        <v>-82249467</v>
      </c>
      <c r="L13" s="28">
        <f>+J13+K13</f>
        <v>709170629.90999997</v>
      </c>
      <c r="M13" s="215"/>
      <c r="N13" s="24"/>
      <c r="O13" s="24"/>
      <c r="P13" s="25"/>
      <c r="Q13" s="25"/>
      <c r="R13" s="25"/>
      <c r="S13" s="25"/>
      <c r="T13" s="25"/>
      <c r="U13" s="25"/>
      <c r="V13" s="25"/>
      <c r="W13" s="25"/>
    </row>
    <row r="14" spans="1:23" ht="16.5" thickTop="1" thickBot="1" x14ac:dyDescent="0.25">
      <c r="A14" s="219"/>
      <c r="B14" s="206"/>
      <c r="C14" s="206"/>
      <c r="D14" s="207"/>
      <c r="E14" s="207"/>
      <c r="F14" s="207"/>
      <c r="G14" s="207"/>
      <c r="H14" s="207"/>
      <c r="I14" s="207"/>
      <c r="J14" s="207"/>
      <c r="K14" s="208"/>
      <c r="L14" s="208"/>
      <c r="M14" s="220"/>
      <c r="N14" s="29"/>
      <c r="O14" s="29"/>
    </row>
    <row r="15" spans="1:23" ht="20.100000000000001" customHeight="1" x14ac:dyDescent="0.25">
      <c r="A15" s="191" t="s">
        <v>2</v>
      </c>
      <c r="B15" s="192" t="s">
        <v>99</v>
      </c>
      <c r="C15" s="282" t="s">
        <v>150</v>
      </c>
      <c r="D15" s="343">
        <v>0</v>
      </c>
      <c r="E15" s="343">
        <v>0</v>
      </c>
      <c r="F15" s="343">
        <v>50460</v>
      </c>
      <c r="G15" s="343">
        <v>0</v>
      </c>
      <c r="H15" s="343">
        <v>50460</v>
      </c>
      <c r="I15" s="343">
        <v>50460</v>
      </c>
      <c r="J15" s="343">
        <f>+H15+E15</f>
        <v>50460</v>
      </c>
      <c r="K15" s="193">
        <v>0</v>
      </c>
      <c r="L15" s="193"/>
      <c r="M15" s="194"/>
      <c r="N15" s="29"/>
      <c r="O15" s="29"/>
    </row>
    <row r="16" spans="1:23" s="105" customFormat="1" ht="20.100000000000001" customHeight="1" thickBot="1" x14ac:dyDescent="0.3">
      <c r="A16" s="195" t="s">
        <v>2</v>
      </c>
      <c r="B16" s="184" t="s">
        <v>100</v>
      </c>
      <c r="C16" s="282" t="s">
        <v>150</v>
      </c>
      <c r="D16" s="343">
        <v>0</v>
      </c>
      <c r="E16" s="343">
        <v>0</v>
      </c>
      <c r="F16" s="343">
        <v>290238</v>
      </c>
      <c r="G16" s="343">
        <v>0</v>
      </c>
      <c r="H16" s="343">
        <v>290238</v>
      </c>
      <c r="I16" s="343">
        <v>290238</v>
      </c>
      <c r="J16" s="343">
        <f>+H16+E16</f>
        <v>290238</v>
      </c>
      <c r="K16" s="185">
        <v>0</v>
      </c>
      <c r="L16" s="144"/>
      <c r="M16" s="226"/>
      <c r="N16" s="102"/>
      <c r="O16" s="102"/>
    </row>
    <row r="17" spans="1:15" ht="20.100000000000001" customHeight="1" thickTop="1" thickBot="1" x14ac:dyDescent="0.3">
      <c r="A17" s="196" t="s">
        <v>25</v>
      </c>
      <c r="B17" s="186"/>
      <c r="C17" s="186"/>
      <c r="D17" s="170"/>
      <c r="E17" s="170"/>
      <c r="F17" s="170"/>
      <c r="G17" s="170"/>
      <c r="H17" s="170"/>
      <c r="I17" s="170"/>
      <c r="J17" s="170"/>
      <c r="K17" s="99"/>
      <c r="L17" s="33">
        <f>+SUM(J15:J16)</f>
        <v>340698</v>
      </c>
      <c r="M17" s="198"/>
      <c r="N17" s="29"/>
      <c r="O17" s="29"/>
    </row>
    <row r="18" spans="1:15" ht="15.75" thickTop="1" x14ac:dyDescent="0.2">
      <c r="A18" s="197"/>
      <c r="B18" s="186"/>
      <c r="C18" s="186"/>
      <c r="D18" s="170"/>
      <c r="E18" s="170"/>
      <c r="F18" s="170"/>
      <c r="G18" s="170"/>
      <c r="H18" s="170"/>
      <c r="I18" s="170"/>
      <c r="J18" s="170"/>
      <c r="K18" s="99"/>
      <c r="L18" s="99"/>
      <c r="M18" s="198"/>
      <c r="N18" s="29"/>
      <c r="O18" s="29"/>
    </row>
    <row r="19" spans="1:15" ht="20.100000000000001" customHeight="1" x14ac:dyDescent="0.25">
      <c r="A19" s="199" t="s">
        <v>3</v>
      </c>
      <c r="B19" s="187" t="s">
        <v>103</v>
      </c>
      <c r="C19" s="282" t="s">
        <v>151</v>
      </c>
      <c r="D19" s="343">
        <v>0</v>
      </c>
      <c r="E19" s="343">
        <v>65974</v>
      </c>
      <c r="F19" s="343">
        <v>0</v>
      </c>
      <c r="G19" s="343">
        <v>0</v>
      </c>
      <c r="H19" s="343">
        <v>0</v>
      </c>
      <c r="I19" s="343">
        <v>65974</v>
      </c>
      <c r="J19" s="343">
        <f>+H19+E19</f>
        <v>65974</v>
      </c>
      <c r="K19" s="99">
        <v>0</v>
      </c>
      <c r="L19" s="99"/>
      <c r="M19" s="198"/>
      <c r="N19" s="29"/>
      <c r="O19" s="29"/>
    </row>
    <row r="20" spans="1:15" ht="20.100000000000001" customHeight="1" x14ac:dyDescent="0.25">
      <c r="A20" s="199" t="s">
        <v>3</v>
      </c>
      <c r="B20" s="187" t="s">
        <v>100</v>
      </c>
      <c r="C20" s="282" t="s">
        <v>150</v>
      </c>
      <c r="D20" s="343">
        <v>-6140318</v>
      </c>
      <c r="E20" s="170">
        <v>0</v>
      </c>
      <c r="F20" s="170">
        <v>0</v>
      </c>
      <c r="G20" s="170">
        <v>0</v>
      </c>
      <c r="H20" s="170">
        <v>0</v>
      </c>
      <c r="I20" s="170">
        <v>-1414833</v>
      </c>
      <c r="J20" s="170">
        <v>0</v>
      </c>
      <c r="K20" s="99">
        <f>+D20</f>
        <v>-6140318</v>
      </c>
      <c r="L20" s="99"/>
      <c r="M20" s="198"/>
      <c r="N20" s="29"/>
      <c r="O20" s="29"/>
    </row>
    <row r="21" spans="1:15" ht="20.100000000000001" customHeight="1" x14ac:dyDescent="0.25">
      <c r="A21" s="199" t="s">
        <v>3</v>
      </c>
      <c r="B21" s="187" t="s">
        <v>100</v>
      </c>
      <c r="C21" s="282" t="s">
        <v>150</v>
      </c>
      <c r="D21" s="170">
        <v>0</v>
      </c>
      <c r="E21" s="343">
        <v>-2144322</v>
      </c>
      <c r="F21" s="343">
        <v>9173264</v>
      </c>
      <c r="G21" s="343">
        <v>-6287916</v>
      </c>
      <c r="H21" s="343">
        <v>2885348</v>
      </c>
      <c r="I21" s="343">
        <v>741026</v>
      </c>
      <c r="J21" s="343">
        <v>741026</v>
      </c>
      <c r="K21" s="99">
        <v>0</v>
      </c>
      <c r="L21" s="99"/>
      <c r="M21" s="198"/>
      <c r="N21" s="29"/>
      <c r="O21" s="29"/>
    </row>
    <row r="22" spans="1:15" ht="20.100000000000001" customHeight="1" thickBot="1" x14ac:dyDescent="0.3">
      <c r="A22" s="200" t="s">
        <v>3</v>
      </c>
      <c r="B22" s="188" t="s">
        <v>101</v>
      </c>
      <c r="C22" s="282" t="s">
        <v>150</v>
      </c>
      <c r="D22" s="343">
        <v>0</v>
      </c>
      <c r="E22" s="343">
        <v>229333966</v>
      </c>
      <c r="F22" s="343">
        <v>168497152</v>
      </c>
      <c r="G22" s="343">
        <v>-217683033</v>
      </c>
      <c r="H22" s="343">
        <v>-49185881</v>
      </c>
      <c r="I22" s="343">
        <v>180148085</v>
      </c>
      <c r="J22" s="343">
        <v>180148085</v>
      </c>
      <c r="K22" s="99">
        <v>0</v>
      </c>
      <c r="L22" s="46"/>
      <c r="M22" s="198"/>
      <c r="N22" s="29"/>
      <c r="O22" s="29"/>
    </row>
    <row r="23" spans="1:15" ht="20.100000000000001" customHeight="1" thickTop="1" thickBot="1" x14ac:dyDescent="0.3">
      <c r="A23" s="200" t="s">
        <v>132</v>
      </c>
      <c r="B23" s="188"/>
      <c r="C23" s="188"/>
      <c r="D23" s="170"/>
      <c r="E23" s="170"/>
      <c r="F23" s="170"/>
      <c r="G23" s="170"/>
      <c r="H23" s="170"/>
      <c r="I23" s="170"/>
      <c r="J23" s="170"/>
      <c r="K23" s="46"/>
      <c r="L23" s="38">
        <f>+SUM(J19:J22)+SUM(K19:K22)</f>
        <v>174814767</v>
      </c>
      <c r="M23" s="198"/>
      <c r="N23" s="29"/>
      <c r="O23" s="29"/>
    </row>
    <row r="24" spans="1:15" ht="20.100000000000001" customHeight="1" thickTop="1" x14ac:dyDescent="0.25">
      <c r="A24" s="200"/>
      <c r="B24" s="188"/>
      <c r="C24" s="188"/>
      <c r="D24" s="170"/>
      <c r="E24" s="170"/>
      <c r="F24" s="170"/>
      <c r="G24" s="170"/>
      <c r="H24" s="170"/>
      <c r="I24" s="170"/>
      <c r="J24" s="170"/>
      <c r="K24" s="46"/>
      <c r="L24" s="46"/>
      <c r="M24" s="198"/>
      <c r="N24" s="29"/>
      <c r="O24" s="29"/>
    </row>
    <row r="25" spans="1:15" s="100" customFormat="1" ht="30" x14ac:dyDescent="0.2">
      <c r="A25" s="201" t="s">
        <v>131</v>
      </c>
      <c r="B25" s="189" t="s">
        <v>26</v>
      </c>
      <c r="C25" s="345" t="s">
        <v>128</v>
      </c>
      <c r="D25" s="35">
        <v>0</v>
      </c>
      <c r="E25" s="35">
        <v>0</v>
      </c>
      <c r="F25" s="35">
        <v>10248582</v>
      </c>
      <c r="G25" s="35">
        <v>0</v>
      </c>
      <c r="H25" s="35">
        <f>+F25-G25</f>
        <v>10248582</v>
      </c>
      <c r="I25" s="35"/>
      <c r="J25" s="35">
        <f>+H25+E25</f>
        <v>10248582</v>
      </c>
      <c r="K25" s="36">
        <v>0</v>
      </c>
      <c r="L25" s="221" t="s">
        <v>118</v>
      </c>
      <c r="M25" s="227"/>
      <c r="N25" s="37"/>
      <c r="O25" s="37"/>
    </row>
    <row r="26" spans="1:15" s="100" customFormat="1" ht="16.5" thickBot="1" x14ac:dyDescent="0.3">
      <c r="A26" s="202" t="s">
        <v>134</v>
      </c>
      <c r="B26" s="186" t="s">
        <v>100</v>
      </c>
      <c r="C26" s="282" t="s">
        <v>150</v>
      </c>
      <c r="D26" s="343">
        <v>0</v>
      </c>
      <c r="E26" s="343">
        <v>0</v>
      </c>
      <c r="F26" s="343">
        <v>1880884</v>
      </c>
      <c r="G26" s="343">
        <v>0</v>
      </c>
      <c r="H26" s="343">
        <v>1880884</v>
      </c>
      <c r="I26" s="343">
        <v>1880884</v>
      </c>
      <c r="J26" s="343">
        <f>+H26+E26</f>
        <v>1880884</v>
      </c>
      <c r="K26" s="99">
        <v>0</v>
      </c>
      <c r="L26" s="221"/>
      <c r="M26" s="227"/>
      <c r="N26" s="37"/>
      <c r="O26" s="37"/>
    </row>
    <row r="27" spans="1:15" ht="20.100000000000001" customHeight="1" thickTop="1" thickBot="1" x14ac:dyDescent="0.3">
      <c r="A27" s="201" t="s">
        <v>135</v>
      </c>
      <c r="B27" s="189"/>
      <c r="C27" s="189"/>
      <c r="D27" s="170"/>
      <c r="E27" s="170"/>
      <c r="F27" s="170"/>
      <c r="G27" s="170"/>
      <c r="H27" s="170"/>
      <c r="I27" s="170"/>
      <c r="J27" s="170"/>
      <c r="K27" s="170"/>
      <c r="L27" s="38">
        <f>+J25+J26</f>
        <v>12129466</v>
      </c>
      <c r="M27" s="198"/>
      <c r="N27" s="29"/>
      <c r="O27" s="29"/>
    </row>
    <row r="28" spans="1:15" ht="15.75" thickTop="1" x14ac:dyDescent="0.2">
      <c r="A28" s="201"/>
      <c r="B28" s="189"/>
      <c r="C28" s="189"/>
      <c r="D28" s="170"/>
      <c r="E28" s="170"/>
      <c r="F28" s="170"/>
      <c r="G28" s="170"/>
      <c r="H28" s="170"/>
      <c r="I28" s="170"/>
      <c r="J28" s="170"/>
      <c r="K28" s="99"/>
      <c r="L28" s="99"/>
      <c r="M28" s="198"/>
      <c r="N28" s="29"/>
      <c r="O28" s="29"/>
    </row>
    <row r="29" spans="1:15" ht="20.100000000000001" customHeight="1" x14ac:dyDescent="0.25">
      <c r="A29" s="199" t="s">
        <v>4</v>
      </c>
      <c r="B29" s="187" t="s">
        <v>99</v>
      </c>
      <c r="C29" s="282" t="s">
        <v>150</v>
      </c>
      <c r="D29" s="343">
        <v>-69339317</v>
      </c>
      <c r="E29" s="170">
        <v>0</v>
      </c>
      <c r="F29" s="170">
        <v>0</v>
      </c>
      <c r="G29" s="170">
        <v>0</v>
      </c>
      <c r="H29" s="170">
        <v>0</v>
      </c>
      <c r="I29" s="170">
        <v>13062536</v>
      </c>
      <c r="J29" s="170">
        <v>0</v>
      </c>
      <c r="K29" s="99">
        <f>+D29</f>
        <v>-69339317</v>
      </c>
      <c r="L29" s="99"/>
      <c r="M29" s="198"/>
      <c r="N29" s="29"/>
      <c r="O29" s="29"/>
    </row>
    <row r="30" spans="1:15" ht="20.100000000000001" customHeight="1" x14ac:dyDescent="0.25">
      <c r="A30" s="199" t="s">
        <v>4</v>
      </c>
      <c r="B30" s="187" t="s">
        <v>99</v>
      </c>
      <c r="C30" s="282" t="s">
        <v>150</v>
      </c>
      <c r="D30" s="170">
        <v>0</v>
      </c>
      <c r="E30" s="343">
        <v>-33587600</v>
      </c>
      <c r="F30" s="343">
        <v>117553733</v>
      </c>
      <c r="G30" s="343">
        <v>-70727284</v>
      </c>
      <c r="H30" s="343">
        <f>+F30+G30</f>
        <v>46826449</v>
      </c>
      <c r="I30" s="343">
        <v>46594264</v>
      </c>
      <c r="J30" s="343">
        <f>+H30+E30</f>
        <v>13238849</v>
      </c>
      <c r="K30" s="99">
        <v>0</v>
      </c>
      <c r="L30" s="99"/>
      <c r="M30" s="198"/>
      <c r="N30" s="29"/>
      <c r="O30" s="29"/>
    </row>
    <row r="31" spans="1:15" ht="20.100000000000001" customHeight="1" thickBot="1" x14ac:dyDescent="0.3">
      <c r="A31" s="199" t="s">
        <v>4</v>
      </c>
      <c r="B31" s="187" t="s">
        <v>100</v>
      </c>
      <c r="C31" s="282" t="s">
        <v>150</v>
      </c>
      <c r="D31" s="343">
        <v>0</v>
      </c>
      <c r="E31" s="343">
        <v>-433158</v>
      </c>
      <c r="F31" s="343">
        <v>10078686</v>
      </c>
      <c r="G31" s="343">
        <v>-8818458</v>
      </c>
      <c r="H31" s="343">
        <v>1260228</v>
      </c>
      <c r="I31" s="343">
        <v>827070</v>
      </c>
      <c r="J31" s="343">
        <f>+H31+E31</f>
        <v>827070</v>
      </c>
      <c r="K31" s="99">
        <v>0</v>
      </c>
      <c r="L31" s="99"/>
      <c r="M31" s="198"/>
      <c r="N31" s="29"/>
      <c r="O31" s="29"/>
    </row>
    <row r="32" spans="1:15" ht="20.100000000000001" customHeight="1" thickTop="1" thickBot="1" x14ac:dyDescent="0.3">
      <c r="A32" s="199" t="s">
        <v>27</v>
      </c>
      <c r="B32" s="186"/>
      <c r="C32" s="186"/>
      <c r="D32" s="170"/>
      <c r="E32" s="170"/>
      <c r="F32" s="170"/>
      <c r="G32" s="170"/>
      <c r="H32" s="170"/>
      <c r="I32" s="170"/>
      <c r="J32" s="170"/>
      <c r="K32" s="99"/>
      <c r="L32" s="38">
        <v>0</v>
      </c>
      <c r="M32" s="198"/>
      <c r="N32" s="29"/>
      <c r="O32" s="29"/>
    </row>
    <row r="33" spans="1:15" ht="15.75" thickTop="1" x14ac:dyDescent="0.2">
      <c r="A33" s="197"/>
      <c r="B33" s="186"/>
      <c r="C33" s="186"/>
      <c r="D33" s="170"/>
      <c r="E33" s="170"/>
      <c r="F33" s="170"/>
      <c r="G33" s="170"/>
      <c r="H33" s="170"/>
      <c r="I33" s="170"/>
      <c r="J33" s="170"/>
      <c r="K33" s="99"/>
      <c r="L33" s="99"/>
      <c r="M33" s="198"/>
      <c r="N33" s="29"/>
      <c r="O33" s="29"/>
    </row>
    <row r="34" spans="1:15" ht="20.100000000000001" customHeight="1" x14ac:dyDescent="0.25">
      <c r="A34" s="197" t="s">
        <v>5</v>
      </c>
      <c r="B34" s="186" t="s">
        <v>99</v>
      </c>
      <c r="C34" s="282" t="s">
        <v>150</v>
      </c>
      <c r="D34" s="343">
        <v>0</v>
      </c>
      <c r="E34" s="343">
        <v>245610</v>
      </c>
      <c r="F34" s="343">
        <v>0</v>
      </c>
      <c r="G34" s="343">
        <v>-2552230</v>
      </c>
      <c r="H34" s="343">
        <v>-2552230</v>
      </c>
      <c r="I34" s="343">
        <v>-4134430</v>
      </c>
      <c r="J34" s="343">
        <v>0</v>
      </c>
      <c r="K34" s="99">
        <f>+H34+E34</f>
        <v>-2306620</v>
      </c>
      <c r="L34" s="99"/>
      <c r="M34" s="198"/>
      <c r="N34" s="29"/>
      <c r="O34" s="29"/>
    </row>
    <row r="35" spans="1:15" ht="20.100000000000001" customHeight="1" x14ac:dyDescent="0.25">
      <c r="A35" s="197" t="s">
        <v>5</v>
      </c>
      <c r="B35" s="22" t="s">
        <v>107</v>
      </c>
      <c r="C35" s="287" t="s">
        <v>150</v>
      </c>
      <c r="D35" s="343">
        <v>0</v>
      </c>
      <c r="E35" s="343">
        <v>219571</v>
      </c>
      <c r="F35" s="343">
        <v>0</v>
      </c>
      <c r="G35" s="343">
        <v>0</v>
      </c>
      <c r="H35" s="343">
        <v>0</v>
      </c>
      <c r="I35" s="343">
        <v>219571</v>
      </c>
      <c r="J35" s="343">
        <f>+H35+E35</f>
        <v>219571</v>
      </c>
      <c r="K35" s="99">
        <v>0</v>
      </c>
      <c r="L35" s="99"/>
      <c r="M35" s="198"/>
      <c r="N35" s="29"/>
      <c r="O35" s="29"/>
    </row>
    <row r="36" spans="1:15" ht="20.100000000000001" customHeight="1" x14ac:dyDescent="0.25">
      <c r="A36" s="197" t="s">
        <v>5</v>
      </c>
      <c r="B36" s="22" t="s">
        <v>164</v>
      </c>
      <c r="C36" s="287" t="s">
        <v>150</v>
      </c>
      <c r="D36" s="343">
        <v>0</v>
      </c>
      <c r="E36" s="343">
        <v>-439141</v>
      </c>
      <c r="F36" s="343">
        <v>0</v>
      </c>
      <c r="G36" s="343">
        <v>0</v>
      </c>
      <c r="H36" s="343">
        <v>0</v>
      </c>
      <c r="I36" s="343">
        <v>-439141</v>
      </c>
      <c r="J36" s="343">
        <v>0</v>
      </c>
      <c r="K36" s="99">
        <f>+H36+E36</f>
        <v>-439141</v>
      </c>
      <c r="L36" s="99"/>
      <c r="M36" s="198"/>
      <c r="N36" s="29"/>
      <c r="O36" s="29"/>
    </row>
    <row r="37" spans="1:15" ht="20.100000000000001" customHeight="1" x14ac:dyDescent="0.25">
      <c r="A37" s="197" t="s">
        <v>5</v>
      </c>
      <c r="B37" s="186" t="s">
        <v>100</v>
      </c>
      <c r="C37" s="282" t="s">
        <v>150</v>
      </c>
      <c r="D37" s="343">
        <v>15378735</v>
      </c>
      <c r="E37" s="170">
        <v>0</v>
      </c>
      <c r="F37" s="170">
        <v>0</v>
      </c>
      <c r="G37" s="170">
        <v>0</v>
      </c>
      <c r="H37" s="170">
        <v>0</v>
      </c>
      <c r="I37" s="170">
        <v>-22486468</v>
      </c>
      <c r="J37" s="170">
        <f>+H37+D37</f>
        <v>15378735</v>
      </c>
      <c r="K37" s="99">
        <v>0</v>
      </c>
      <c r="L37" s="99"/>
      <c r="M37" s="198"/>
      <c r="N37" s="29"/>
      <c r="O37" s="29"/>
    </row>
    <row r="38" spans="1:15" ht="20.100000000000001" customHeight="1" x14ac:dyDescent="0.25">
      <c r="A38" s="197" t="s">
        <v>5</v>
      </c>
      <c r="B38" s="186" t="s">
        <v>100</v>
      </c>
      <c r="C38" s="282" t="s">
        <v>150</v>
      </c>
      <c r="D38" s="170">
        <v>0</v>
      </c>
      <c r="E38" s="343">
        <v>-13842833</v>
      </c>
      <c r="F38" s="343">
        <v>157195731</v>
      </c>
      <c r="G38" s="343">
        <v>-166877353</v>
      </c>
      <c r="H38" s="343">
        <v>-9681622</v>
      </c>
      <c r="I38" s="343">
        <v>-23524455</v>
      </c>
      <c r="J38" s="343">
        <v>0</v>
      </c>
      <c r="K38" s="99">
        <f>+H38+E38</f>
        <v>-23524455</v>
      </c>
      <c r="L38" s="99"/>
      <c r="M38" s="198"/>
      <c r="N38" s="29"/>
      <c r="O38" s="29"/>
    </row>
    <row r="39" spans="1:15" ht="20.100000000000001" customHeight="1" x14ac:dyDescent="0.25">
      <c r="A39" s="197" t="s">
        <v>5</v>
      </c>
      <c r="B39" s="186" t="s">
        <v>104</v>
      </c>
      <c r="C39" s="282" t="s">
        <v>150</v>
      </c>
      <c r="D39" s="343">
        <v>0</v>
      </c>
      <c r="E39" s="343">
        <v>0</v>
      </c>
      <c r="F39" s="343">
        <v>1370682</v>
      </c>
      <c r="G39" s="343">
        <v>-3131575</v>
      </c>
      <c r="H39" s="343">
        <v>-1760893</v>
      </c>
      <c r="I39" s="343">
        <v>-1760893</v>
      </c>
      <c r="J39" s="343">
        <v>0</v>
      </c>
      <c r="K39" s="99">
        <f>+H39+E39</f>
        <v>-1760893</v>
      </c>
      <c r="L39" s="99"/>
      <c r="M39" s="198"/>
      <c r="N39" s="29"/>
      <c r="O39" s="29"/>
    </row>
    <row r="40" spans="1:15" ht="20.100000000000001" customHeight="1" x14ac:dyDescent="0.25">
      <c r="A40" s="197" t="s">
        <v>5</v>
      </c>
      <c r="B40" s="22" t="s">
        <v>165</v>
      </c>
      <c r="C40" s="287" t="s">
        <v>150</v>
      </c>
      <c r="D40" s="343">
        <v>0</v>
      </c>
      <c r="E40" s="343">
        <v>270707</v>
      </c>
      <c r="F40" s="343">
        <v>0</v>
      </c>
      <c r="G40" s="343">
        <v>0</v>
      </c>
      <c r="H40" s="343">
        <v>0</v>
      </c>
      <c r="I40" s="343">
        <v>270707</v>
      </c>
      <c r="J40" s="343">
        <v>270707</v>
      </c>
      <c r="K40" s="99">
        <v>0</v>
      </c>
      <c r="L40" s="99"/>
      <c r="M40" s="198"/>
      <c r="N40" s="29"/>
      <c r="O40" s="29"/>
    </row>
    <row r="41" spans="1:15" ht="20.100000000000001" customHeight="1" x14ac:dyDescent="0.25">
      <c r="A41" s="197" t="s">
        <v>5</v>
      </c>
      <c r="B41" s="22" t="s">
        <v>166</v>
      </c>
      <c r="C41" s="287" t="s">
        <v>150</v>
      </c>
      <c r="D41" s="343">
        <v>0</v>
      </c>
      <c r="E41" s="343">
        <v>-219571</v>
      </c>
      <c r="F41" s="343">
        <v>0</v>
      </c>
      <c r="G41" s="343">
        <v>0</v>
      </c>
      <c r="H41" s="343">
        <v>0</v>
      </c>
      <c r="I41" s="343">
        <v>-219571</v>
      </c>
      <c r="J41" s="343">
        <v>0</v>
      </c>
      <c r="K41" s="99">
        <f>+H41+E41</f>
        <v>-219571</v>
      </c>
      <c r="L41" s="99"/>
      <c r="M41" s="198"/>
      <c r="N41" s="29"/>
      <c r="O41" s="29"/>
    </row>
    <row r="42" spans="1:15" ht="20.100000000000001" customHeight="1" thickBot="1" x14ac:dyDescent="0.3">
      <c r="A42" s="203" t="s">
        <v>28</v>
      </c>
      <c r="B42" s="190" t="s">
        <v>21</v>
      </c>
      <c r="C42" s="58" t="s">
        <v>128</v>
      </c>
      <c r="D42" s="170">
        <v>0</v>
      </c>
      <c r="E42" s="170">
        <v>2800000</v>
      </c>
      <c r="F42" s="39">
        <v>3200000</v>
      </c>
      <c r="G42" s="39">
        <v>-8200000</v>
      </c>
      <c r="H42" s="39">
        <f>+G42+F42</f>
        <v>-5000000</v>
      </c>
      <c r="I42" s="170"/>
      <c r="J42" s="170">
        <v>0</v>
      </c>
      <c r="K42" s="99">
        <f>+H42+E42</f>
        <v>-2200000</v>
      </c>
      <c r="L42" s="222" t="s">
        <v>29</v>
      </c>
      <c r="M42" s="198"/>
      <c r="N42" s="29"/>
      <c r="O42" s="29"/>
    </row>
    <row r="43" spans="1:15" ht="20.100000000000001" customHeight="1" thickTop="1" thickBot="1" x14ac:dyDescent="0.3">
      <c r="A43" s="204" t="s">
        <v>31</v>
      </c>
      <c r="B43" s="186"/>
      <c r="C43" s="186"/>
      <c r="D43" s="170"/>
      <c r="E43" s="170"/>
      <c r="F43" s="170"/>
      <c r="G43" s="170"/>
      <c r="H43" s="170"/>
      <c r="I43" s="170"/>
      <c r="J43" s="182"/>
      <c r="K43" s="183"/>
      <c r="L43" s="38">
        <v>0</v>
      </c>
      <c r="M43" s="198"/>
      <c r="N43" s="29"/>
      <c r="O43" s="29"/>
    </row>
    <row r="44" spans="1:15" ht="17.25" thickTop="1" thickBot="1" x14ac:dyDescent="0.3">
      <c r="A44" s="196" t="s">
        <v>139</v>
      </c>
      <c r="B44" s="186"/>
      <c r="C44" s="186"/>
      <c r="D44" s="170"/>
      <c r="E44" s="170"/>
      <c r="F44" s="170"/>
      <c r="G44" s="170"/>
      <c r="H44" s="170"/>
      <c r="I44" s="170"/>
      <c r="J44" s="170">
        <f>SUM(J15:J42)</f>
        <v>223360181</v>
      </c>
      <c r="K44" s="170">
        <f>SUM(K15:K42)</f>
        <v>-105930315</v>
      </c>
      <c r="L44" s="42"/>
      <c r="M44" s="198"/>
      <c r="N44" s="29"/>
      <c r="O44" s="29"/>
    </row>
    <row r="45" spans="1:15" ht="20.100000000000001" customHeight="1" thickTop="1" thickBot="1" x14ac:dyDescent="0.3">
      <c r="A45" s="204" t="s">
        <v>140</v>
      </c>
      <c r="B45" s="186"/>
      <c r="C45" s="186"/>
      <c r="D45" s="170"/>
      <c r="E45" s="170"/>
      <c r="F45" s="170"/>
      <c r="G45" s="170"/>
      <c r="H45" s="170"/>
      <c r="I45" s="170"/>
      <c r="J45" s="170"/>
      <c r="K45" s="99"/>
      <c r="L45" s="33">
        <f>+L23+L27+L17</f>
        <v>187284931</v>
      </c>
      <c r="M45" s="198" t="s">
        <v>136</v>
      </c>
      <c r="N45" s="29">
        <f>+L45+SUM(J29:J31)+SUM(K29:K31)+SUM(J34:J42)+SUM(K34:K42)</f>
        <v>117429866</v>
      </c>
      <c r="O45" s="29" t="s">
        <v>138</v>
      </c>
    </row>
    <row r="46" spans="1:15" ht="17.25" thickTop="1" thickBot="1" x14ac:dyDescent="0.3">
      <c r="A46" s="205"/>
      <c r="B46" s="206"/>
      <c r="C46" s="206"/>
      <c r="D46" s="207"/>
      <c r="E46" s="207"/>
      <c r="F46" s="207"/>
      <c r="G46" s="207"/>
      <c r="H46" s="207"/>
      <c r="I46" s="207"/>
      <c r="J46" s="207"/>
      <c r="K46" s="208"/>
      <c r="L46" s="223"/>
      <c r="M46" s="220"/>
      <c r="N46" s="29"/>
      <c r="O46" s="29"/>
    </row>
    <row r="47" spans="1:15" ht="20.100000000000001" customHeight="1" x14ac:dyDescent="0.25">
      <c r="A47" s="296" t="s">
        <v>6</v>
      </c>
      <c r="B47" s="297" t="s">
        <v>99</v>
      </c>
      <c r="C47" s="298" t="s">
        <v>150</v>
      </c>
      <c r="D47" s="343">
        <v>0</v>
      </c>
      <c r="E47" s="343">
        <v>72283453</v>
      </c>
      <c r="F47" s="343">
        <v>0</v>
      </c>
      <c r="G47" s="343">
        <v>0</v>
      </c>
      <c r="H47" s="343">
        <v>0</v>
      </c>
      <c r="I47" s="343">
        <v>4928856</v>
      </c>
      <c r="J47" s="343">
        <f>+H47+E47</f>
        <v>72283453</v>
      </c>
      <c r="K47" s="299">
        <v>0</v>
      </c>
      <c r="L47" s="299"/>
      <c r="M47" s="194"/>
      <c r="N47" s="29"/>
      <c r="O47" s="29"/>
    </row>
    <row r="48" spans="1:15" ht="20.100000000000001" customHeight="1" x14ac:dyDescent="0.25">
      <c r="A48" s="202" t="s">
        <v>6</v>
      </c>
      <c r="B48" s="186" t="s">
        <v>100</v>
      </c>
      <c r="C48" s="282" t="s">
        <v>150</v>
      </c>
      <c r="D48" s="343">
        <v>0</v>
      </c>
      <c r="E48" s="343">
        <v>-18609904</v>
      </c>
      <c r="F48" s="343">
        <v>0</v>
      </c>
      <c r="G48" s="343">
        <v>3374</v>
      </c>
      <c r="H48" s="343">
        <v>3374</v>
      </c>
      <c r="I48" s="343">
        <v>-18606530</v>
      </c>
      <c r="J48" s="182">
        <v>0</v>
      </c>
      <c r="K48" s="183">
        <f>+H48+E48</f>
        <v>-18606530</v>
      </c>
      <c r="L48" s="99"/>
      <c r="M48" s="198"/>
      <c r="N48" s="29"/>
      <c r="O48" s="29"/>
    </row>
    <row r="49" spans="1:15" ht="20.100000000000001" customHeight="1" thickBot="1" x14ac:dyDescent="0.3">
      <c r="A49" s="202"/>
      <c r="B49" s="186"/>
      <c r="C49" s="186"/>
      <c r="D49" s="170"/>
      <c r="E49" s="170"/>
      <c r="F49" s="170"/>
      <c r="G49" s="170"/>
      <c r="H49" s="170"/>
      <c r="I49" s="170"/>
      <c r="J49" s="170">
        <f>SUM(J47:J48)</f>
        <v>72283453</v>
      </c>
      <c r="K49" s="99">
        <f>SUM(K47:K48)</f>
        <v>-18606530</v>
      </c>
      <c r="L49" s="190"/>
      <c r="M49" s="198"/>
      <c r="N49" s="29"/>
      <c r="O49" s="29"/>
    </row>
    <row r="50" spans="1:15" ht="17.25" thickTop="1" thickBot="1" x14ac:dyDescent="0.3">
      <c r="A50" s="203"/>
      <c r="B50" s="190"/>
      <c r="C50" s="190"/>
      <c r="D50" s="99"/>
      <c r="E50" s="99"/>
      <c r="F50" s="99"/>
      <c r="G50" s="99"/>
      <c r="H50" s="99"/>
      <c r="I50" s="99"/>
      <c r="J50" s="190"/>
      <c r="K50" s="190"/>
      <c r="L50" s="171">
        <f>+J49</f>
        <v>72283453</v>
      </c>
      <c r="M50" s="198"/>
      <c r="N50" s="29"/>
      <c r="O50" s="29"/>
    </row>
    <row r="51" spans="1:15" ht="20.100000000000001" customHeight="1" thickTop="1" thickBot="1" x14ac:dyDescent="0.3">
      <c r="A51" s="300"/>
      <c r="B51" s="243"/>
      <c r="C51" s="243"/>
      <c r="D51" s="208"/>
      <c r="E51" s="208"/>
      <c r="F51" s="208"/>
      <c r="G51" s="208"/>
      <c r="H51" s="208"/>
      <c r="I51" s="208"/>
      <c r="J51" s="208"/>
      <c r="K51" s="208"/>
      <c r="L51" s="243"/>
      <c r="M51" s="220"/>
      <c r="N51" s="29"/>
      <c r="O51" s="29"/>
    </row>
    <row r="52" spans="1:15" ht="15.75" thickBot="1" x14ac:dyDescent="0.25">
      <c r="A52" s="301"/>
      <c r="B52" s="302"/>
      <c r="C52" s="302"/>
      <c r="D52" s="303"/>
      <c r="E52" s="303"/>
      <c r="F52" s="303"/>
      <c r="G52" s="303"/>
      <c r="H52" s="303"/>
      <c r="I52" s="303"/>
      <c r="J52" s="303"/>
      <c r="K52" s="303"/>
      <c r="L52" s="303"/>
      <c r="M52" s="304"/>
      <c r="N52" s="29"/>
      <c r="O52" s="29"/>
    </row>
    <row r="53" spans="1:15" ht="17.25" thickTop="1" thickBot="1" x14ac:dyDescent="0.3">
      <c r="A53" s="305"/>
      <c r="B53" s="306"/>
      <c r="C53" s="306"/>
      <c r="D53" s="307"/>
      <c r="E53" s="307"/>
      <c r="F53" s="307"/>
      <c r="G53" s="307"/>
      <c r="H53" s="307"/>
      <c r="I53" s="307"/>
      <c r="J53" s="308">
        <f>+J13+J44+J49</f>
        <v>1087063730.9099998</v>
      </c>
      <c r="K53" s="308">
        <f>+K13+K44+K49</f>
        <v>-206786312</v>
      </c>
      <c r="L53" s="309"/>
      <c r="M53" s="310"/>
      <c r="N53" s="29"/>
      <c r="O53" s="29"/>
    </row>
    <row r="54" spans="1:15" ht="20.100000000000001" customHeight="1" thickTop="1" thickBot="1" x14ac:dyDescent="0.3">
      <c r="A54" s="311" t="s">
        <v>30</v>
      </c>
      <c r="B54" s="306"/>
      <c r="C54" s="306"/>
      <c r="D54" s="307"/>
      <c r="E54" s="307"/>
      <c r="F54" s="307"/>
      <c r="G54" s="307"/>
      <c r="H54" s="307"/>
      <c r="I54" s="307"/>
      <c r="J54" s="306"/>
      <c r="K54" s="306"/>
      <c r="L54" s="312">
        <f>+L13+L45+L50</f>
        <v>968739013.90999997</v>
      </c>
      <c r="M54" s="310" t="s">
        <v>141</v>
      </c>
      <c r="N54" s="29">
        <f>+L13+N45+L50</f>
        <v>898883948.90999997</v>
      </c>
      <c r="O54" s="29" t="s">
        <v>138</v>
      </c>
    </row>
    <row r="55" spans="1:15" ht="16.5" thickTop="1" thickBot="1" x14ac:dyDescent="0.25">
      <c r="A55" s="313"/>
      <c r="B55" s="314"/>
      <c r="C55" s="314"/>
      <c r="D55" s="315"/>
      <c r="E55" s="315"/>
      <c r="F55" s="315"/>
      <c r="G55" s="315"/>
      <c r="H55" s="315"/>
      <c r="I55" s="315"/>
      <c r="J55" s="315"/>
      <c r="K55" s="315"/>
      <c r="L55" s="315"/>
      <c r="M55" s="316"/>
      <c r="N55" s="29"/>
      <c r="O55" s="29"/>
    </row>
    <row r="56" spans="1:15" ht="15.75" x14ac:dyDescent="0.25">
      <c r="A56" s="23" t="s">
        <v>137</v>
      </c>
      <c r="D56" s="29"/>
      <c r="E56" s="29"/>
      <c r="F56" s="29"/>
      <c r="G56" s="29"/>
      <c r="H56" s="46"/>
      <c r="I56" s="29"/>
      <c r="J56" s="29"/>
      <c r="K56" s="29"/>
      <c r="L56" s="29"/>
      <c r="M56" s="29"/>
      <c r="N56" s="29"/>
      <c r="O56" s="29"/>
    </row>
    <row r="57" spans="1:15" x14ac:dyDescent="0.2">
      <c r="A57" s="105" t="s">
        <v>168</v>
      </c>
      <c r="B57" s="105"/>
      <c r="C57" s="105"/>
      <c r="D57" s="102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1:15" x14ac:dyDescent="0.2">
      <c r="A58" s="105" t="s">
        <v>169</v>
      </c>
      <c r="B58" s="105"/>
      <c r="C58" s="105"/>
      <c r="D58" s="102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1:15" s="105" customFormat="1" ht="18" x14ac:dyDescent="0.25">
      <c r="A59" s="347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1:15" ht="15.75" x14ac:dyDescent="0.25">
      <c r="D60" s="29"/>
      <c r="E60" s="29"/>
      <c r="F60" s="29"/>
      <c r="G60" s="29"/>
      <c r="H60" s="11" t="s">
        <v>129</v>
      </c>
      <c r="I60" s="29"/>
      <c r="J60" s="143">
        <f>+J53-J25-J11-J10-J42-J12</f>
        <v>377655275.99999982</v>
      </c>
      <c r="K60" s="143">
        <f>+K53-K25-K11-K10-K42-K12</f>
        <v>-204586312</v>
      </c>
      <c r="L60" s="29"/>
      <c r="M60" s="29"/>
      <c r="N60" s="29"/>
      <c r="O60" s="29"/>
    </row>
    <row r="61" spans="1:15" x14ac:dyDescent="0.2">
      <c r="D61" s="29"/>
      <c r="E61" s="29"/>
      <c r="F61" s="29"/>
      <c r="G61" s="29"/>
      <c r="H61" s="29"/>
      <c r="I61" s="29"/>
      <c r="J61" s="143"/>
      <c r="K61" s="143"/>
      <c r="L61" s="29"/>
      <c r="M61" s="29"/>
      <c r="N61" s="29"/>
      <c r="O61" s="29"/>
    </row>
    <row r="62" spans="1:15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x14ac:dyDescent="0.2"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x14ac:dyDescent="0.2"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4:15" x14ac:dyDescent="0.2"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4:15" x14ac:dyDescent="0.2">
      <c r="D66" s="29"/>
      <c r="E66" s="29"/>
      <c r="F66" s="99"/>
      <c r="G66" s="29"/>
      <c r="H66" s="29"/>
      <c r="I66" s="29"/>
      <c r="J66" s="29"/>
      <c r="K66" s="29"/>
      <c r="L66" s="29"/>
      <c r="M66" s="29"/>
      <c r="N66" s="29"/>
      <c r="O66" s="29"/>
    </row>
    <row r="67" spans="4:15" x14ac:dyDescent="0.2"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</row>
    <row r="68" spans="4:15" x14ac:dyDescent="0.2"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</row>
    <row r="69" spans="4:15" x14ac:dyDescent="0.2"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</row>
    <row r="70" spans="4:15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4:15" x14ac:dyDescent="0.2"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</row>
    <row r="72" spans="4:15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</row>
    <row r="73" spans="4:15" x14ac:dyDescent="0.2"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</row>
    <row r="74" spans="4:15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4:15" x14ac:dyDescent="0.2"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</row>
    <row r="76" spans="4:15" x14ac:dyDescent="0.2"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</row>
    <row r="77" spans="4:15" x14ac:dyDescent="0.2"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4:15" x14ac:dyDescent="0.2"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pageMargins left="0.27" right="0.25" top="0.62" bottom="0.53" header="0.27" footer="0.5"/>
  <pageSetup scale="47" orientation="landscape" r:id="rId1"/>
  <headerFooter alignWithMargins="0">
    <oddHeader>&amp;C&amp;"Arial,Bold"&amp;16HIGHLY CONFIDENTIAL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4"/>
  <sheetViews>
    <sheetView zoomScale="75" workbookViewId="0"/>
  </sheetViews>
  <sheetFormatPr defaultRowHeight="12.75" x14ac:dyDescent="0.2"/>
  <cols>
    <col min="1" max="1" width="40.7109375" customWidth="1"/>
    <col min="2" max="2" width="23" customWidth="1"/>
    <col min="3" max="3" width="23" hidden="1" customWidth="1"/>
    <col min="4" max="4" width="20.5703125" customWidth="1"/>
    <col min="5" max="5" width="19.28515625" customWidth="1"/>
    <col min="6" max="7" width="18.28515625" bestFit="1" customWidth="1"/>
    <col min="8" max="8" width="18.28515625" customWidth="1"/>
    <col min="9" max="9" width="20.42578125" hidden="1" customWidth="1"/>
    <col min="10" max="10" width="16.5703125" bestFit="1" customWidth="1"/>
    <col min="11" max="11" width="18.7109375" bestFit="1" customWidth="1"/>
    <col min="12" max="12" width="50.140625" customWidth="1"/>
    <col min="13" max="13" width="6" customWidth="1"/>
    <col min="14" max="14" width="22.140625" customWidth="1"/>
  </cols>
  <sheetData>
    <row r="1" spans="1:15" ht="20.25" x14ac:dyDescent="0.3">
      <c r="A1" s="18" t="s">
        <v>85</v>
      </c>
    </row>
    <row r="2" spans="1:15" ht="18" x14ac:dyDescent="0.25">
      <c r="A2" s="17" t="s">
        <v>105</v>
      </c>
      <c r="B2" s="16">
        <f>+'PG&amp;E Corp. '!B2</f>
        <v>36908</v>
      </c>
      <c r="C2" s="16"/>
    </row>
    <row r="3" spans="1:15" s="1" customFormat="1" x14ac:dyDescent="0.2">
      <c r="M3" s="2"/>
      <c r="N3" s="3"/>
    </row>
    <row r="4" spans="1:15" s="20" customFormat="1" ht="15.75" x14ac:dyDescent="0.25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15" s="20" customFormat="1" ht="15.75" x14ac:dyDescent="0.25">
      <c r="A5" s="21" t="s">
        <v>13</v>
      </c>
      <c r="B5" s="21" t="s">
        <v>14</v>
      </c>
      <c r="C5" s="21" t="s">
        <v>154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15" s="23" customFormat="1" ht="15.7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5" s="48" customFormat="1" ht="43.5" customHeight="1" x14ac:dyDescent="0.2">
      <c r="A7" s="228" t="s">
        <v>35</v>
      </c>
      <c r="B7" s="229" t="s">
        <v>101</v>
      </c>
      <c r="C7" s="284" t="s">
        <v>150</v>
      </c>
      <c r="D7" s="346">
        <v>0</v>
      </c>
      <c r="E7" s="346">
        <v>-42728858</v>
      </c>
      <c r="F7" s="346">
        <v>7320000</v>
      </c>
      <c r="G7" s="346">
        <v>0</v>
      </c>
      <c r="H7" s="346">
        <v>7320000</v>
      </c>
      <c r="I7" s="346">
        <v>-35408858</v>
      </c>
      <c r="J7" s="346">
        <v>0</v>
      </c>
      <c r="K7" s="230">
        <f>+H7+E7</f>
        <v>-35408858</v>
      </c>
      <c r="L7" s="280" t="s">
        <v>36</v>
      </c>
      <c r="M7" s="231"/>
      <c r="N7" s="47"/>
    </row>
    <row r="8" spans="1:15" s="48" customFormat="1" ht="112.5" customHeight="1" x14ac:dyDescent="0.2">
      <c r="A8" s="216" t="s">
        <v>35</v>
      </c>
      <c r="B8" s="177" t="s">
        <v>87</v>
      </c>
      <c r="C8" s="177" t="s">
        <v>153</v>
      </c>
      <c r="D8" s="96">
        <v>0</v>
      </c>
      <c r="E8" s="96">
        <v>0</v>
      </c>
      <c r="F8" s="96">
        <v>58000000</v>
      </c>
      <c r="G8" s="96">
        <v>0</v>
      </c>
      <c r="H8" s="96">
        <f>+F8-G8</f>
        <v>58000000</v>
      </c>
      <c r="I8" s="232"/>
      <c r="J8" s="96">
        <f>+H8-I8</f>
        <v>58000000</v>
      </c>
      <c r="K8" s="98">
        <v>0</v>
      </c>
      <c r="L8" s="277" t="s">
        <v>38</v>
      </c>
      <c r="M8" s="233"/>
      <c r="N8" s="47"/>
    </row>
    <row r="9" spans="1:15" s="48" customFormat="1" ht="16.5" customHeight="1" x14ac:dyDescent="0.25">
      <c r="A9" s="216" t="s">
        <v>35</v>
      </c>
      <c r="B9" s="177" t="s">
        <v>128</v>
      </c>
      <c r="C9" s="177" t="s">
        <v>128</v>
      </c>
      <c r="D9" s="96">
        <v>0</v>
      </c>
      <c r="E9" s="96">
        <v>77000000</v>
      </c>
      <c r="F9" s="96">
        <v>53000000</v>
      </c>
      <c r="G9" s="96">
        <v>0</v>
      </c>
      <c r="H9" s="96">
        <f>+G9+F9</f>
        <v>53000000</v>
      </c>
      <c r="I9" s="232"/>
      <c r="J9" s="96">
        <f>+H9+E9+D9</f>
        <v>130000000</v>
      </c>
      <c r="K9" s="98">
        <v>0</v>
      </c>
      <c r="L9" s="174" t="s">
        <v>171</v>
      </c>
      <c r="M9" s="233"/>
      <c r="N9" s="47"/>
    </row>
    <row r="10" spans="1:15" s="48" customFormat="1" ht="16.5" customHeight="1" x14ac:dyDescent="0.2">
      <c r="A10" s="216" t="s">
        <v>35</v>
      </c>
      <c r="B10" s="177" t="s">
        <v>26</v>
      </c>
      <c r="C10" s="177" t="s">
        <v>128</v>
      </c>
      <c r="D10" s="96">
        <v>0</v>
      </c>
      <c r="E10" s="96">
        <v>150000000</v>
      </c>
      <c r="F10" s="96">
        <v>41000000</v>
      </c>
      <c r="G10" s="96">
        <v>0</v>
      </c>
      <c r="H10" s="96">
        <f>+G10+F10</f>
        <v>41000000</v>
      </c>
      <c r="I10" s="232"/>
      <c r="J10" s="96">
        <f>+H10+E10+D10</f>
        <v>191000000</v>
      </c>
      <c r="K10" s="98">
        <v>0</v>
      </c>
      <c r="L10" s="97" t="s">
        <v>173</v>
      </c>
      <c r="M10" s="233"/>
      <c r="N10" s="47"/>
    </row>
    <row r="11" spans="1:15" s="48" customFormat="1" ht="63" customHeight="1" thickBot="1" x14ac:dyDescent="0.25">
      <c r="A11" s="234" t="s">
        <v>35</v>
      </c>
      <c r="B11" s="235" t="s">
        <v>106</v>
      </c>
      <c r="C11" s="285" t="s">
        <v>155</v>
      </c>
      <c r="D11" s="236">
        <v>0</v>
      </c>
      <c r="E11" s="236">
        <v>0</v>
      </c>
      <c r="F11" s="236">
        <f>2255200.29+62275.7+62275.7</f>
        <v>2379751.6900000004</v>
      </c>
      <c r="G11" s="236">
        <v>0</v>
      </c>
      <c r="H11" s="236">
        <f>+F11+G11</f>
        <v>2379751.6900000004</v>
      </c>
      <c r="I11" s="237"/>
      <c r="J11" s="169">
        <f>+H11+I11</f>
        <v>2379751.6900000004</v>
      </c>
      <c r="K11" s="169">
        <v>0</v>
      </c>
      <c r="L11" s="281" t="s">
        <v>83</v>
      </c>
      <c r="M11" s="233"/>
      <c r="N11" s="47"/>
    </row>
    <row r="12" spans="1:15" s="48" customFormat="1" ht="18.75" customHeight="1" thickTop="1" thickBot="1" x14ac:dyDescent="0.3">
      <c r="A12" s="238" t="s">
        <v>37</v>
      </c>
      <c r="B12" s="239"/>
      <c r="C12" s="239"/>
      <c r="D12" s="240"/>
      <c r="E12" s="240"/>
      <c r="F12" s="240"/>
      <c r="G12" s="240"/>
      <c r="H12" s="240"/>
      <c r="I12" s="241"/>
      <c r="J12" s="242">
        <f>SUM(J7:J11)</f>
        <v>381379751.69</v>
      </c>
      <c r="K12" s="242">
        <f>SUM(K7:K11)</f>
        <v>-35408858</v>
      </c>
      <c r="L12" s="49">
        <f>+K12+J12</f>
        <v>345970893.69</v>
      </c>
      <c r="M12" s="233"/>
      <c r="N12" s="47"/>
    </row>
    <row r="13" spans="1:15" s="53" customFormat="1" ht="13.5" customHeight="1" thickTop="1" thickBot="1" x14ac:dyDescent="0.3">
      <c r="A13" s="205"/>
      <c r="B13" s="243"/>
      <c r="C13" s="243"/>
      <c r="D13" s="244"/>
      <c r="E13" s="244"/>
      <c r="F13" s="244"/>
      <c r="G13" s="244"/>
      <c r="H13" s="244"/>
      <c r="I13" s="245"/>
      <c r="J13" s="246"/>
      <c r="K13" s="246"/>
      <c r="L13" s="247"/>
      <c r="M13" s="248"/>
      <c r="N13" s="52"/>
    </row>
    <row r="14" spans="1:15" s="53" customFormat="1" ht="13.5" customHeight="1" x14ac:dyDescent="0.25">
      <c r="A14" s="249"/>
      <c r="B14" s="250"/>
      <c r="C14" s="250"/>
      <c r="D14" s="251"/>
      <c r="E14" s="251"/>
      <c r="F14" s="251"/>
      <c r="G14" s="251"/>
      <c r="H14" s="251"/>
      <c r="I14" s="252"/>
      <c r="J14" s="253"/>
      <c r="K14" s="253"/>
      <c r="L14" s="254"/>
      <c r="M14" s="255"/>
      <c r="N14" s="52"/>
    </row>
    <row r="15" spans="1:15" s="53" customFormat="1" ht="13.5" customHeight="1" x14ac:dyDescent="0.25">
      <c r="A15" s="204"/>
      <c r="B15" s="190"/>
      <c r="C15" s="190"/>
      <c r="D15" s="256"/>
      <c r="E15" s="256"/>
      <c r="F15" s="256"/>
      <c r="G15" s="256"/>
      <c r="H15" s="256"/>
      <c r="I15" s="35"/>
      <c r="J15" s="257"/>
      <c r="K15" s="258"/>
      <c r="L15" s="51"/>
      <c r="M15" s="259"/>
      <c r="N15" s="52"/>
    </row>
    <row r="16" spans="1:15" s="23" customFormat="1" ht="15.75" x14ac:dyDescent="0.25">
      <c r="A16" s="197" t="s">
        <v>32</v>
      </c>
      <c r="B16" s="186" t="s">
        <v>107</v>
      </c>
      <c r="C16" s="286" t="s">
        <v>156</v>
      </c>
      <c r="D16" s="343">
        <v>27076</v>
      </c>
      <c r="E16" s="343">
        <v>0</v>
      </c>
      <c r="F16" s="343">
        <v>0</v>
      </c>
      <c r="G16" s="343">
        <v>0</v>
      </c>
      <c r="H16" s="343">
        <v>0</v>
      </c>
      <c r="I16" s="343">
        <v>0</v>
      </c>
      <c r="J16" s="343">
        <v>27076</v>
      </c>
      <c r="K16" s="99">
        <v>0</v>
      </c>
      <c r="L16" s="99"/>
      <c r="M16" s="198"/>
      <c r="N16" s="29"/>
      <c r="O16" s="29"/>
    </row>
    <row r="17" spans="1:22" s="23" customFormat="1" ht="15.75" x14ac:dyDescent="0.25">
      <c r="A17" s="197" t="s">
        <v>32</v>
      </c>
      <c r="B17" s="186" t="s">
        <v>108</v>
      </c>
      <c r="C17" s="286" t="s">
        <v>156</v>
      </c>
      <c r="D17" s="343">
        <v>0</v>
      </c>
      <c r="E17" s="343">
        <v>18659951</v>
      </c>
      <c r="F17" s="343">
        <v>0</v>
      </c>
      <c r="G17" s="343">
        <v>0</v>
      </c>
      <c r="H17" s="343">
        <v>0</v>
      </c>
      <c r="I17" s="343">
        <v>18659951</v>
      </c>
      <c r="J17" s="343">
        <v>18659951</v>
      </c>
      <c r="K17" s="99">
        <v>0</v>
      </c>
      <c r="L17" s="99"/>
      <c r="M17" s="198"/>
      <c r="N17" s="29"/>
      <c r="O17" s="29"/>
    </row>
    <row r="18" spans="1:22" s="23" customFormat="1" ht="15.75" x14ac:dyDescent="0.25">
      <c r="A18" s="197" t="s">
        <v>32</v>
      </c>
      <c r="B18" s="186" t="s">
        <v>103</v>
      </c>
      <c r="C18" s="286" t="s">
        <v>156</v>
      </c>
      <c r="D18" s="343">
        <v>0</v>
      </c>
      <c r="E18" s="343">
        <v>-25051813</v>
      </c>
      <c r="F18" s="343">
        <v>0</v>
      </c>
      <c r="G18" s="343">
        <v>0</v>
      </c>
      <c r="H18" s="343">
        <v>0</v>
      </c>
      <c r="I18" s="343">
        <v>-25051813</v>
      </c>
      <c r="J18" s="343">
        <v>0</v>
      </c>
      <c r="K18" s="99">
        <f>+H18+E18</f>
        <v>-25051813</v>
      </c>
      <c r="L18" s="99"/>
      <c r="M18" s="198"/>
      <c r="N18" s="29"/>
      <c r="O18" s="29"/>
    </row>
    <row r="19" spans="1:22" s="23" customFormat="1" ht="15.75" x14ac:dyDescent="0.25">
      <c r="A19" s="260" t="s">
        <v>32</v>
      </c>
      <c r="B19" s="261" t="s">
        <v>109</v>
      </c>
      <c r="C19" s="287" t="s">
        <v>156</v>
      </c>
      <c r="D19" s="262">
        <v>126000</v>
      </c>
      <c r="E19" s="262">
        <v>0</v>
      </c>
      <c r="F19" s="262">
        <v>0</v>
      </c>
      <c r="G19" s="262">
        <v>0</v>
      </c>
      <c r="H19" s="262">
        <v>0</v>
      </c>
      <c r="I19" s="262"/>
      <c r="J19" s="262">
        <f>+D19</f>
        <v>126000</v>
      </c>
      <c r="K19" s="263">
        <v>0</v>
      </c>
      <c r="L19" s="263"/>
      <c r="M19" s="264"/>
      <c r="N19" s="31"/>
      <c r="O19" s="31"/>
      <c r="P19" s="55"/>
      <c r="Q19" s="55"/>
      <c r="R19" s="55"/>
      <c r="S19" s="55"/>
      <c r="T19" s="55"/>
      <c r="U19" s="55"/>
      <c r="V19" s="55"/>
    </row>
    <row r="20" spans="1:22" s="23" customFormat="1" ht="15.75" x14ac:dyDescent="0.25">
      <c r="A20" s="260" t="s">
        <v>32</v>
      </c>
      <c r="B20" s="261" t="s">
        <v>109</v>
      </c>
      <c r="C20" s="287" t="s">
        <v>156</v>
      </c>
      <c r="D20" s="262">
        <v>0</v>
      </c>
      <c r="E20" s="262">
        <v>0</v>
      </c>
      <c r="F20" s="262">
        <v>10152556</v>
      </c>
      <c r="G20" s="262">
        <v>-294750</v>
      </c>
      <c r="H20" s="262">
        <f>+F20+G20</f>
        <v>9857806</v>
      </c>
      <c r="I20" s="262"/>
      <c r="J20" s="262">
        <f>+H20</f>
        <v>9857806</v>
      </c>
      <c r="K20" s="263">
        <v>0</v>
      </c>
      <c r="L20" s="263" t="s">
        <v>39</v>
      </c>
      <c r="M20" s="264"/>
      <c r="N20" s="31"/>
      <c r="O20" s="31"/>
      <c r="P20" s="55"/>
      <c r="Q20" s="55"/>
      <c r="R20" s="55"/>
      <c r="S20" s="55"/>
      <c r="T20" s="55"/>
      <c r="U20" s="55"/>
      <c r="V20" s="55"/>
    </row>
    <row r="21" spans="1:22" s="23" customFormat="1" ht="15.75" x14ac:dyDescent="0.25">
      <c r="A21" s="197" t="s">
        <v>33</v>
      </c>
      <c r="B21" s="186" t="s">
        <v>100</v>
      </c>
      <c r="C21" s="286" t="s">
        <v>150</v>
      </c>
      <c r="D21" s="343">
        <v>0</v>
      </c>
      <c r="E21" s="343">
        <v>0</v>
      </c>
      <c r="F21" s="343">
        <v>12185756</v>
      </c>
      <c r="G21" s="343">
        <v>-294750</v>
      </c>
      <c r="H21" s="343">
        <v>11891006</v>
      </c>
      <c r="I21" s="343">
        <v>11891006</v>
      </c>
      <c r="J21" s="343">
        <v>11891006</v>
      </c>
      <c r="K21" s="99">
        <v>0</v>
      </c>
      <c r="L21" s="99"/>
      <c r="M21" s="198"/>
      <c r="N21" s="29"/>
      <c r="O21" s="29"/>
    </row>
    <row r="22" spans="1:22" s="23" customFormat="1" ht="15" x14ac:dyDescent="0.2">
      <c r="A22" s="197"/>
      <c r="B22" s="186"/>
      <c r="C22" s="186"/>
      <c r="D22" s="170"/>
      <c r="E22" s="170"/>
      <c r="F22" s="170"/>
      <c r="G22" s="170"/>
      <c r="H22" s="170"/>
      <c r="I22" s="170"/>
      <c r="J22" s="170"/>
      <c r="K22" s="99"/>
      <c r="L22" s="99"/>
      <c r="M22" s="198"/>
      <c r="N22" s="29"/>
      <c r="O22" s="29"/>
    </row>
    <row r="23" spans="1:22" s="23" customFormat="1" ht="15" x14ac:dyDescent="0.2">
      <c r="A23" s="197"/>
      <c r="B23" s="186"/>
      <c r="C23" s="186"/>
      <c r="D23" s="170"/>
      <c r="E23" s="170"/>
      <c r="F23" s="170"/>
      <c r="G23" s="170"/>
      <c r="H23" s="170"/>
      <c r="I23" s="170"/>
      <c r="J23" s="170"/>
      <c r="K23" s="99"/>
      <c r="L23" s="99"/>
      <c r="M23" s="198"/>
      <c r="N23" s="29"/>
      <c r="O23" s="29"/>
    </row>
    <row r="24" spans="1:22" s="23" customFormat="1" ht="15" x14ac:dyDescent="0.2">
      <c r="A24" s="197"/>
      <c r="B24" s="186"/>
      <c r="C24" s="186"/>
      <c r="D24" s="170"/>
      <c r="E24" s="170"/>
      <c r="F24" s="170"/>
      <c r="G24" s="170"/>
      <c r="H24" s="170"/>
      <c r="I24" s="170"/>
      <c r="J24" s="170"/>
      <c r="K24" s="99"/>
      <c r="L24" s="99"/>
      <c r="M24" s="198"/>
      <c r="N24" s="29"/>
      <c r="O24" s="29"/>
    </row>
    <row r="25" spans="1:22" s="23" customFormat="1" ht="78.75" x14ac:dyDescent="0.25">
      <c r="A25" s="265" t="s">
        <v>110</v>
      </c>
      <c r="B25" s="266" t="s">
        <v>100</v>
      </c>
      <c r="C25" s="266" t="s">
        <v>150</v>
      </c>
      <c r="D25" s="344">
        <v>26772118</v>
      </c>
      <c r="E25" s="267">
        <v>0</v>
      </c>
      <c r="F25" s="267">
        <v>0</v>
      </c>
      <c r="G25" s="267">
        <v>0</v>
      </c>
      <c r="H25" s="267">
        <v>0</v>
      </c>
      <c r="I25" s="267">
        <v>0</v>
      </c>
      <c r="J25" s="267">
        <f>+D25</f>
        <v>26772118</v>
      </c>
      <c r="K25" s="268">
        <v>0</v>
      </c>
      <c r="L25" s="278" t="s">
        <v>40</v>
      </c>
      <c r="M25" s="269"/>
    </row>
    <row r="26" spans="1:22" s="23" customFormat="1" ht="30" x14ac:dyDescent="0.2">
      <c r="A26" s="270" t="s">
        <v>111</v>
      </c>
      <c r="B26" s="271" t="s">
        <v>101</v>
      </c>
      <c r="C26" s="266" t="s">
        <v>150</v>
      </c>
      <c r="D26" s="34">
        <v>0</v>
      </c>
      <c r="E26" s="34">
        <v>-12560112</v>
      </c>
      <c r="F26" s="34">
        <v>75565849</v>
      </c>
      <c r="G26" s="34">
        <v>-68444360</v>
      </c>
      <c r="H26" s="34">
        <v>7121489</v>
      </c>
      <c r="I26" s="34">
        <v>-5438623</v>
      </c>
      <c r="J26" s="34">
        <v>0</v>
      </c>
      <c r="K26" s="36">
        <f>+H26+E26</f>
        <v>-5438623</v>
      </c>
      <c r="L26" s="279" t="s">
        <v>41</v>
      </c>
      <c r="M26" s="269"/>
    </row>
    <row r="27" spans="1:22" s="23" customFormat="1" ht="16.5" thickBot="1" x14ac:dyDescent="0.3">
      <c r="A27" s="272"/>
      <c r="B27" s="186"/>
      <c r="C27" s="186"/>
      <c r="D27" s="170"/>
      <c r="E27" s="170"/>
      <c r="F27" s="170"/>
      <c r="G27" s="170"/>
      <c r="H27" s="170"/>
      <c r="I27" s="170"/>
      <c r="L27" s="60"/>
      <c r="M27" s="269"/>
    </row>
    <row r="28" spans="1:22" s="23" customFormat="1" ht="17.25" thickTop="1" thickBot="1" x14ac:dyDescent="0.3">
      <c r="A28" s="196" t="s">
        <v>142</v>
      </c>
      <c r="B28" s="186"/>
      <c r="C28" s="186"/>
      <c r="D28" s="170"/>
      <c r="E28" s="170"/>
      <c r="F28" s="170"/>
      <c r="G28" s="170"/>
      <c r="H28" s="170"/>
      <c r="I28" s="170"/>
      <c r="J28" s="57">
        <f>SUM(J16:J26)</f>
        <v>67333957</v>
      </c>
      <c r="K28" s="57">
        <f>SUM(K16:K26)</f>
        <v>-30490436</v>
      </c>
      <c r="L28" s="60"/>
      <c r="M28" s="269"/>
    </row>
    <row r="29" spans="1:22" s="23" customFormat="1" ht="17.25" thickTop="1" thickBot="1" x14ac:dyDescent="0.3">
      <c r="A29" s="272" t="s">
        <v>143</v>
      </c>
      <c r="B29" s="186"/>
      <c r="C29" s="186"/>
      <c r="D29" s="170"/>
      <c r="E29" s="170"/>
      <c r="F29" s="170"/>
      <c r="G29" s="170"/>
      <c r="H29" s="170"/>
      <c r="I29" s="170"/>
      <c r="J29" s="59"/>
      <c r="K29" s="59"/>
      <c r="L29" s="33">
        <f>+J28</f>
        <v>67333957</v>
      </c>
      <c r="M29" s="269" t="s">
        <v>136</v>
      </c>
      <c r="N29" s="29">
        <f>+J28+K28</f>
        <v>36843521</v>
      </c>
      <c r="O29" s="23" t="s">
        <v>144</v>
      </c>
    </row>
    <row r="30" spans="1:22" s="23" customFormat="1" ht="17.25" thickTop="1" thickBot="1" x14ac:dyDescent="0.3">
      <c r="A30" s="273"/>
      <c r="B30" s="206"/>
      <c r="C30" s="206"/>
      <c r="D30" s="207"/>
      <c r="E30" s="207"/>
      <c r="F30" s="207"/>
      <c r="G30" s="207"/>
      <c r="H30" s="207"/>
      <c r="I30" s="207"/>
      <c r="J30" s="274"/>
      <c r="K30" s="274"/>
      <c r="L30" s="275"/>
      <c r="M30" s="276"/>
    </row>
    <row r="31" spans="1:22" s="23" customFormat="1" ht="16.5" thickBot="1" x14ac:dyDescent="0.3">
      <c r="A31" s="320"/>
      <c r="B31" s="321"/>
      <c r="C31" s="321"/>
      <c r="D31" s="322"/>
      <c r="E31" s="322"/>
      <c r="F31" s="322"/>
      <c r="G31" s="322"/>
      <c r="H31" s="322"/>
      <c r="I31" s="322"/>
      <c r="J31" s="317"/>
      <c r="K31" s="317"/>
      <c r="L31" s="323"/>
      <c r="M31" s="324"/>
    </row>
    <row r="32" spans="1:22" s="23" customFormat="1" ht="17.25" thickTop="1" thickBot="1" x14ac:dyDescent="0.3">
      <c r="A32" s="325" t="s">
        <v>42</v>
      </c>
      <c r="B32" s="326"/>
      <c r="C32" s="326"/>
      <c r="D32" s="327"/>
      <c r="E32" s="327"/>
      <c r="F32" s="327"/>
      <c r="G32" s="327"/>
      <c r="H32" s="327"/>
      <c r="I32" s="327"/>
      <c r="J32" s="318">
        <f>+J28+J12</f>
        <v>448713708.69</v>
      </c>
      <c r="K32" s="318">
        <f>+K28+K12</f>
        <v>-65899294</v>
      </c>
      <c r="L32" s="319"/>
      <c r="M32" s="328"/>
    </row>
    <row r="33" spans="1:15" s="23" customFormat="1" ht="17.25" thickTop="1" thickBot="1" x14ac:dyDescent="0.3">
      <c r="A33" s="313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29">
        <f>+L12+J28</f>
        <v>413304850.69</v>
      </c>
      <c r="M33" s="330" t="s">
        <v>141</v>
      </c>
      <c r="N33" s="29">
        <f>+L12+N29</f>
        <v>382814414.69</v>
      </c>
      <c r="O33" s="23" t="s">
        <v>144</v>
      </c>
    </row>
    <row r="34" spans="1:15" s="23" customFormat="1" ht="15" x14ac:dyDescent="0.2">
      <c r="A34" s="23" t="s">
        <v>137</v>
      </c>
    </row>
    <row r="35" spans="1:15" s="23" customFormat="1" ht="15" x14ac:dyDescent="0.2">
      <c r="A35" s="23" t="s">
        <v>167</v>
      </c>
    </row>
    <row r="36" spans="1:15" s="23" customFormat="1" ht="15" x14ac:dyDescent="0.2">
      <c r="A36" s="23" t="s">
        <v>170</v>
      </c>
    </row>
    <row r="37" spans="1:15" s="23" customFormat="1" ht="15" x14ac:dyDescent="0.2"/>
    <row r="38" spans="1:15" s="23" customFormat="1" ht="15" x14ac:dyDescent="0.2">
      <c r="J38" s="145"/>
      <c r="K38" s="145"/>
    </row>
    <row r="39" spans="1:15" s="23" customFormat="1" ht="15.75" x14ac:dyDescent="0.25">
      <c r="H39" s="41" t="s">
        <v>130</v>
      </c>
      <c r="J39" s="143">
        <f>+J28+J12-J11-J10-J9-J8-J20-J19</f>
        <v>57350151</v>
      </c>
      <c r="K39" s="143">
        <f>+K28+K12-K11-K10-K9-K8-K20-K19</f>
        <v>-65899294</v>
      </c>
    </row>
    <row r="40" spans="1:15" s="23" customFormat="1" ht="15" x14ac:dyDescent="0.2">
      <c r="J40" s="145"/>
      <c r="K40" s="145"/>
    </row>
    <row r="41" spans="1:15" s="23" customFormat="1" ht="15" x14ac:dyDescent="0.2"/>
    <row r="42" spans="1:15" s="23" customFormat="1" ht="15" x14ac:dyDescent="0.2"/>
    <row r="43" spans="1:15" s="23" customFormat="1" ht="15" x14ac:dyDescent="0.2"/>
    <row r="44" spans="1:15" s="23" customFormat="1" ht="15" x14ac:dyDescent="0.2"/>
    <row r="45" spans="1:15" s="23" customFormat="1" ht="15" x14ac:dyDescent="0.2"/>
    <row r="46" spans="1:15" s="23" customFormat="1" ht="15" x14ac:dyDescent="0.2"/>
    <row r="47" spans="1:15" s="23" customFormat="1" ht="15" x14ac:dyDescent="0.2"/>
    <row r="48" spans="1:15" s="23" customFormat="1" ht="15" x14ac:dyDescent="0.2"/>
    <row r="49" s="23" customFormat="1" ht="15" x14ac:dyDescent="0.2"/>
    <row r="50" s="23" customFormat="1" ht="15" x14ac:dyDescent="0.2"/>
    <row r="51" s="23" customFormat="1" ht="15" x14ac:dyDescent="0.2"/>
    <row r="52" s="23" customFormat="1" ht="15" x14ac:dyDescent="0.2"/>
    <row r="53" s="23" customFormat="1" ht="15" x14ac:dyDescent="0.2"/>
    <row r="54" s="23" customFormat="1" ht="15" x14ac:dyDescent="0.2"/>
    <row r="55" s="23" customFormat="1" ht="15" x14ac:dyDescent="0.2"/>
    <row r="56" s="23" customFormat="1" ht="15" x14ac:dyDescent="0.2"/>
    <row r="57" s="23" customFormat="1" ht="15" x14ac:dyDescent="0.2"/>
    <row r="58" s="23" customFormat="1" ht="15" x14ac:dyDescent="0.2"/>
    <row r="59" s="23" customFormat="1" ht="15" x14ac:dyDescent="0.2"/>
    <row r="60" s="23" customFormat="1" ht="15" x14ac:dyDescent="0.2"/>
    <row r="61" s="23" customFormat="1" ht="15" x14ac:dyDescent="0.2"/>
    <row r="62" s="23" customFormat="1" ht="15" x14ac:dyDescent="0.2"/>
    <row r="63" s="23" customFormat="1" ht="15" x14ac:dyDescent="0.2"/>
    <row r="64" s="23" customFormat="1" ht="15" x14ac:dyDescent="0.2"/>
    <row r="65" s="23" customFormat="1" ht="15" x14ac:dyDescent="0.2"/>
    <row r="66" s="23" customFormat="1" ht="15" x14ac:dyDescent="0.2"/>
    <row r="67" s="23" customFormat="1" ht="15" x14ac:dyDescent="0.2"/>
    <row r="68" s="23" customFormat="1" ht="15" x14ac:dyDescent="0.2"/>
    <row r="69" s="23" customFormat="1" ht="15" x14ac:dyDescent="0.2"/>
    <row r="70" s="23" customFormat="1" ht="15" x14ac:dyDescent="0.2"/>
    <row r="71" s="23" customFormat="1" ht="15" x14ac:dyDescent="0.2"/>
    <row r="72" s="23" customFormat="1" ht="15" x14ac:dyDescent="0.2"/>
    <row r="73" s="23" customFormat="1" ht="15" x14ac:dyDescent="0.2"/>
    <row r="74" s="23" customFormat="1" ht="15" x14ac:dyDescent="0.2"/>
    <row r="75" s="23" customFormat="1" ht="15" x14ac:dyDescent="0.2"/>
    <row r="76" s="23" customFormat="1" ht="15" x14ac:dyDescent="0.2"/>
    <row r="77" s="23" customFormat="1" ht="15" x14ac:dyDescent="0.2"/>
    <row r="78" s="23" customFormat="1" ht="15" x14ac:dyDescent="0.2"/>
    <row r="79" s="23" customFormat="1" ht="15" x14ac:dyDescent="0.2"/>
    <row r="80" s="23" customFormat="1" ht="15" x14ac:dyDescent="0.2"/>
    <row r="81" s="23" customFormat="1" ht="15" x14ac:dyDescent="0.2"/>
    <row r="82" s="23" customFormat="1" ht="15" x14ac:dyDescent="0.2"/>
    <row r="83" s="23" customFormat="1" ht="15" x14ac:dyDescent="0.2"/>
    <row r="84" s="23" customFormat="1" ht="15" x14ac:dyDescent="0.2"/>
    <row r="85" s="23" customFormat="1" ht="15" x14ac:dyDescent="0.2"/>
    <row r="86" s="23" customFormat="1" ht="15" x14ac:dyDescent="0.2"/>
    <row r="87" s="23" customFormat="1" ht="15" x14ac:dyDescent="0.2"/>
    <row r="88" s="23" customFormat="1" ht="15" x14ac:dyDescent="0.2"/>
    <row r="89" s="23" customFormat="1" ht="15" x14ac:dyDescent="0.2"/>
    <row r="90" s="23" customFormat="1" ht="15" x14ac:dyDescent="0.2"/>
    <row r="91" s="23" customFormat="1" ht="15" x14ac:dyDescent="0.2"/>
    <row r="92" s="23" customFormat="1" ht="15" x14ac:dyDescent="0.2"/>
    <row r="93" s="23" customFormat="1" ht="15" x14ac:dyDescent="0.2"/>
    <row r="94" s="23" customFormat="1" ht="15" x14ac:dyDescent="0.2"/>
  </sheetData>
  <pageMargins left="0.33" right="0.46" top="1" bottom="0.66" header="0.5" footer="0.5"/>
  <pageSetup scale="53" orientation="landscape" r:id="rId1"/>
  <headerFooter alignWithMargins="0">
    <oddHeader xml:space="preserve">&amp;C&amp;"Arial,Bold"&amp;16HIGHLY CONFIDENTIAL&amp;"Arial,Regular"&amp;10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zoomScale="75" workbookViewId="0"/>
  </sheetViews>
  <sheetFormatPr defaultRowHeight="12.75" x14ac:dyDescent="0.2"/>
  <cols>
    <col min="1" max="1" width="45" customWidth="1"/>
    <col min="2" max="2" width="31" customWidth="1"/>
    <col min="3" max="3" width="18" hidden="1" customWidth="1"/>
    <col min="4" max="4" width="40.7109375" customWidth="1"/>
    <col min="5" max="5" width="17.7109375" bestFit="1" customWidth="1"/>
    <col min="6" max="7" width="18.28515625" bestFit="1" customWidth="1"/>
    <col min="8" max="8" width="6.85546875" customWidth="1"/>
    <col min="9" max="9" width="20.42578125" hidden="1" customWidth="1"/>
    <col min="10" max="10" width="26" bestFit="1" customWidth="1"/>
    <col min="11" max="11" width="17.140625" bestFit="1" customWidth="1"/>
    <col min="12" max="12" width="29.42578125" customWidth="1"/>
    <col min="13" max="13" width="17" customWidth="1"/>
  </cols>
  <sheetData>
    <row r="1" spans="1:13" ht="20.25" x14ac:dyDescent="0.3">
      <c r="A1" s="18" t="s">
        <v>85</v>
      </c>
    </row>
    <row r="2" spans="1:13" ht="18" x14ac:dyDescent="0.25">
      <c r="A2" s="17" t="s">
        <v>105</v>
      </c>
      <c r="B2" s="16">
        <f>+'PG&amp;E Corp. '!B2</f>
        <v>36908</v>
      </c>
      <c r="C2" s="16"/>
    </row>
    <row r="3" spans="1:13" s="23" customFormat="1" ht="1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3" s="23" customFormat="1" ht="15.75" x14ac:dyDescent="0.25">
      <c r="A4" s="29"/>
      <c r="B4" s="29"/>
      <c r="C4" s="29"/>
      <c r="D4" s="19"/>
      <c r="E4" s="19"/>
      <c r="F4" s="19" t="s">
        <v>43</v>
      </c>
      <c r="G4" s="19" t="s">
        <v>44</v>
      </c>
      <c r="J4" s="19" t="s">
        <v>11</v>
      </c>
      <c r="K4" s="19" t="s">
        <v>63</v>
      </c>
      <c r="L4" s="40"/>
      <c r="M4" s="61" t="s">
        <v>65</v>
      </c>
    </row>
    <row r="5" spans="1:13" s="23" customFormat="1" ht="15.75" x14ac:dyDescent="0.25">
      <c r="A5" s="32" t="s">
        <v>13</v>
      </c>
      <c r="B5" s="32" t="s">
        <v>14</v>
      </c>
      <c r="C5" s="32" t="s">
        <v>154</v>
      </c>
      <c r="D5" s="62" t="s">
        <v>45</v>
      </c>
      <c r="E5" s="19"/>
      <c r="F5" s="19" t="s">
        <v>46</v>
      </c>
      <c r="G5" s="19" t="s">
        <v>47</v>
      </c>
      <c r="J5" s="19" t="s">
        <v>19</v>
      </c>
      <c r="K5" s="19" t="s">
        <v>20</v>
      </c>
      <c r="L5" s="63"/>
      <c r="M5" s="64" t="s">
        <v>66</v>
      </c>
    </row>
    <row r="6" spans="1:13" s="23" customFormat="1" ht="15.75" x14ac:dyDescent="0.25">
      <c r="A6" s="32"/>
      <c r="B6" s="32"/>
      <c r="C6" s="32"/>
      <c r="D6" s="62"/>
      <c r="E6" s="19"/>
      <c r="F6" s="19"/>
      <c r="G6" s="19"/>
      <c r="J6" s="19"/>
      <c r="K6" s="19"/>
      <c r="L6" s="63"/>
      <c r="M6" s="64"/>
    </row>
    <row r="7" spans="1:13" s="23" customFormat="1" ht="15.75" x14ac:dyDescent="0.25">
      <c r="A7" s="29" t="s">
        <v>48</v>
      </c>
      <c r="B7" s="22" t="s">
        <v>1</v>
      </c>
      <c r="C7" s="32" t="s">
        <v>150</v>
      </c>
      <c r="D7" s="65" t="s">
        <v>49</v>
      </c>
      <c r="E7" s="54"/>
      <c r="F7" s="66">
        <f>77653215-27346350-659005</f>
        <v>49647860</v>
      </c>
      <c r="G7" s="67"/>
      <c r="J7" s="29">
        <f>+F7</f>
        <v>49647860</v>
      </c>
      <c r="K7" s="54"/>
      <c r="L7" s="40"/>
      <c r="M7" s="68">
        <v>36924</v>
      </c>
    </row>
    <row r="8" spans="1:13" s="23" customFormat="1" ht="15.75" x14ac:dyDescent="0.25">
      <c r="A8" s="29" t="s">
        <v>48</v>
      </c>
      <c r="B8" s="22" t="s">
        <v>1</v>
      </c>
      <c r="C8" s="32" t="s">
        <v>150</v>
      </c>
      <c r="D8" s="65" t="s">
        <v>50</v>
      </c>
      <c r="E8" s="54"/>
      <c r="F8" s="66"/>
      <c r="G8" s="67">
        <f>-42747380+28936761-599752+21</f>
        <v>-14410350</v>
      </c>
      <c r="J8" s="29"/>
      <c r="K8" s="66">
        <f>+G8</f>
        <v>-14410350</v>
      </c>
      <c r="L8" s="40"/>
      <c r="M8" s="69">
        <v>36955</v>
      </c>
    </row>
    <row r="9" spans="1:13" s="23" customFormat="1" ht="15.75" x14ac:dyDescent="0.25">
      <c r="A9" s="29" t="s">
        <v>48</v>
      </c>
      <c r="B9" s="22" t="s">
        <v>1</v>
      </c>
      <c r="C9" s="32" t="s">
        <v>150</v>
      </c>
      <c r="D9" s="70" t="s">
        <v>51</v>
      </c>
      <c r="E9" s="54"/>
      <c r="F9" s="66"/>
      <c r="G9" s="67">
        <f>-7816951+1884397-137662</f>
        <v>-6070216</v>
      </c>
      <c r="J9" s="29"/>
      <c r="K9" s="66">
        <f>+G9</f>
        <v>-6070216</v>
      </c>
      <c r="L9" s="56"/>
      <c r="M9" s="69">
        <v>36984</v>
      </c>
    </row>
    <row r="10" spans="1:13" s="23" customFormat="1" ht="15.75" x14ac:dyDescent="0.25">
      <c r="A10" s="29" t="s">
        <v>48</v>
      </c>
      <c r="B10" s="22" t="s">
        <v>52</v>
      </c>
      <c r="C10" s="32" t="s">
        <v>153</v>
      </c>
      <c r="D10" s="70" t="s">
        <v>49</v>
      </c>
      <c r="E10" s="54"/>
      <c r="F10" s="67">
        <v>7700000</v>
      </c>
      <c r="G10" s="66"/>
      <c r="J10" s="29">
        <f>+F10</f>
        <v>7700000</v>
      </c>
      <c r="K10" s="54"/>
      <c r="L10" s="56"/>
      <c r="M10" s="68">
        <v>36924</v>
      </c>
    </row>
    <row r="11" spans="1:13" s="23" customFormat="1" ht="15.75" x14ac:dyDescent="0.25">
      <c r="A11" s="29" t="s">
        <v>48</v>
      </c>
      <c r="B11" s="22" t="s">
        <v>52</v>
      </c>
      <c r="C11" s="32" t="s">
        <v>153</v>
      </c>
      <c r="D11" s="70" t="s">
        <v>50</v>
      </c>
      <c r="E11" s="54"/>
      <c r="F11" s="67">
        <v>45000000</v>
      </c>
      <c r="G11" s="66"/>
      <c r="J11" s="29">
        <f>+F11</f>
        <v>45000000</v>
      </c>
      <c r="K11" s="54"/>
      <c r="L11" s="56"/>
      <c r="M11" s="69">
        <v>36955</v>
      </c>
    </row>
    <row r="12" spans="1:13" s="23" customFormat="1" ht="15.75" x14ac:dyDescent="0.25">
      <c r="A12" s="29" t="s">
        <v>48</v>
      </c>
      <c r="B12" s="22" t="s">
        <v>52</v>
      </c>
      <c r="C12" s="32" t="s">
        <v>153</v>
      </c>
      <c r="D12" s="70" t="s">
        <v>51</v>
      </c>
      <c r="E12" s="54"/>
      <c r="F12" s="67">
        <v>500000</v>
      </c>
      <c r="G12" s="66"/>
      <c r="J12" s="29">
        <f>+F12</f>
        <v>500000</v>
      </c>
      <c r="K12" s="54"/>
      <c r="L12" s="56"/>
      <c r="M12" s="69">
        <v>36984</v>
      </c>
    </row>
    <row r="13" spans="1:13" s="23" customFormat="1" ht="15.75" thickBot="1" x14ac:dyDescent="0.25">
      <c r="E13" s="71"/>
      <c r="F13" s="72"/>
      <c r="G13" s="73"/>
      <c r="J13" s="74"/>
      <c r="K13" s="75"/>
      <c r="L13" s="40"/>
    </row>
    <row r="14" spans="1:13" s="23" customFormat="1" ht="16.5" thickTop="1" x14ac:dyDescent="0.25">
      <c r="A14" s="11" t="s">
        <v>53</v>
      </c>
      <c r="E14" s="54"/>
      <c r="F14" s="29">
        <f>SUM(F7:F12)</f>
        <v>102847860</v>
      </c>
      <c r="G14" s="29">
        <f>SUM(G7:G12)</f>
        <v>-20480566</v>
      </c>
      <c r="J14" s="11">
        <f>SUM(J7:J12)</f>
        <v>102847860</v>
      </c>
      <c r="K14" s="11">
        <f>SUM(K7:K12)</f>
        <v>-20480566</v>
      </c>
      <c r="L14" s="76"/>
    </row>
    <row r="15" spans="1:13" s="23" customFormat="1" ht="15" x14ac:dyDescent="0.2">
      <c r="E15" s="77"/>
      <c r="F15" s="54"/>
      <c r="G15" s="54"/>
      <c r="K15" s="54"/>
      <c r="L15" s="40"/>
    </row>
    <row r="16" spans="1:13" s="23" customFormat="1" ht="15.75" x14ac:dyDescent="0.25">
      <c r="E16" s="77"/>
      <c r="F16" s="54"/>
      <c r="G16" s="54"/>
      <c r="L16" s="40"/>
      <c r="M16" s="20"/>
    </row>
    <row r="17" spans="1:13" s="23" customFormat="1" ht="15.75" x14ac:dyDescent="0.25">
      <c r="E17" s="77"/>
      <c r="F17" s="50"/>
      <c r="G17" s="50"/>
      <c r="L17" s="43" t="s">
        <v>67</v>
      </c>
      <c r="M17" s="20" t="s">
        <v>68</v>
      </c>
    </row>
    <row r="18" spans="1:13" s="23" customFormat="1" ht="15.75" x14ac:dyDescent="0.25">
      <c r="D18" s="19"/>
      <c r="E18" s="19" t="s">
        <v>8</v>
      </c>
      <c r="F18" s="78" t="s">
        <v>43</v>
      </c>
      <c r="G18" s="78" t="s">
        <v>44</v>
      </c>
      <c r="J18" s="19" t="s">
        <v>11</v>
      </c>
      <c r="K18" s="19" t="s">
        <v>64</v>
      </c>
      <c r="L18" s="43" t="s">
        <v>69</v>
      </c>
      <c r="M18" s="20" t="s">
        <v>70</v>
      </c>
    </row>
    <row r="19" spans="1:13" s="23" customFormat="1" ht="15.75" x14ac:dyDescent="0.25">
      <c r="A19" s="32" t="s">
        <v>13</v>
      </c>
      <c r="B19" s="32" t="s">
        <v>14</v>
      </c>
      <c r="C19" s="32"/>
      <c r="D19" s="79" t="s">
        <v>45</v>
      </c>
      <c r="E19" s="19" t="s">
        <v>15</v>
      </c>
      <c r="F19" s="19" t="s">
        <v>46</v>
      </c>
      <c r="G19" s="19" t="s">
        <v>47</v>
      </c>
      <c r="J19" s="19" t="s">
        <v>19</v>
      </c>
      <c r="K19" s="19" t="s">
        <v>20</v>
      </c>
      <c r="L19" s="80" t="s">
        <v>71</v>
      </c>
      <c r="M19" s="81" t="s">
        <v>71</v>
      </c>
    </row>
    <row r="20" spans="1:13" s="23" customFormat="1" ht="15.75" x14ac:dyDescent="0.25">
      <c r="A20" s="23" t="s">
        <v>54</v>
      </c>
      <c r="B20" s="22" t="s">
        <v>1</v>
      </c>
      <c r="C20" s="32" t="s">
        <v>150</v>
      </c>
      <c r="D20" s="77" t="s">
        <v>55</v>
      </c>
      <c r="E20" s="29"/>
      <c r="F20" s="67"/>
      <c r="G20" s="67">
        <f>-1967079+35761</f>
        <v>-1931318</v>
      </c>
      <c r="J20" s="29"/>
      <c r="K20" s="29">
        <f>+G20</f>
        <v>-1931318</v>
      </c>
      <c r="L20" s="62">
        <v>36923</v>
      </c>
      <c r="M20" s="82">
        <v>36927</v>
      </c>
    </row>
    <row r="21" spans="1:13" s="23" customFormat="1" ht="15.75" x14ac:dyDescent="0.25">
      <c r="A21" s="23" t="s">
        <v>54</v>
      </c>
      <c r="B21" s="22" t="s">
        <v>1</v>
      </c>
      <c r="C21" s="32" t="s">
        <v>150</v>
      </c>
      <c r="D21" s="83" t="s">
        <v>56</v>
      </c>
      <c r="E21" s="29"/>
      <c r="F21" s="67"/>
      <c r="G21" s="67">
        <f>-874535+19401</f>
        <v>-855134</v>
      </c>
      <c r="J21" s="29"/>
      <c r="K21" s="29">
        <f>+G21</f>
        <v>-855134</v>
      </c>
      <c r="L21" s="62">
        <v>36952</v>
      </c>
      <c r="M21" s="82">
        <v>36956</v>
      </c>
    </row>
    <row r="22" spans="1:13" s="23" customFormat="1" ht="15.75" x14ac:dyDescent="0.25">
      <c r="A22" s="23" t="s">
        <v>54</v>
      </c>
      <c r="B22" s="22" t="s">
        <v>1</v>
      </c>
      <c r="C22" s="32" t="s">
        <v>150</v>
      </c>
      <c r="D22" s="83" t="s">
        <v>57</v>
      </c>
      <c r="E22" s="29"/>
      <c r="F22" s="67">
        <f>27467988-14941737</f>
        <v>12526251</v>
      </c>
      <c r="G22" s="67"/>
      <c r="J22" s="29">
        <f>+F22</f>
        <v>12526251</v>
      </c>
      <c r="K22" s="29"/>
      <c r="L22" s="84">
        <v>36907</v>
      </c>
      <c r="M22" s="69">
        <v>36909</v>
      </c>
    </row>
    <row r="23" spans="1:13" s="23" customFormat="1" ht="15.75" x14ac:dyDescent="0.25">
      <c r="A23" s="23" t="s">
        <v>54</v>
      </c>
      <c r="B23" s="22" t="s">
        <v>1</v>
      </c>
      <c r="C23" s="32" t="s">
        <v>150</v>
      </c>
      <c r="D23" s="83" t="s">
        <v>58</v>
      </c>
      <c r="E23" s="29"/>
      <c r="F23" s="67"/>
      <c r="G23" s="67">
        <f>-32647600</f>
        <v>-32647600</v>
      </c>
      <c r="J23" s="29"/>
      <c r="K23" s="29">
        <f>G23</f>
        <v>-32647600</v>
      </c>
      <c r="L23" s="62">
        <v>36907</v>
      </c>
      <c r="M23" s="82">
        <v>36909</v>
      </c>
    </row>
    <row r="24" spans="1:13" s="23" customFormat="1" ht="15.75" x14ac:dyDescent="0.25">
      <c r="A24" s="23" t="s">
        <v>54</v>
      </c>
      <c r="B24" s="22" t="s">
        <v>1</v>
      </c>
      <c r="C24" s="32" t="s">
        <v>150</v>
      </c>
      <c r="D24" s="83" t="s">
        <v>59</v>
      </c>
      <c r="E24" s="29"/>
      <c r="F24" s="67"/>
      <c r="G24" s="67">
        <f>-26739+1573</f>
        <v>-25166</v>
      </c>
      <c r="J24" s="29"/>
      <c r="K24" s="29">
        <f>+G24</f>
        <v>-25166</v>
      </c>
      <c r="L24" s="62">
        <v>36983</v>
      </c>
      <c r="M24" s="82">
        <v>36985</v>
      </c>
    </row>
    <row r="25" spans="1:13" s="23" customFormat="1" ht="15.75" x14ac:dyDescent="0.25">
      <c r="A25" s="23" t="s">
        <v>54</v>
      </c>
      <c r="B25" s="22" t="s">
        <v>1</v>
      </c>
      <c r="C25" s="32" t="s">
        <v>150</v>
      </c>
      <c r="D25" s="83" t="s">
        <v>60</v>
      </c>
      <c r="E25" s="29"/>
      <c r="F25" s="67"/>
      <c r="G25" s="67">
        <f>-29231764+13902201</f>
        <v>-15329563</v>
      </c>
      <c r="J25" s="29"/>
      <c r="K25" s="29">
        <f>+G25</f>
        <v>-15329563</v>
      </c>
      <c r="L25" s="62">
        <v>36937</v>
      </c>
      <c r="M25" s="82">
        <v>36942</v>
      </c>
    </row>
    <row r="26" spans="1:13" s="23" customFormat="1" ht="30.75" x14ac:dyDescent="0.25">
      <c r="A26" s="23" t="s">
        <v>54</v>
      </c>
      <c r="B26" s="22" t="s">
        <v>1</v>
      </c>
      <c r="C26" s="32" t="s">
        <v>150</v>
      </c>
      <c r="D26" s="85" t="s">
        <v>61</v>
      </c>
      <c r="E26" s="29">
        <v>-48000000</v>
      </c>
      <c r="F26" s="67"/>
      <c r="G26" s="66"/>
      <c r="J26" s="29"/>
      <c r="K26" s="29">
        <f>+E26</f>
        <v>-48000000</v>
      </c>
      <c r="L26" s="86" t="s">
        <v>72</v>
      </c>
      <c r="M26" s="82"/>
    </row>
    <row r="27" spans="1:13" s="23" customFormat="1" ht="21" customHeight="1" x14ac:dyDescent="0.25">
      <c r="A27" s="23" t="s">
        <v>54</v>
      </c>
      <c r="B27" s="22" t="s">
        <v>52</v>
      </c>
      <c r="C27" s="32" t="s">
        <v>153</v>
      </c>
      <c r="D27" s="87" t="s">
        <v>50</v>
      </c>
      <c r="E27" s="56"/>
      <c r="F27" s="67">
        <v>2800000</v>
      </c>
      <c r="G27" s="67"/>
      <c r="J27" s="29">
        <f>+F27</f>
        <v>2800000</v>
      </c>
      <c r="K27" s="29"/>
      <c r="L27" s="84">
        <v>36907</v>
      </c>
      <c r="M27" s="69">
        <v>36909</v>
      </c>
    </row>
    <row r="28" spans="1:13" s="23" customFormat="1" ht="15.75" thickBot="1" x14ac:dyDescent="0.25">
      <c r="E28" s="88"/>
      <c r="F28" s="72"/>
      <c r="G28" s="73"/>
      <c r="J28" s="45"/>
      <c r="K28" s="45"/>
      <c r="L28" s="89"/>
    </row>
    <row r="29" spans="1:13" s="23" customFormat="1" ht="16.5" thickTop="1" x14ac:dyDescent="0.25">
      <c r="A29" s="41" t="s">
        <v>62</v>
      </c>
      <c r="E29" s="90">
        <f>E26</f>
        <v>-48000000</v>
      </c>
      <c r="F29" s="11">
        <f>SUM(F20:F27)</f>
        <v>15326251</v>
      </c>
      <c r="G29" s="11">
        <f>SUM(G20:G27)</f>
        <v>-50788781</v>
      </c>
      <c r="J29" s="11">
        <f>SUM(J20:J27)</f>
        <v>15326251</v>
      </c>
      <c r="K29" s="11">
        <f>SUM(K20:K27)</f>
        <v>-98788781</v>
      </c>
      <c r="L29" s="91"/>
    </row>
    <row r="30" spans="1:13" s="23" customFormat="1" ht="15" x14ac:dyDescent="0.2">
      <c r="E30" s="65"/>
      <c r="F30" s="67"/>
      <c r="J30" s="82"/>
      <c r="L30" s="89"/>
    </row>
    <row r="31" spans="1:13" s="23" customFormat="1" ht="15.75" x14ac:dyDescent="0.25">
      <c r="E31" s="92"/>
      <c r="F31" s="93"/>
      <c r="L31" s="94"/>
    </row>
    <row r="32" spans="1:13" s="23" customFormat="1" ht="15" x14ac:dyDescent="0.2">
      <c r="L32" s="94"/>
    </row>
    <row r="33" spans="4:12" s="23" customFormat="1" ht="15" x14ac:dyDescent="0.2"/>
    <row r="34" spans="4:12" s="23" customFormat="1" ht="15.75" hidden="1" x14ac:dyDescent="0.25">
      <c r="G34" s="6" t="s">
        <v>73</v>
      </c>
      <c r="J34" s="12" t="s">
        <v>81</v>
      </c>
      <c r="L34" s="14" t="s">
        <v>82</v>
      </c>
    </row>
    <row r="35" spans="4:12" s="23" customFormat="1" ht="15.75" hidden="1" x14ac:dyDescent="0.25">
      <c r="D35" s="7" t="s">
        <v>74</v>
      </c>
      <c r="G35" s="8">
        <f>+L35-J35</f>
        <v>709170629.90999997</v>
      </c>
      <c r="J35" s="8">
        <v>0</v>
      </c>
      <c r="L35" s="8">
        <f>+'PG&amp;E Corp. '!L13</f>
        <v>709170629.90999997</v>
      </c>
    </row>
    <row r="36" spans="4:12" s="23" customFormat="1" ht="15.75" hidden="1" x14ac:dyDescent="0.25">
      <c r="D36" s="7" t="s">
        <v>75</v>
      </c>
      <c r="G36" s="8">
        <f>+L36-J36</f>
        <v>12470164</v>
      </c>
      <c r="J36" s="8">
        <v>0</v>
      </c>
      <c r="L36" s="8">
        <f>+'PG&amp;E Corp. '!L17+'PG&amp;E Corp. '!L27+'PG&amp;E Corp. '!L32+'PG&amp;E Corp. '!L43</f>
        <v>12470164</v>
      </c>
    </row>
    <row r="37" spans="4:12" s="23" customFormat="1" ht="15.75" hidden="1" x14ac:dyDescent="0.25">
      <c r="D37" s="7" t="s">
        <v>76</v>
      </c>
      <c r="G37" s="8">
        <f>+L37-J37</f>
        <v>72283453</v>
      </c>
      <c r="J37" s="8">
        <v>0</v>
      </c>
      <c r="L37" s="8">
        <f>+'PG&amp;E Corp. '!J49</f>
        <v>72283453</v>
      </c>
    </row>
    <row r="38" spans="4:12" s="23" customFormat="1" ht="15.75" hidden="1" x14ac:dyDescent="0.25">
      <c r="D38" s="7" t="s">
        <v>77</v>
      </c>
      <c r="G38" s="8">
        <f>+L38-J38</f>
        <v>287970893.69</v>
      </c>
      <c r="J38" s="8">
        <f>+'Edison Int''l '!J8</f>
        <v>58000000</v>
      </c>
      <c r="L38" s="8">
        <f>+'Edison Int''l '!L12</f>
        <v>345970893.69</v>
      </c>
    </row>
    <row r="39" spans="4:12" s="23" customFormat="1" ht="15.75" hidden="1" x14ac:dyDescent="0.25">
      <c r="D39" s="7" t="s">
        <v>78</v>
      </c>
      <c r="G39" s="8">
        <f>+L39-J39</f>
        <v>67333957</v>
      </c>
      <c r="J39" s="8">
        <v>0</v>
      </c>
      <c r="L39" s="15">
        <f>+'Edison Int''l '!J28</f>
        <v>67333957</v>
      </c>
    </row>
    <row r="40" spans="4:12" s="23" customFormat="1" ht="17.25" hidden="1" thickTop="1" thickBot="1" x14ac:dyDescent="0.3">
      <c r="D40" s="7" t="s">
        <v>79</v>
      </c>
      <c r="G40" s="9">
        <f>SUM(G35:G39)</f>
        <v>1149229097.5999999</v>
      </c>
      <c r="J40" s="9">
        <f>SUM(J35:J39)</f>
        <v>58000000</v>
      </c>
      <c r="L40" s="9">
        <f>SUM(L35:L39)</f>
        <v>1207229097.5999999</v>
      </c>
    </row>
    <row r="41" spans="4:12" s="23" customFormat="1" ht="15.75" hidden="1" x14ac:dyDescent="0.25">
      <c r="D41" s="7"/>
      <c r="G41" s="8"/>
      <c r="J41" s="8"/>
      <c r="L41" s="8"/>
    </row>
    <row r="42" spans="4:12" s="23" customFormat="1" ht="15.75" hidden="1" x14ac:dyDescent="0.25">
      <c r="D42" s="7" t="s">
        <v>65</v>
      </c>
      <c r="G42" s="8">
        <f>+L42-J42</f>
        <v>49647860</v>
      </c>
      <c r="J42" s="8">
        <f>SUM(J10:J12)</f>
        <v>53200000</v>
      </c>
      <c r="L42" s="8">
        <f>+J14</f>
        <v>102847860</v>
      </c>
    </row>
    <row r="43" spans="4:12" s="23" customFormat="1" ht="15.75" hidden="1" x14ac:dyDescent="0.25">
      <c r="D43" s="7" t="s">
        <v>80</v>
      </c>
      <c r="G43" s="8">
        <f>+L43-J43</f>
        <v>12526251</v>
      </c>
      <c r="J43" s="8">
        <f>+J27</f>
        <v>2800000</v>
      </c>
      <c r="L43" s="8">
        <f>+J29</f>
        <v>15326251</v>
      </c>
    </row>
    <row r="44" spans="4:12" s="23" customFormat="1" ht="17.25" hidden="1" thickTop="1" thickBot="1" x14ac:dyDescent="0.3">
      <c r="D44" s="7" t="s">
        <v>79</v>
      </c>
      <c r="G44" s="9">
        <f>+G42+G43</f>
        <v>62174111</v>
      </c>
      <c r="J44" s="9">
        <f>+J42+J43</f>
        <v>56000000</v>
      </c>
      <c r="L44" s="9">
        <f>+L42+L43</f>
        <v>118174111</v>
      </c>
    </row>
    <row r="45" spans="4:12" s="23" customFormat="1" ht="15.75" hidden="1" x14ac:dyDescent="0.25">
      <c r="G45" s="10"/>
      <c r="J45" s="10"/>
      <c r="L45" s="10"/>
    </row>
    <row r="46" spans="4:12" s="23" customFormat="1" ht="15.75" hidden="1" x14ac:dyDescent="0.25">
      <c r="G46" s="11"/>
      <c r="J46" s="13"/>
      <c r="L46" s="95"/>
    </row>
    <row r="47" spans="4:12" s="23" customFormat="1" ht="15" x14ac:dyDescent="0.2"/>
    <row r="48" spans="4:12" s="23" customFormat="1" ht="15" x14ac:dyDescent="0.2"/>
    <row r="49" s="23" customFormat="1" ht="15" x14ac:dyDescent="0.2"/>
    <row r="50" s="23" customFormat="1" ht="15" x14ac:dyDescent="0.2"/>
    <row r="51" s="23" customFormat="1" ht="15" x14ac:dyDescent="0.2"/>
    <row r="52" s="23" customFormat="1" ht="15" x14ac:dyDescent="0.2"/>
    <row r="53" s="23" customFormat="1" ht="15" x14ac:dyDescent="0.2"/>
    <row r="54" s="23" customFormat="1" ht="15" x14ac:dyDescent="0.2"/>
    <row r="55" s="23" customFormat="1" ht="15" x14ac:dyDescent="0.2"/>
    <row r="56" s="23" customFormat="1" ht="15" x14ac:dyDescent="0.2"/>
    <row r="57" s="23" customFormat="1" ht="15" x14ac:dyDescent="0.2"/>
    <row r="58" s="23" customFormat="1" ht="15" x14ac:dyDescent="0.2"/>
    <row r="59" s="23" customFormat="1" ht="15" x14ac:dyDescent="0.2"/>
    <row r="60" s="23" customFormat="1" ht="15" x14ac:dyDescent="0.2"/>
    <row r="61" s="23" customFormat="1" ht="15" x14ac:dyDescent="0.2"/>
    <row r="62" s="23" customFormat="1" ht="15" x14ac:dyDescent="0.2"/>
    <row r="63" s="23" customFormat="1" ht="15" x14ac:dyDescent="0.2"/>
    <row r="64" s="23" customFormat="1" ht="15" x14ac:dyDescent="0.2"/>
    <row r="65" s="23" customFormat="1" ht="15" x14ac:dyDescent="0.2"/>
    <row r="66" s="23" customFormat="1" ht="15" x14ac:dyDescent="0.2"/>
    <row r="67" s="23" customFormat="1" ht="15" x14ac:dyDescent="0.2"/>
    <row r="68" s="23" customFormat="1" ht="15" x14ac:dyDescent="0.2"/>
    <row r="69" s="23" customFormat="1" ht="15" x14ac:dyDescent="0.2"/>
    <row r="70" s="23" customFormat="1" ht="15" x14ac:dyDescent="0.2"/>
    <row r="71" s="23" customFormat="1" ht="15" x14ac:dyDescent="0.2"/>
    <row r="72" s="23" customFormat="1" ht="15" x14ac:dyDescent="0.2"/>
    <row r="73" s="23" customFormat="1" ht="15" x14ac:dyDescent="0.2"/>
    <row r="74" s="23" customFormat="1" ht="15" x14ac:dyDescent="0.2"/>
    <row r="75" s="23" customFormat="1" ht="15" x14ac:dyDescent="0.2"/>
    <row r="76" s="23" customFormat="1" ht="15" x14ac:dyDescent="0.2"/>
    <row r="77" s="23" customFormat="1" ht="15" x14ac:dyDescent="0.2"/>
    <row r="78" s="23" customFormat="1" ht="15" x14ac:dyDescent="0.2"/>
    <row r="79" s="23" customFormat="1" ht="15" x14ac:dyDescent="0.2"/>
    <row r="80" s="23" customFormat="1" ht="15" x14ac:dyDescent="0.2"/>
    <row r="81" s="23" customFormat="1" ht="15" x14ac:dyDescent="0.2"/>
    <row r="82" s="23" customFormat="1" ht="15" x14ac:dyDescent="0.2"/>
    <row r="83" s="23" customFormat="1" ht="15" x14ac:dyDescent="0.2"/>
    <row r="84" s="23" customFormat="1" ht="15" x14ac:dyDescent="0.2"/>
    <row r="85" s="23" customFormat="1" ht="15" x14ac:dyDescent="0.2"/>
  </sheetData>
  <pageMargins left="0.4" right="0.43" top="1" bottom="1" header="0.5" footer="0.5"/>
  <pageSetup scale="49" orientation="landscape" r:id="rId1"/>
  <headerFooter alignWithMargins="0">
    <oddHeader>&amp;C&amp;"Arial,Bold"&amp;16HIGHLY CONFIDENTIAL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/>
  </sheetViews>
  <sheetFormatPr defaultRowHeight="12.75" x14ac:dyDescent="0.2"/>
  <cols>
    <col min="1" max="1" width="15.7109375" bestFit="1" customWidth="1"/>
    <col min="2" max="2" width="14.85546875" bestFit="1" customWidth="1"/>
    <col min="3" max="3" width="3.7109375" customWidth="1"/>
    <col min="4" max="4" width="17" customWidth="1"/>
    <col min="5" max="5" width="16.42578125" customWidth="1"/>
    <col min="6" max="6" width="16.28515625" customWidth="1"/>
    <col min="7" max="7" width="17.5703125" customWidth="1"/>
    <col min="8" max="8" width="19.7109375" customWidth="1"/>
    <col min="9" max="9" width="6" customWidth="1"/>
    <col min="10" max="10" width="16.28515625" customWidth="1"/>
    <col min="11" max="11" width="16.140625" bestFit="1" customWidth="1"/>
  </cols>
  <sheetData>
    <row r="1" spans="1:14" ht="20.25" x14ac:dyDescent="0.3">
      <c r="A1" s="294" t="s">
        <v>161</v>
      </c>
      <c r="B1" s="295"/>
      <c r="C1" s="295"/>
      <c r="D1" s="295"/>
      <c r="E1" s="295"/>
      <c r="F1" s="295"/>
      <c r="G1" s="295"/>
      <c r="H1" s="295"/>
    </row>
    <row r="5" spans="1:14" s="20" customFormat="1" ht="15.75" x14ac:dyDescent="0.25">
      <c r="A5" s="21" t="s">
        <v>13</v>
      </c>
      <c r="B5" s="289" t="s">
        <v>150</v>
      </c>
      <c r="C5" s="289"/>
      <c r="D5" s="289" t="s">
        <v>128</v>
      </c>
      <c r="E5" s="289" t="s">
        <v>151</v>
      </c>
      <c r="F5" s="289" t="s">
        <v>152</v>
      </c>
      <c r="G5" s="289" t="s">
        <v>153</v>
      </c>
      <c r="H5" s="19" t="s">
        <v>157</v>
      </c>
      <c r="I5" s="19"/>
      <c r="J5" s="19"/>
      <c r="K5" s="19"/>
      <c r="M5" s="19"/>
      <c r="N5" s="43"/>
    </row>
    <row r="6" spans="1:14" ht="13.5" thickBot="1" x14ac:dyDescent="0.25"/>
    <row r="7" spans="1:14" x14ac:dyDescent="0.2">
      <c r="A7" s="331" t="s">
        <v>145</v>
      </c>
      <c r="B7" s="332">
        <f>+'PG&amp;E Corp. '!J7+'PG&amp;E Corp. '!K7+'PG&amp;E Corp. '!J8+'PG&amp;E Corp. '!K8+'PG&amp;E Corp. '!J9+'PG&amp;E Corp. '!K9</f>
        <v>10010757</v>
      </c>
      <c r="C7" s="332"/>
      <c r="D7" s="332">
        <f>+'PG&amp;E Corp. '!J10+'PG&amp;E Corp. '!K10+'PG&amp;E Corp. '!J11+'PG&amp;E Corp. '!K11</f>
        <v>699000000</v>
      </c>
      <c r="E7" s="333"/>
      <c r="F7" s="332">
        <f>+'PG&amp;E Corp. '!J12+'PG&amp;E Corp. '!K12</f>
        <v>159872.91</v>
      </c>
      <c r="G7" s="333"/>
      <c r="H7" s="332">
        <f t="shared" ref="H7:H12" si="0">SUM(B7:G7)</f>
        <v>709170629.90999997</v>
      </c>
      <c r="I7" s="334"/>
    </row>
    <row r="8" spans="1:14" x14ac:dyDescent="0.2">
      <c r="A8" s="335" t="s">
        <v>146</v>
      </c>
      <c r="B8" s="336">
        <f>+'PG&amp;E Corp. '!J15+'PG&amp;E Corp. '!K15+'PG&amp;E Corp. '!J16+'PG&amp;E Corp. '!K16+'PG&amp;E Corp. '!J20+'PG&amp;E Corp. '!K20+'PG&amp;E Corp. '!J21+'PG&amp;E Corp. '!K21+'PG&amp;E Corp. '!J22+'PG&amp;E Corp. '!K22+'PG&amp;E Corp. '!J26+'PG&amp;E Corp. '!J29+'PG&amp;E Corp. '!J30+'PG&amp;E Corp. '!J31+'PG&amp;E Corp. '!J34+'PG&amp;E Corp. '!J35+'PG&amp;E Corp. '!J36+'PG&amp;E Corp. '!J37+'PG&amp;E Corp. '!J38+'PG&amp;E Corp. '!J39+'PG&amp;E Corp. '!J40+'PG&amp;E Corp. '!J41+'PG&amp;E Corp. '!J47+'PG&amp;E Corp. '!J48</f>
        <v>279188760</v>
      </c>
      <c r="C8" s="336" t="s">
        <v>136</v>
      </c>
      <c r="D8" s="336">
        <f>++'PG&amp;E Corp. '!J25+'PG&amp;E Corp. '!J42</f>
        <v>10248582</v>
      </c>
      <c r="E8" s="336">
        <f>+'PG&amp;E Corp. '!J19+'PG&amp;E Corp. '!K19</f>
        <v>65974</v>
      </c>
      <c r="F8" s="337"/>
      <c r="G8" s="337"/>
      <c r="H8" s="336">
        <f t="shared" si="0"/>
        <v>289503316</v>
      </c>
      <c r="I8" s="338"/>
    </row>
    <row r="9" spans="1:14" x14ac:dyDescent="0.2">
      <c r="A9" s="335" t="s">
        <v>147</v>
      </c>
      <c r="B9" s="336">
        <f>+'Edison Int''l '!J7+'Edison Int''l '!K7</f>
        <v>-35408858</v>
      </c>
      <c r="C9" s="336"/>
      <c r="D9" s="336">
        <f>+'Edison Int''l '!J9+'Edison Int''l '!K9+'Edison Int''l '!J10+'Edison Int''l '!K10</f>
        <v>321000000</v>
      </c>
      <c r="E9" s="337"/>
      <c r="F9" s="336">
        <f>+'Edison Int''l '!J11+'Edison Int''l '!K11</f>
        <v>2379751.6900000004</v>
      </c>
      <c r="G9" s="336">
        <f>+'Edison Int''l '!J8+'Edison Int''l '!K8</f>
        <v>58000000</v>
      </c>
      <c r="H9" s="336">
        <f t="shared" si="0"/>
        <v>345970893.69</v>
      </c>
      <c r="I9" s="338"/>
    </row>
    <row r="10" spans="1:14" x14ac:dyDescent="0.2">
      <c r="A10" s="335" t="s">
        <v>148</v>
      </c>
      <c r="B10" s="336">
        <f>+'Edison Int''l '!J21+'Edison Int''l '!J25+'Edison Int''l '!J26</f>
        <v>38663124</v>
      </c>
      <c r="C10" s="336"/>
      <c r="D10" s="337"/>
      <c r="E10" s="336">
        <f>+'Edison Int''l '!J16+'Edison Int''l '!J17+'Edison Int''l '!J19+'Edison Int''l '!J20+'Edison Int''l '!J18</f>
        <v>28670833</v>
      </c>
      <c r="F10" s="337"/>
      <c r="G10" s="337"/>
      <c r="H10" s="336">
        <f t="shared" si="0"/>
        <v>67333957</v>
      </c>
      <c r="I10" s="338"/>
    </row>
    <row r="11" spans="1:14" x14ac:dyDescent="0.2">
      <c r="A11" s="335" t="s">
        <v>65</v>
      </c>
      <c r="B11" s="336">
        <f>+'Px - ISO '!J7+'Px - ISO '!J8+'Px - ISO '!J9</f>
        <v>49647860</v>
      </c>
      <c r="C11" s="336"/>
      <c r="D11" s="337"/>
      <c r="E11" s="337"/>
      <c r="F11" s="337"/>
      <c r="G11" s="336">
        <f>+'Px - ISO '!J10+'Px - ISO '!J11+'Px - ISO '!J12</f>
        <v>53200000</v>
      </c>
      <c r="H11" s="336">
        <f t="shared" si="0"/>
        <v>102847860</v>
      </c>
      <c r="I11" s="338"/>
    </row>
    <row r="12" spans="1:14" x14ac:dyDescent="0.2">
      <c r="A12" s="335" t="s">
        <v>149</v>
      </c>
      <c r="B12" s="290">
        <f>+'Px - ISO '!J20+'Px - ISO '!J21+'Px - ISO '!J22+'Px - ISO '!J23+'Px - ISO '!J24+'Px - ISO '!J25+'Px - ISO '!J26</f>
        <v>12526251</v>
      </c>
      <c r="C12" s="290"/>
      <c r="D12" s="292"/>
      <c r="E12" s="292"/>
      <c r="F12" s="292"/>
      <c r="G12" s="290">
        <f>+'Px - ISO '!J27</f>
        <v>2800000</v>
      </c>
      <c r="H12" s="290">
        <f t="shared" si="0"/>
        <v>15326251</v>
      </c>
      <c r="I12" s="338"/>
    </row>
    <row r="13" spans="1:14" x14ac:dyDescent="0.2">
      <c r="A13" s="335" t="s">
        <v>158</v>
      </c>
      <c r="B13" s="336">
        <f>SUM(B7:B12)</f>
        <v>354627894</v>
      </c>
      <c r="C13" s="336"/>
      <c r="D13" s="336">
        <f>SUM(D7:D12)</f>
        <v>1030248582</v>
      </c>
      <c r="E13" s="336">
        <f>SUM(E7:E12)</f>
        <v>28736807</v>
      </c>
      <c r="F13" s="336">
        <f>SUM(F7:F12)</f>
        <v>2539624.6000000006</v>
      </c>
      <c r="G13" s="336">
        <f>SUM(G7:G12)</f>
        <v>114000000</v>
      </c>
      <c r="H13" s="336"/>
      <c r="I13" s="338"/>
    </row>
    <row r="14" spans="1:14" ht="13.5" thickBot="1" x14ac:dyDescent="0.25">
      <c r="A14" s="335"/>
      <c r="B14" s="336"/>
      <c r="C14" s="336"/>
      <c r="D14" s="336"/>
      <c r="E14" s="336"/>
      <c r="F14" s="336"/>
      <c r="G14" s="336"/>
      <c r="H14" s="293"/>
      <c r="I14" s="338"/>
    </row>
    <row r="15" spans="1:14" ht="14.25" thickTop="1" thickBot="1" x14ac:dyDescent="0.25">
      <c r="A15" s="335" t="s">
        <v>159</v>
      </c>
      <c r="B15" s="337"/>
      <c r="C15" s="337"/>
      <c r="D15" s="337"/>
      <c r="E15" s="337"/>
      <c r="F15" s="337"/>
      <c r="G15" s="337"/>
      <c r="H15" s="291">
        <f>SUM(H7:H12)</f>
        <v>1530152907.5999999</v>
      </c>
      <c r="I15" s="338" t="s">
        <v>175</v>
      </c>
      <c r="J15" s="288">
        <f>+H15+('Edison Int''l '!N33-'Edison Int''l '!L33)+('PG&amp;E Corp. '!N54-'PG&amp;E Corp. '!L54)</f>
        <v>1429807406.5999999</v>
      </c>
    </row>
    <row r="16" spans="1:14" ht="14.25" thickTop="1" thickBot="1" x14ac:dyDescent="0.25">
      <c r="A16" s="339"/>
      <c r="B16" s="340"/>
      <c r="C16" s="340"/>
      <c r="D16" s="340"/>
      <c r="E16" s="340"/>
      <c r="F16" s="340"/>
      <c r="G16" s="340"/>
      <c r="H16" s="340"/>
      <c r="I16" s="341"/>
    </row>
    <row r="17" spans="1:8" x14ac:dyDescent="0.2">
      <c r="A17" t="s">
        <v>160</v>
      </c>
      <c r="H17" s="288"/>
    </row>
    <row r="18" spans="1:8" x14ac:dyDescent="0.2">
      <c r="A18" t="s">
        <v>177</v>
      </c>
      <c r="H18" s="288"/>
    </row>
    <row r="19" spans="1:8" x14ac:dyDescent="0.2">
      <c r="A19" t="s">
        <v>174</v>
      </c>
      <c r="H19" s="288"/>
    </row>
    <row r="20" spans="1:8" x14ac:dyDescent="0.2">
      <c r="A20" t="s">
        <v>163</v>
      </c>
    </row>
    <row r="21" spans="1:8" x14ac:dyDescent="0.2">
      <c r="A21" t="s">
        <v>176</v>
      </c>
    </row>
  </sheetData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2.75" x14ac:dyDescent="0.2"/>
  <cols>
    <col min="1" max="1" width="55.5703125" customWidth="1"/>
    <col min="2" max="2" width="21.28515625" customWidth="1"/>
    <col min="3" max="3" width="28.5703125" customWidth="1"/>
    <col min="4" max="4" width="19.5703125" customWidth="1"/>
    <col min="5" max="5" width="20.5703125" customWidth="1"/>
    <col min="6" max="6" width="19.85546875" customWidth="1"/>
    <col min="7" max="7" width="19.28515625" customWidth="1"/>
    <col min="8" max="8" width="20.42578125" hidden="1" customWidth="1"/>
    <col min="9" max="9" width="18.7109375" customWidth="1"/>
    <col min="10" max="10" width="22.7109375" customWidth="1"/>
    <col min="11" max="11" width="17" customWidth="1"/>
  </cols>
  <sheetData>
    <row r="1" spans="1:75" ht="20.25" x14ac:dyDescent="0.3">
      <c r="A1" s="18" t="s">
        <v>85</v>
      </c>
    </row>
    <row r="2" spans="1:75" ht="18" x14ac:dyDescent="0.25">
      <c r="A2" s="17" t="s">
        <v>84</v>
      </c>
      <c r="B2" s="16">
        <f>+'PG&amp;E Corp. '!B2</f>
        <v>36908</v>
      </c>
    </row>
    <row r="3" spans="1:75" s="1" customFormat="1" x14ac:dyDescent="0.2">
      <c r="K3" s="2"/>
      <c r="L3" s="3"/>
    </row>
    <row r="4" spans="1:75" s="4" customFormat="1" ht="15" customHeight="1" x14ac:dyDescent="0.25">
      <c r="A4" s="19"/>
      <c r="B4" s="19"/>
      <c r="C4" s="19" t="s">
        <v>7</v>
      </c>
      <c r="D4" s="19" t="s">
        <v>8</v>
      </c>
      <c r="E4" s="19" t="s">
        <v>9</v>
      </c>
      <c r="F4" s="19" t="s">
        <v>10</v>
      </c>
      <c r="G4" s="19"/>
      <c r="H4" s="19" t="s">
        <v>22</v>
      </c>
      <c r="I4" s="19" t="s">
        <v>11</v>
      </c>
      <c r="J4" s="19" t="s">
        <v>12</v>
      </c>
      <c r="K4" s="19"/>
      <c r="L4" s="3"/>
    </row>
    <row r="5" spans="1:75" s="4" customFormat="1" ht="15" customHeight="1" x14ac:dyDescent="0.25">
      <c r="A5" s="21" t="s">
        <v>13</v>
      </c>
      <c r="B5" s="21" t="s">
        <v>14</v>
      </c>
      <c r="C5" s="19" t="s">
        <v>15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23</v>
      </c>
      <c r="I5" s="19" t="s">
        <v>19</v>
      </c>
      <c r="J5" s="19" t="s">
        <v>20</v>
      </c>
      <c r="K5" s="19"/>
      <c r="L5" s="3"/>
    </row>
    <row r="6" spans="1:75" s="5" customFormat="1" ht="18.75" customHeight="1" x14ac:dyDescent="0.2">
      <c r="A6" s="100" t="s">
        <v>131</v>
      </c>
      <c r="B6" s="100" t="s">
        <v>26</v>
      </c>
      <c r="C6" s="34">
        <f>+'PG&amp;E Corp. '!D25</f>
        <v>0</v>
      </c>
      <c r="D6" s="34">
        <f>+'PG&amp;E Corp. '!E25</f>
        <v>0</v>
      </c>
      <c r="E6" s="34">
        <f>+'PG&amp;E Corp. '!F25</f>
        <v>10248582</v>
      </c>
      <c r="F6" s="34">
        <f>+'PG&amp;E Corp. '!G25</f>
        <v>0</v>
      </c>
      <c r="G6" s="34">
        <f>+'PG&amp;E Corp. '!H25</f>
        <v>10248582</v>
      </c>
      <c r="H6" s="34">
        <f>+'PG&amp;E Corp. '!I25</f>
        <v>0</v>
      </c>
      <c r="I6" s="34">
        <f>+'PG&amp;E Corp. '!J25</f>
        <v>10248582</v>
      </c>
      <c r="J6" s="34">
        <f>+'PG&amp;E Corp. '!K25</f>
        <v>0</v>
      </c>
      <c r="K6" s="102"/>
      <c r="L6" s="102"/>
      <c r="M6" s="103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</row>
    <row r="7" spans="1:75" s="150" customFormat="1" ht="21.75" customHeight="1" x14ac:dyDescent="0.2">
      <c r="A7" s="146" t="s">
        <v>0</v>
      </c>
      <c r="B7" s="146" t="s">
        <v>21</v>
      </c>
      <c r="C7" s="147">
        <f>+'PG&amp;E Corp. '!D10+'PG&amp;E Corp. '!D11</f>
        <v>0</v>
      </c>
      <c r="D7" s="147">
        <f>+'PG&amp;E Corp. '!E10+'PG&amp;E Corp. '!E11</f>
        <v>405000000</v>
      </c>
      <c r="E7" s="147">
        <f>+'PG&amp;E Corp. '!F10+'PG&amp;E Corp. '!F11</f>
        <v>294000000</v>
      </c>
      <c r="F7" s="147">
        <f>+'PG&amp;E Corp. '!G10+'PG&amp;E Corp. '!G11</f>
        <v>0</v>
      </c>
      <c r="G7" s="147">
        <f>+'PG&amp;E Corp. '!H10+'PG&amp;E Corp. '!H11</f>
        <v>294000000</v>
      </c>
      <c r="H7" s="147">
        <f>+'PG&amp;E Corp. '!I10+'PG&amp;E Corp. '!I11</f>
        <v>0</v>
      </c>
      <c r="I7" s="147">
        <f>+'PG&amp;E Corp. '!J10+'PG&amp;E Corp. '!J11</f>
        <v>699000000</v>
      </c>
      <c r="J7" s="147">
        <f>+'PG&amp;E Corp. '!K10+'PG&amp;E Corp. '!K11</f>
        <v>0</v>
      </c>
      <c r="K7" s="148"/>
      <c r="L7" s="148"/>
      <c r="M7" s="149"/>
    </row>
    <row r="8" spans="1:75" s="104" customFormat="1" ht="15" customHeight="1" x14ac:dyDescent="0.2">
      <c r="A8" s="105" t="s">
        <v>28</v>
      </c>
      <c r="B8" s="105" t="s">
        <v>21</v>
      </c>
      <c r="C8" s="106">
        <f>+'PG&amp;E Corp. '!D42</f>
        <v>0</v>
      </c>
      <c r="D8" s="106">
        <f>+'PG&amp;E Corp. '!E42</f>
        <v>2800000</v>
      </c>
      <c r="E8" s="106">
        <f>+'PG&amp;E Corp. '!F42</f>
        <v>3200000</v>
      </c>
      <c r="F8" s="106">
        <f>+'PG&amp;E Corp. '!G42</f>
        <v>-8200000</v>
      </c>
      <c r="G8" s="106">
        <f>+'PG&amp;E Corp. '!H42</f>
        <v>-5000000</v>
      </c>
      <c r="H8" s="106">
        <f>+'PG&amp;E Corp. '!I42</f>
        <v>0</v>
      </c>
      <c r="I8" s="107">
        <f>+'PG&amp;E Corp. '!J42</f>
        <v>0</v>
      </c>
      <c r="J8" s="107">
        <f>+'PG&amp;E Corp. '!K42</f>
        <v>-2200000</v>
      </c>
      <c r="K8" s="102"/>
      <c r="L8" s="102"/>
      <c r="M8" s="103"/>
    </row>
    <row r="9" spans="1:75" s="150" customFormat="1" ht="15" customHeight="1" x14ac:dyDescent="0.2">
      <c r="A9" s="151" t="s">
        <v>133</v>
      </c>
      <c r="B9" s="146" t="s">
        <v>21</v>
      </c>
      <c r="C9" s="152">
        <f>+'Edison Int''l '!D9+'Edison Int''l '!D10</f>
        <v>0</v>
      </c>
      <c r="D9" s="152">
        <f>+'Edison Int''l '!E9+'Edison Int''l '!E10</f>
        <v>227000000</v>
      </c>
      <c r="E9" s="152">
        <f>+'Edison Int''l '!F9+'Edison Int''l '!F10</f>
        <v>94000000</v>
      </c>
      <c r="F9" s="152">
        <f>+'Edison Int''l '!G9+'Edison Int''l '!G10</f>
        <v>0</v>
      </c>
      <c r="G9" s="152">
        <f>+'Edison Int''l '!H9+'Edison Int''l '!H10</f>
        <v>94000000</v>
      </c>
      <c r="H9" s="152">
        <f>+'Edison Int''l '!I9+'Edison Int''l '!I10</f>
        <v>0</v>
      </c>
      <c r="I9" s="153">
        <f>+'Edison Int''l '!J9+'Edison Int''l '!J10</f>
        <v>321000000</v>
      </c>
      <c r="J9" s="153">
        <f>+'Edison Int''l '!K9+'Edison Int''l '!K10</f>
        <v>0</v>
      </c>
      <c r="K9" s="148"/>
      <c r="L9" s="148"/>
      <c r="M9" s="149"/>
    </row>
    <row r="10" spans="1:75" s="104" customFormat="1" ht="15" customHeight="1" x14ac:dyDescent="0.25">
      <c r="A10" s="134" t="s">
        <v>88</v>
      </c>
      <c r="B10" s="134"/>
      <c r="C10" s="109"/>
      <c r="D10" s="109"/>
      <c r="E10" s="135"/>
      <c r="F10" s="135"/>
      <c r="G10" s="135"/>
      <c r="H10" s="109"/>
      <c r="I10" s="109">
        <f>SUM(I6:I9)</f>
        <v>1030248582</v>
      </c>
      <c r="J10" s="109">
        <f>SUM(J6:J9)</f>
        <v>-2200000</v>
      </c>
      <c r="K10" s="102"/>
      <c r="L10" s="102"/>
      <c r="M10" s="103"/>
    </row>
    <row r="11" spans="1:75" s="104" customFormat="1" ht="15" customHeight="1" x14ac:dyDescent="0.25">
      <c r="A11" s="134"/>
      <c r="B11" s="105"/>
      <c r="C11" s="106"/>
      <c r="D11" s="106"/>
      <c r="E11" s="107"/>
      <c r="F11" s="107"/>
      <c r="G11" s="107"/>
      <c r="H11" s="106"/>
      <c r="I11" s="106"/>
      <c r="J11" s="106"/>
      <c r="K11" s="102"/>
      <c r="L11" s="102"/>
      <c r="M11" s="103"/>
    </row>
    <row r="12" spans="1:75" s="104" customFormat="1" ht="15" customHeight="1" x14ac:dyDescent="0.2">
      <c r="A12" s="105"/>
      <c r="B12" s="105"/>
      <c r="C12" s="106"/>
      <c r="D12" s="106"/>
      <c r="E12" s="107"/>
      <c r="F12" s="107"/>
      <c r="G12" s="107"/>
      <c r="H12" s="106"/>
      <c r="I12" s="106"/>
      <c r="J12" s="102"/>
      <c r="K12" s="102"/>
      <c r="L12" s="102"/>
      <c r="M12" s="103"/>
    </row>
    <row r="13" spans="1:75" s="157" customFormat="1" ht="15" customHeight="1" x14ac:dyDescent="0.25">
      <c r="A13" s="155" t="s">
        <v>0</v>
      </c>
      <c r="B13" s="155" t="s">
        <v>112</v>
      </c>
      <c r="C13" s="156">
        <f>+'PG&amp;E Corp. '!D7</f>
        <v>0</v>
      </c>
      <c r="D13" s="156">
        <f>+'PG&amp;E Corp. '!E7</f>
        <v>-3387062</v>
      </c>
      <c r="E13" s="156">
        <f>+'PG&amp;E Corp. '!F7</f>
        <v>67748252</v>
      </c>
      <c r="F13" s="156">
        <f>+'PG&amp;E Corp. '!G7</f>
        <v>-1025578</v>
      </c>
      <c r="G13" s="156">
        <f>+'PG&amp;E Corp. '!H7</f>
        <v>66722674</v>
      </c>
      <c r="H13" s="156">
        <f>+'PG&amp;E Corp. '!I7</f>
        <v>66503871</v>
      </c>
      <c r="I13" s="156">
        <f>+'PG&amp;E Corp. '!J7</f>
        <v>63335612</v>
      </c>
      <c r="J13" s="156">
        <f>+'PG&amp;E Corp. '!K7</f>
        <v>0</v>
      </c>
      <c r="K13" s="55"/>
      <c r="L13" s="55"/>
    </row>
    <row r="14" spans="1:75" s="104" customFormat="1" ht="15" customHeight="1" x14ac:dyDescent="0.2">
      <c r="A14" s="111" t="s">
        <v>2</v>
      </c>
      <c r="B14" s="111" t="s">
        <v>99</v>
      </c>
      <c r="C14" s="106">
        <f>+'PG&amp;E Corp. '!D15</f>
        <v>0</v>
      </c>
      <c r="D14" s="106">
        <f>+'PG&amp;E Corp. '!E15</f>
        <v>0</v>
      </c>
      <c r="E14" s="106">
        <f>+'PG&amp;E Corp. '!F15</f>
        <v>50460</v>
      </c>
      <c r="F14" s="106">
        <f>+'PG&amp;E Corp. '!G15</f>
        <v>0</v>
      </c>
      <c r="G14" s="106">
        <f>+'PG&amp;E Corp. '!H15</f>
        <v>50460</v>
      </c>
      <c r="H14" s="106">
        <f>+'PG&amp;E Corp. '!I15</f>
        <v>50460</v>
      </c>
      <c r="I14" s="106">
        <f>+'PG&amp;E Corp. '!J15</f>
        <v>50460</v>
      </c>
      <c r="J14" s="106">
        <f>+'PG&amp;E Corp. '!K15</f>
        <v>0</v>
      </c>
      <c r="K14" s="105"/>
      <c r="L14" s="105"/>
    </row>
    <row r="15" spans="1:75" s="104" customFormat="1" ht="15" customHeight="1" x14ac:dyDescent="0.2">
      <c r="A15" s="111" t="s">
        <v>4</v>
      </c>
      <c r="B15" s="111" t="s">
        <v>99</v>
      </c>
      <c r="C15" s="106">
        <f>+'PG&amp;E Corp. '!D29</f>
        <v>-69339317</v>
      </c>
      <c r="D15" s="106">
        <f>+'PG&amp;E Corp. '!E29</f>
        <v>0</v>
      </c>
      <c r="E15" s="106">
        <f>+'PG&amp;E Corp. '!F29</f>
        <v>0</v>
      </c>
      <c r="F15" s="106">
        <f>+'PG&amp;E Corp. '!G29</f>
        <v>0</v>
      </c>
      <c r="G15" s="106">
        <f>+'PG&amp;E Corp. '!H29</f>
        <v>0</v>
      </c>
      <c r="H15" s="106">
        <f>+'PG&amp;E Corp. '!I29</f>
        <v>13062536</v>
      </c>
      <c r="I15" s="106">
        <f>+'PG&amp;E Corp. '!J29</f>
        <v>0</v>
      </c>
      <c r="J15" s="106">
        <f>+'PG&amp;E Corp. '!K29</f>
        <v>-69339317</v>
      </c>
      <c r="K15" s="102"/>
      <c r="L15" s="102"/>
      <c r="M15" s="103"/>
    </row>
    <row r="16" spans="1:75" s="104" customFormat="1" ht="15" customHeight="1" x14ac:dyDescent="0.2">
      <c r="A16" s="111" t="s">
        <v>4</v>
      </c>
      <c r="B16" s="111" t="s">
        <v>99</v>
      </c>
      <c r="C16" s="106">
        <f>+'PG&amp;E Corp. '!D30</f>
        <v>0</v>
      </c>
      <c r="D16" s="106">
        <f>+'PG&amp;E Corp. '!E30</f>
        <v>-33587600</v>
      </c>
      <c r="E16" s="106">
        <f>+'PG&amp;E Corp. '!F30</f>
        <v>117553733</v>
      </c>
      <c r="F16" s="106">
        <f>+'PG&amp;E Corp. '!G30</f>
        <v>-70727284</v>
      </c>
      <c r="G16" s="106">
        <f>+'PG&amp;E Corp. '!H30</f>
        <v>46826449</v>
      </c>
      <c r="H16" s="106">
        <f>+'PG&amp;E Corp. '!I30</f>
        <v>46594264</v>
      </c>
      <c r="I16" s="106">
        <f>+'PG&amp;E Corp. '!J30</f>
        <v>13238849</v>
      </c>
      <c r="J16" s="106">
        <f>+'PG&amp;E Corp. '!K30</f>
        <v>0</v>
      </c>
      <c r="K16" s="102"/>
      <c r="L16" s="102"/>
      <c r="M16" s="103"/>
    </row>
    <row r="17" spans="1:13" s="104" customFormat="1" ht="16.5" customHeight="1" x14ac:dyDescent="0.2">
      <c r="A17" s="111" t="s">
        <v>5</v>
      </c>
      <c r="B17" s="111" t="s">
        <v>99</v>
      </c>
      <c r="C17" s="106">
        <f>+'PG&amp;E Corp. '!D34</f>
        <v>0</v>
      </c>
      <c r="D17" s="106">
        <f>+'PG&amp;E Corp. '!E34</f>
        <v>245610</v>
      </c>
      <c r="E17" s="106">
        <f>+'PG&amp;E Corp. '!F34</f>
        <v>0</v>
      </c>
      <c r="F17" s="106">
        <f>+'PG&amp;E Corp. '!G34</f>
        <v>-2552230</v>
      </c>
      <c r="G17" s="106">
        <f>+'PG&amp;E Corp. '!H34</f>
        <v>-2552230</v>
      </c>
      <c r="H17" s="106">
        <f>+'PG&amp;E Corp. '!I34</f>
        <v>-4134430</v>
      </c>
      <c r="I17" s="106">
        <f>+'PG&amp;E Corp. '!J34</f>
        <v>0</v>
      </c>
      <c r="J17" s="106">
        <f>+'PG&amp;E Corp. '!K34</f>
        <v>-2306620</v>
      </c>
      <c r="K17" s="102"/>
      <c r="L17" s="102"/>
      <c r="M17" s="103"/>
    </row>
    <row r="18" spans="1:13" s="104" customFormat="1" ht="15" customHeight="1" x14ac:dyDescent="0.25">
      <c r="A18" s="108" t="s">
        <v>6</v>
      </c>
      <c r="B18" s="108" t="s">
        <v>112</v>
      </c>
      <c r="C18" s="109">
        <f>+'PG&amp;E Corp. '!D47</f>
        <v>0</v>
      </c>
      <c r="D18" s="109">
        <f>+'PG&amp;E Corp. '!E47</f>
        <v>72283453</v>
      </c>
      <c r="E18" s="109">
        <f>+'PG&amp;E Corp. '!F47</f>
        <v>0</v>
      </c>
      <c r="F18" s="109">
        <f>+'PG&amp;E Corp. '!G47</f>
        <v>0</v>
      </c>
      <c r="G18" s="109">
        <f>+'PG&amp;E Corp. '!H47</f>
        <v>0</v>
      </c>
      <c r="H18" s="109">
        <f>+'PG&amp;E Corp. '!I47</f>
        <v>4928856</v>
      </c>
      <c r="I18" s="136">
        <f>+'PG&amp;E Corp. '!J47</f>
        <v>72283453</v>
      </c>
      <c r="J18" s="136">
        <f>+'PG&amp;E Corp. '!K47</f>
        <v>0</v>
      </c>
      <c r="K18" s="102"/>
      <c r="L18" s="102"/>
      <c r="M18" s="103"/>
    </row>
    <row r="19" spans="1:13" s="104" customFormat="1" ht="15" customHeight="1" x14ac:dyDescent="0.25">
      <c r="A19" s="134" t="s">
        <v>89</v>
      </c>
      <c r="B19" s="108"/>
      <c r="C19" s="109"/>
      <c r="D19" s="109"/>
      <c r="E19" s="109"/>
      <c r="F19" s="109"/>
      <c r="G19" s="109"/>
      <c r="H19" s="109"/>
      <c r="I19" s="109">
        <f>SUM(I13:I18)</f>
        <v>148908374</v>
      </c>
      <c r="J19" s="109">
        <f>SUM(J13:J18)</f>
        <v>-71645937</v>
      </c>
      <c r="K19" s="102"/>
      <c r="L19" s="102"/>
      <c r="M19" s="103"/>
    </row>
    <row r="20" spans="1:13" s="104" customFormat="1" ht="15" customHeight="1" x14ac:dyDescent="0.25">
      <c r="A20" s="134"/>
      <c r="B20" s="108"/>
      <c r="C20" s="109"/>
      <c r="D20" s="109"/>
      <c r="E20" s="109"/>
      <c r="F20" s="109"/>
      <c r="G20" s="109"/>
      <c r="H20" s="109"/>
      <c r="I20" s="109"/>
      <c r="J20" s="109"/>
      <c r="K20" s="102"/>
      <c r="L20" s="102"/>
      <c r="M20" s="103"/>
    </row>
    <row r="21" spans="1:13" s="104" customFormat="1" ht="15" customHeight="1" x14ac:dyDescent="0.25">
      <c r="A21" s="108"/>
      <c r="B21" s="108"/>
      <c r="C21" s="109"/>
      <c r="D21" s="109"/>
      <c r="E21" s="109"/>
      <c r="F21" s="109"/>
      <c r="G21" s="109"/>
      <c r="H21" s="109"/>
      <c r="I21" s="109"/>
      <c r="J21" s="110"/>
      <c r="K21" s="102"/>
      <c r="L21" s="102"/>
      <c r="M21" s="103"/>
    </row>
    <row r="22" spans="1:13" s="104" customFormat="1" ht="15" customHeight="1" x14ac:dyDescent="0.2">
      <c r="A22" s="111" t="s">
        <v>32</v>
      </c>
      <c r="B22" s="111" t="s">
        <v>116</v>
      </c>
      <c r="C22" s="106">
        <f>+'Edison Int''l '!D16</f>
        <v>27076</v>
      </c>
      <c r="D22" s="106">
        <f>+'Edison Int''l '!E16</f>
        <v>0</v>
      </c>
      <c r="E22" s="106">
        <f>+'Edison Int''l '!F16</f>
        <v>0</v>
      </c>
      <c r="F22" s="106">
        <f>+'Edison Int''l '!G16</f>
        <v>0</v>
      </c>
      <c r="G22" s="106">
        <f>+'Edison Int''l '!H16</f>
        <v>0</v>
      </c>
      <c r="H22" s="106">
        <f>+'Edison Int''l '!I16</f>
        <v>0</v>
      </c>
      <c r="I22" s="106">
        <f>+'Edison Int''l '!J16</f>
        <v>27076</v>
      </c>
      <c r="J22" s="106">
        <f>+'Edison Int''l '!K16</f>
        <v>0</v>
      </c>
      <c r="K22" s="102"/>
      <c r="L22" s="102"/>
      <c r="M22" s="103"/>
    </row>
    <row r="23" spans="1:13" s="104" customFormat="1" ht="15" customHeight="1" x14ac:dyDescent="0.2">
      <c r="A23" s="111" t="s">
        <v>32</v>
      </c>
      <c r="B23" s="111" t="s">
        <v>117</v>
      </c>
      <c r="C23" s="106">
        <f>+'Edison Int''l '!D17</f>
        <v>0</v>
      </c>
      <c r="D23" s="106">
        <f>+'Edison Int''l '!E17</f>
        <v>18659951</v>
      </c>
      <c r="E23" s="106">
        <f>+'Edison Int''l '!F17</f>
        <v>0</v>
      </c>
      <c r="F23" s="106">
        <f>+'Edison Int''l '!G17</f>
        <v>0</v>
      </c>
      <c r="G23" s="106">
        <f>+'Edison Int''l '!H17</f>
        <v>0</v>
      </c>
      <c r="H23" s="106">
        <f>+'Edison Int''l '!I17</f>
        <v>18659951</v>
      </c>
      <c r="I23" s="112">
        <f>+'Edison Int''l '!J17</f>
        <v>18659951</v>
      </c>
      <c r="J23" s="112">
        <f>+'Edison Int''l '!K17</f>
        <v>0</v>
      </c>
      <c r="K23" s="102"/>
      <c r="L23" s="102"/>
      <c r="M23" s="103"/>
    </row>
    <row r="24" spans="1:13" s="138" customFormat="1" ht="15" customHeight="1" x14ac:dyDescent="0.25">
      <c r="A24" s="134" t="s">
        <v>90</v>
      </c>
      <c r="B24" s="108"/>
      <c r="C24" s="109"/>
      <c r="D24" s="109"/>
      <c r="E24" s="109"/>
      <c r="F24" s="109"/>
      <c r="G24" s="109"/>
      <c r="H24" s="109"/>
      <c r="I24" s="109">
        <f>SUM(I22:I23)</f>
        <v>18687027</v>
      </c>
      <c r="J24" s="109">
        <f>SUM(J22:J23)</f>
        <v>0</v>
      </c>
      <c r="K24" s="110"/>
      <c r="L24" s="110"/>
      <c r="M24" s="137"/>
    </row>
    <row r="25" spans="1:13" s="138" customFormat="1" ht="15" customHeight="1" x14ac:dyDescent="0.25">
      <c r="A25" s="134"/>
      <c r="B25" s="108"/>
      <c r="C25" s="109"/>
      <c r="D25" s="109"/>
      <c r="E25" s="109"/>
      <c r="F25" s="109"/>
      <c r="G25" s="109"/>
      <c r="H25" s="109"/>
      <c r="I25" s="109"/>
      <c r="J25" s="109"/>
      <c r="K25" s="110"/>
      <c r="L25" s="110"/>
      <c r="M25" s="137"/>
    </row>
    <row r="26" spans="1:13" s="104" customFormat="1" ht="15" customHeight="1" x14ac:dyDescent="0.2">
      <c r="A26" s="111"/>
      <c r="B26" s="111"/>
      <c r="C26" s="106"/>
      <c r="D26" s="106"/>
      <c r="E26" s="106"/>
      <c r="F26" s="106"/>
      <c r="G26" s="106"/>
      <c r="H26" s="106"/>
      <c r="I26" s="106"/>
      <c r="J26" s="102"/>
      <c r="K26" s="102"/>
      <c r="L26" s="102"/>
      <c r="M26" s="103"/>
    </row>
    <row r="27" spans="1:13" s="115" customFormat="1" ht="15" customHeight="1" x14ac:dyDescent="0.2">
      <c r="A27" s="111" t="s">
        <v>32</v>
      </c>
      <c r="B27" s="111" t="s">
        <v>113</v>
      </c>
      <c r="C27" s="106">
        <f>+'Edison Int''l '!D18</f>
        <v>0</v>
      </c>
      <c r="D27" s="106">
        <f>+'Edison Int''l '!E18</f>
        <v>-25051813</v>
      </c>
      <c r="E27" s="106">
        <f>+'Edison Int''l '!F18</f>
        <v>0</v>
      </c>
      <c r="F27" s="106">
        <f>+'Edison Int''l '!G18</f>
        <v>0</v>
      </c>
      <c r="G27" s="106">
        <f>+'Edison Int''l '!H18</f>
        <v>0</v>
      </c>
      <c r="H27" s="106">
        <f>+'Edison Int''l '!I18</f>
        <v>-25051813</v>
      </c>
      <c r="I27" s="106">
        <f>+'Edison Int''l '!J18</f>
        <v>0</v>
      </c>
      <c r="J27" s="106">
        <f>+'Edison Int''l '!K18</f>
        <v>-25051813</v>
      </c>
      <c r="K27" s="113"/>
      <c r="L27" s="113"/>
      <c r="M27" s="114"/>
    </row>
    <row r="28" spans="1:13" s="104" customFormat="1" ht="15" customHeight="1" x14ac:dyDescent="0.2">
      <c r="A28" s="111" t="s">
        <v>3</v>
      </c>
      <c r="B28" s="111" t="s">
        <v>113</v>
      </c>
      <c r="C28" s="106">
        <f>+'PG&amp;E Corp. '!D19</f>
        <v>0</v>
      </c>
      <c r="D28" s="106">
        <f>+'PG&amp;E Corp. '!E19</f>
        <v>65974</v>
      </c>
      <c r="E28" s="106">
        <f>+'PG&amp;E Corp. '!F19</f>
        <v>0</v>
      </c>
      <c r="F28" s="106">
        <f>+'PG&amp;E Corp. '!G19</f>
        <v>0</v>
      </c>
      <c r="G28" s="106">
        <f>+'PG&amp;E Corp. '!H19</f>
        <v>0</v>
      </c>
      <c r="H28" s="106">
        <f>+'PG&amp;E Corp. '!I19</f>
        <v>65974</v>
      </c>
      <c r="I28" s="112">
        <f>+'PG&amp;E Corp. '!J19</f>
        <v>65974</v>
      </c>
      <c r="J28" s="112">
        <f>+'PG&amp;E Corp. '!K19</f>
        <v>0</v>
      </c>
      <c r="K28" s="102"/>
      <c r="L28" s="102"/>
      <c r="M28" s="103"/>
    </row>
    <row r="29" spans="1:13" s="104" customFormat="1" ht="15" customHeight="1" x14ac:dyDescent="0.25">
      <c r="A29" s="134" t="s">
        <v>91</v>
      </c>
      <c r="B29" s="108"/>
      <c r="C29" s="109"/>
      <c r="D29" s="109"/>
      <c r="E29" s="109"/>
      <c r="F29" s="109"/>
      <c r="G29" s="109"/>
      <c r="H29" s="109"/>
      <c r="I29" s="109">
        <f>SUM(I27:I28)</f>
        <v>65974</v>
      </c>
      <c r="J29" s="109">
        <f>SUM(J27:J28)</f>
        <v>-25051813</v>
      </c>
      <c r="K29" s="102"/>
      <c r="L29" s="102"/>
      <c r="M29" s="103"/>
    </row>
    <row r="30" spans="1:13" s="104" customFormat="1" ht="15" customHeight="1" x14ac:dyDescent="0.25">
      <c r="A30" s="134"/>
      <c r="B30" s="111"/>
      <c r="C30" s="106"/>
      <c r="D30" s="106"/>
      <c r="E30" s="106"/>
      <c r="F30" s="106"/>
      <c r="G30" s="106"/>
      <c r="H30" s="106"/>
      <c r="I30" s="106"/>
      <c r="J30" s="106"/>
      <c r="K30" s="102"/>
      <c r="L30" s="102"/>
      <c r="M30" s="103"/>
    </row>
    <row r="31" spans="1:13" s="104" customFormat="1" ht="15" customHeight="1" x14ac:dyDescent="0.2">
      <c r="A31" s="111"/>
      <c r="B31" s="111"/>
      <c r="C31" s="106"/>
      <c r="D31" s="106"/>
      <c r="E31" s="106"/>
      <c r="F31" s="106"/>
      <c r="G31" s="106"/>
      <c r="H31" s="106"/>
      <c r="I31" s="106"/>
      <c r="J31" s="102"/>
      <c r="K31" s="102"/>
      <c r="L31" s="102"/>
      <c r="M31" s="103"/>
    </row>
    <row r="32" spans="1:13" s="104" customFormat="1" ht="15" customHeight="1" x14ac:dyDescent="0.2">
      <c r="A32" s="111" t="s">
        <v>32</v>
      </c>
      <c r="B32" s="111" t="s">
        <v>114</v>
      </c>
      <c r="C32" s="106">
        <f>+'Edison Int''l '!D19</f>
        <v>126000</v>
      </c>
      <c r="D32" s="106">
        <f>+'Edison Int''l '!E19</f>
        <v>0</v>
      </c>
      <c r="E32" s="106">
        <f>+'Edison Int''l '!F19</f>
        <v>0</v>
      </c>
      <c r="F32" s="106">
        <f>+'Edison Int''l '!G19</f>
        <v>0</v>
      </c>
      <c r="G32" s="106">
        <f>+'Edison Int''l '!H19</f>
        <v>0</v>
      </c>
      <c r="H32" s="106">
        <f>+'Edison Int''l '!I19</f>
        <v>0</v>
      </c>
      <c r="I32" s="106">
        <f>+'Edison Int''l '!J19</f>
        <v>126000</v>
      </c>
      <c r="J32" s="106">
        <f>+'Edison Int''l '!K19</f>
        <v>0</v>
      </c>
      <c r="K32" s="102"/>
      <c r="L32" s="102"/>
      <c r="M32" s="103"/>
    </row>
    <row r="33" spans="1:13" s="104" customFormat="1" ht="15" customHeight="1" x14ac:dyDescent="0.2">
      <c r="A33" s="111" t="s">
        <v>32</v>
      </c>
      <c r="B33" s="111" t="s">
        <v>114</v>
      </c>
      <c r="C33" s="106">
        <f>+'Edison Int''l '!D20</f>
        <v>0</v>
      </c>
      <c r="D33" s="106">
        <f>+'Edison Int''l '!E20</f>
        <v>0</v>
      </c>
      <c r="E33" s="106">
        <f>+'Edison Int''l '!F20</f>
        <v>10152556</v>
      </c>
      <c r="F33" s="106">
        <f>+'Edison Int''l '!G20</f>
        <v>-294750</v>
      </c>
      <c r="G33" s="106">
        <f>+'Edison Int''l '!H20</f>
        <v>9857806</v>
      </c>
      <c r="H33" s="106">
        <f>+'Edison Int''l '!I20</f>
        <v>0</v>
      </c>
      <c r="I33" s="112">
        <f>+'Edison Int''l '!J20</f>
        <v>9857806</v>
      </c>
      <c r="J33" s="112">
        <f>+'Edison Int''l '!K20</f>
        <v>0</v>
      </c>
      <c r="K33" s="102"/>
      <c r="L33" s="102"/>
      <c r="M33" s="103"/>
    </row>
    <row r="34" spans="1:13" s="104" customFormat="1" ht="15" customHeight="1" x14ac:dyDescent="0.25">
      <c r="A34" s="134" t="s">
        <v>92</v>
      </c>
      <c r="B34" s="108"/>
      <c r="C34" s="109"/>
      <c r="D34" s="109"/>
      <c r="E34" s="109"/>
      <c r="F34" s="109"/>
      <c r="G34" s="109"/>
      <c r="H34" s="109"/>
      <c r="I34" s="109">
        <f>SUM(I32:I33)</f>
        <v>9983806</v>
      </c>
      <c r="J34" s="109">
        <f>SUM(J32:J33)</f>
        <v>0</v>
      </c>
      <c r="K34" s="102"/>
      <c r="L34" s="102"/>
      <c r="M34" s="103"/>
    </row>
    <row r="35" spans="1:13" s="104" customFormat="1" ht="15" customHeight="1" x14ac:dyDescent="0.25">
      <c r="A35" s="134"/>
      <c r="B35" s="108"/>
      <c r="C35" s="109"/>
      <c r="D35" s="109"/>
      <c r="E35" s="109"/>
      <c r="F35" s="109"/>
      <c r="G35" s="109"/>
      <c r="H35" s="109"/>
      <c r="I35" s="109"/>
      <c r="J35" s="109"/>
      <c r="K35" s="102"/>
      <c r="L35" s="102"/>
      <c r="M35" s="103"/>
    </row>
    <row r="36" spans="1:13" s="104" customFormat="1" ht="15" customHeight="1" x14ac:dyDescent="0.2">
      <c r="A36" s="111"/>
      <c r="B36" s="111"/>
      <c r="C36" s="106"/>
      <c r="D36" s="106"/>
      <c r="E36" s="106"/>
      <c r="F36" s="106"/>
      <c r="G36" s="106"/>
      <c r="H36" s="106"/>
      <c r="I36" s="106"/>
      <c r="J36" s="102"/>
      <c r="K36" s="102"/>
      <c r="L36" s="102"/>
      <c r="M36" s="103"/>
    </row>
    <row r="37" spans="1:13" s="104" customFormat="1" ht="15" customHeight="1" x14ac:dyDescent="0.2">
      <c r="A37" s="111" t="s">
        <v>33</v>
      </c>
      <c r="B37" s="111" t="s">
        <v>100</v>
      </c>
      <c r="C37" s="106">
        <f>+'Edison Int''l '!D21</f>
        <v>0</v>
      </c>
      <c r="D37" s="106">
        <f>+'Edison Int''l '!E21</f>
        <v>0</v>
      </c>
      <c r="E37" s="106">
        <f>+'Edison Int''l '!F21</f>
        <v>12185756</v>
      </c>
      <c r="F37" s="106">
        <f>+'Edison Int''l '!G21</f>
        <v>-294750</v>
      </c>
      <c r="G37" s="106">
        <f>+'Edison Int''l '!H21</f>
        <v>11891006</v>
      </c>
      <c r="H37" s="106">
        <f>+'Edison Int''l '!I21</f>
        <v>11891006</v>
      </c>
      <c r="I37" s="106">
        <f>+'Edison Int''l '!J21</f>
        <v>11891006</v>
      </c>
      <c r="J37" s="106">
        <f>+'Edison Int''l '!K21</f>
        <v>0</v>
      </c>
      <c r="K37" s="102"/>
      <c r="L37" s="102"/>
      <c r="M37" s="103"/>
    </row>
    <row r="38" spans="1:13" s="104" customFormat="1" ht="21" customHeight="1" x14ac:dyDescent="0.2">
      <c r="A38" s="116" t="s">
        <v>34</v>
      </c>
      <c r="B38" s="116" t="s">
        <v>100</v>
      </c>
      <c r="C38" s="117">
        <f>+'Edison Int''l '!D25</f>
        <v>26772118</v>
      </c>
      <c r="D38" s="117">
        <f>+'Edison Int''l '!E25</f>
        <v>0</v>
      </c>
      <c r="E38" s="117">
        <f>+'Edison Int''l '!F25</f>
        <v>0</v>
      </c>
      <c r="F38" s="117">
        <f>+'Edison Int''l '!G25</f>
        <v>0</v>
      </c>
      <c r="G38" s="117">
        <f>+'Edison Int''l '!H25</f>
        <v>0</v>
      </c>
      <c r="H38" s="117">
        <f>+'Edison Int''l '!I25</f>
        <v>0</v>
      </c>
      <c r="I38" s="117">
        <f>+'Edison Int''l '!J25</f>
        <v>26772118</v>
      </c>
      <c r="J38" s="117">
        <f>+'Edison Int''l '!K25</f>
        <v>0</v>
      </c>
      <c r="K38" s="102"/>
      <c r="L38" s="102"/>
      <c r="M38" s="103"/>
    </row>
    <row r="39" spans="1:13" s="157" customFormat="1" ht="21" customHeight="1" x14ac:dyDescent="0.25">
      <c r="A39" s="155" t="s">
        <v>0</v>
      </c>
      <c r="B39" s="158" t="s">
        <v>100</v>
      </c>
      <c r="C39" s="156">
        <f>+'PG&amp;E Corp. '!D8</f>
        <v>13796187</v>
      </c>
      <c r="D39" s="156">
        <f>+'PG&amp;E Corp. '!E8</f>
        <v>-34259559</v>
      </c>
      <c r="E39" s="156">
        <f>+'PG&amp;E Corp. '!F8</f>
        <v>57911844</v>
      </c>
      <c r="F39" s="156">
        <f>+'PG&amp;E Corp. '!G8</f>
        <v>-8523860</v>
      </c>
      <c r="G39" s="156">
        <f>+'PG&amp;E Corp. '!H8</f>
        <v>49387984</v>
      </c>
      <c r="H39" s="156">
        <f>+'PG&amp;E Corp. '!I8</f>
        <v>15128425</v>
      </c>
      <c r="I39" s="156">
        <f>+'PG&amp;E Corp. '!J8</f>
        <v>28924612</v>
      </c>
      <c r="J39" s="156">
        <f>+'PG&amp;E Corp. '!K8</f>
        <v>0</v>
      </c>
      <c r="K39" s="31"/>
      <c r="L39" s="31"/>
      <c r="M39" s="159"/>
    </row>
    <row r="40" spans="1:13" s="104" customFormat="1" ht="15" customHeight="1" x14ac:dyDescent="0.2">
      <c r="A40" s="111" t="s">
        <v>2</v>
      </c>
      <c r="B40" s="111" t="s">
        <v>100</v>
      </c>
      <c r="C40" s="106">
        <f>+'PG&amp;E Corp. '!D16</f>
        <v>0</v>
      </c>
      <c r="D40" s="106">
        <f>+'PG&amp;E Corp. '!E16</f>
        <v>0</v>
      </c>
      <c r="E40" s="106">
        <f>+'PG&amp;E Corp. '!F16</f>
        <v>290238</v>
      </c>
      <c r="F40" s="106">
        <f>+'PG&amp;E Corp. '!G16</f>
        <v>0</v>
      </c>
      <c r="G40" s="106">
        <f>+'PG&amp;E Corp. '!H16</f>
        <v>290238</v>
      </c>
      <c r="H40" s="106">
        <f>+'PG&amp;E Corp. '!I16</f>
        <v>290238</v>
      </c>
      <c r="I40" s="106">
        <f>+'PG&amp;E Corp. '!J16</f>
        <v>290238</v>
      </c>
      <c r="J40" s="106">
        <f>+'PG&amp;E Corp. '!K16</f>
        <v>0</v>
      </c>
      <c r="K40" s="102"/>
      <c r="L40" s="102"/>
      <c r="M40" s="103"/>
    </row>
    <row r="41" spans="1:13" s="104" customFormat="1" ht="15" customHeight="1" x14ac:dyDescent="0.2">
      <c r="A41" s="111" t="s">
        <v>3</v>
      </c>
      <c r="B41" s="111" t="s">
        <v>100</v>
      </c>
      <c r="C41" s="106">
        <f>+'PG&amp;E Corp. '!D20</f>
        <v>-6140318</v>
      </c>
      <c r="D41" s="106">
        <f>+'PG&amp;E Corp. '!E20</f>
        <v>0</v>
      </c>
      <c r="E41" s="106">
        <f>+'PG&amp;E Corp. '!F20</f>
        <v>0</v>
      </c>
      <c r="F41" s="106">
        <f>+'PG&amp;E Corp. '!G20</f>
        <v>0</v>
      </c>
      <c r="G41" s="106">
        <f>+'PG&amp;E Corp. '!H20</f>
        <v>0</v>
      </c>
      <c r="H41" s="106">
        <f>+'PG&amp;E Corp. '!I20</f>
        <v>-1414833</v>
      </c>
      <c r="I41" s="106">
        <f>+'PG&amp;E Corp. '!J20</f>
        <v>0</v>
      </c>
      <c r="J41" s="106">
        <f>+'PG&amp;E Corp. '!K20</f>
        <v>-6140318</v>
      </c>
      <c r="K41" s="102"/>
      <c r="L41" s="102"/>
      <c r="M41" s="103"/>
    </row>
    <row r="42" spans="1:13" s="104" customFormat="1" ht="15" customHeight="1" x14ac:dyDescent="0.2">
      <c r="A42" s="111" t="s">
        <v>3</v>
      </c>
      <c r="B42" s="111" t="s">
        <v>100</v>
      </c>
      <c r="C42" s="106">
        <f>+'PG&amp;E Corp. '!D21</f>
        <v>0</v>
      </c>
      <c r="D42" s="106">
        <f>+'PG&amp;E Corp. '!E21</f>
        <v>-2144322</v>
      </c>
      <c r="E42" s="106">
        <f>+'PG&amp;E Corp. '!F21</f>
        <v>9173264</v>
      </c>
      <c r="F42" s="106">
        <f>+'PG&amp;E Corp. '!G21</f>
        <v>-6287916</v>
      </c>
      <c r="G42" s="106">
        <f>+'PG&amp;E Corp. '!H21</f>
        <v>2885348</v>
      </c>
      <c r="H42" s="106">
        <f>+'PG&amp;E Corp. '!I21</f>
        <v>741026</v>
      </c>
      <c r="I42" s="106">
        <f>+'PG&amp;E Corp. '!J21</f>
        <v>741026</v>
      </c>
      <c r="J42" s="106">
        <f>+'PG&amp;E Corp. '!K21</f>
        <v>0</v>
      </c>
      <c r="K42" s="102"/>
      <c r="L42" s="102"/>
      <c r="M42" s="103"/>
    </row>
    <row r="43" spans="1:13" s="104" customFormat="1" ht="15" customHeight="1" x14ac:dyDescent="0.2">
      <c r="A43" s="111" t="s">
        <v>4</v>
      </c>
      <c r="B43" s="111" t="s">
        <v>100</v>
      </c>
      <c r="C43" s="106">
        <f>+'PG&amp;E Corp. '!D31</f>
        <v>0</v>
      </c>
      <c r="D43" s="106">
        <f>+'PG&amp;E Corp. '!E31</f>
        <v>-433158</v>
      </c>
      <c r="E43" s="106">
        <f>+'PG&amp;E Corp. '!F31</f>
        <v>10078686</v>
      </c>
      <c r="F43" s="106">
        <f>+'PG&amp;E Corp. '!G31</f>
        <v>-8818458</v>
      </c>
      <c r="G43" s="106">
        <f>+'PG&amp;E Corp. '!H31</f>
        <v>1260228</v>
      </c>
      <c r="H43" s="106">
        <f>+'PG&amp;E Corp. '!I31</f>
        <v>827070</v>
      </c>
      <c r="I43" s="106">
        <f>+'PG&amp;E Corp. '!J31</f>
        <v>827070</v>
      </c>
      <c r="J43" s="106">
        <f>+'PG&amp;E Corp. '!K31</f>
        <v>0</v>
      </c>
      <c r="K43" s="102"/>
      <c r="L43" s="102"/>
      <c r="M43" s="103"/>
    </row>
    <row r="44" spans="1:13" s="104" customFormat="1" ht="15" customHeight="1" x14ac:dyDescent="0.2">
      <c r="A44" s="111" t="s">
        <v>5</v>
      </c>
      <c r="B44" s="111" t="s">
        <v>100</v>
      </c>
      <c r="C44" s="106">
        <f>+'PG&amp;E Corp. '!D37</f>
        <v>15378735</v>
      </c>
      <c r="D44" s="106">
        <f>+'PG&amp;E Corp. '!E37</f>
        <v>0</v>
      </c>
      <c r="E44" s="106">
        <f>+'PG&amp;E Corp. '!F37</f>
        <v>0</v>
      </c>
      <c r="F44" s="106">
        <f>+'PG&amp;E Corp. '!G37</f>
        <v>0</v>
      </c>
      <c r="G44" s="106">
        <f>+'PG&amp;E Corp. '!H37</f>
        <v>0</v>
      </c>
      <c r="H44" s="106">
        <f>+'PG&amp;E Corp. '!I37</f>
        <v>-22486468</v>
      </c>
      <c r="I44" s="106">
        <f>+'PG&amp;E Corp. '!J37</f>
        <v>15378735</v>
      </c>
      <c r="J44" s="106">
        <f>+'PG&amp;E Corp. '!K37</f>
        <v>0</v>
      </c>
      <c r="K44" s="102"/>
      <c r="L44" s="102"/>
      <c r="M44" s="103"/>
    </row>
    <row r="45" spans="1:13" s="104" customFormat="1" ht="15" customHeight="1" x14ac:dyDescent="0.2">
      <c r="A45" s="111" t="s">
        <v>5</v>
      </c>
      <c r="B45" s="111" t="s">
        <v>100</v>
      </c>
      <c r="C45" s="106">
        <f>+'PG&amp;E Corp. '!D38</f>
        <v>0</v>
      </c>
      <c r="D45" s="106">
        <f>+'PG&amp;E Corp. '!E38</f>
        <v>-13842833</v>
      </c>
      <c r="E45" s="106">
        <f>+'PG&amp;E Corp. '!F38</f>
        <v>157195731</v>
      </c>
      <c r="F45" s="106">
        <f>+'PG&amp;E Corp. '!G38</f>
        <v>-166877353</v>
      </c>
      <c r="G45" s="106">
        <f>+'PG&amp;E Corp. '!H38</f>
        <v>-9681622</v>
      </c>
      <c r="H45" s="106">
        <f>+'PG&amp;E Corp. '!I38</f>
        <v>-23524455</v>
      </c>
      <c r="I45" s="106">
        <f>+'PG&amp;E Corp. '!J38</f>
        <v>0</v>
      </c>
      <c r="J45" s="106">
        <f>+'PG&amp;E Corp. '!K38</f>
        <v>-23524455</v>
      </c>
      <c r="K45" s="102"/>
      <c r="L45" s="102"/>
      <c r="M45" s="103"/>
    </row>
    <row r="46" spans="1:13" s="104" customFormat="1" ht="17.25" customHeight="1" x14ac:dyDescent="0.25">
      <c r="A46" s="108" t="s">
        <v>6</v>
      </c>
      <c r="B46" s="111" t="s">
        <v>100</v>
      </c>
      <c r="C46" s="106">
        <f>+'PG&amp;E Corp. '!D48</f>
        <v>0</v>
      </c>
      <c r="D46" s="106">
        <f>+'PG&amp;E Corp. '!E48</f>
        <v>-18609904</v>
      </c>
      <c r="E46" s="106">
        <f>+'PG&amp;E Corp. '!F48</f>
        <v>0</v>
      </c>
      <c r="F46" s="106">
        <f>+'PG&amp;E Corp. '!G48</f>
        <v>3374</v>
      </c>
      <c r="G46" s="106">
        <f>+'PG&amp;E Corp. '!H48</f>
        <v>3374</v>
      </c>
      <c r="H46" s="106">
        <f>+'PG&amp;E Corp. '!I48</f>
        <v>-18606530</v>
      </c>
      <c r="I46" s="107">
        <f>+'PG&amp;E Corp. '!J48</f>
        <v>0</v>
      </c>
      <c r="J46" s="107">
        <f>+'PG&amp;E Corp. '!K48</f>
        <v>-18606530</v>
      </c>
      <c r="K46" s="102"/>
      <c r="L46" s="102"/>
      <c r="M46" s="103"/>
    </row>
    <row r="47" spans="1:13" s="104" customFormat="1" ht="17.25" customHeight="1" x14ac:dyDescent="0.25">
      <c r="A47" s="44" t="s">
        <v>134</v>
      </c>
      <c r="B47" s="111" t="s">
        <v>100</v>
      </c>
      <c r="C47" s="106">
        <f>+'PG&amp;E Corp. '!D26</f>
        <v>0</v>
      </c>
      <c r="D47" s="106">
        <f>+'PG&amp;E Corp. '!E26</f>
        <v>0</v>
      </c>
      <c r="E47" s="106">
        <f>+'PG&amp;E Corp. '!F26</f>
        <v>1880884</v>
      </c>
      <c r="F47" s="106">
        <f>+'PG&amp;E Corp. '!G26</f>
        <v>0</v>
      </c>
      <c r="G47" s="106">
        <f>+'PG&amp;E Corp. '!H26</f>
        <v>1880884</v>
      </c>
      <c r="H47" s="106">
        <f>+'PG&amp;E Corp. '!I26</f>
        <v>1880884</v>
      </c>
      <c r="I47" s="112">
        <f>+'PG&amp;E Corp. '!J26</f>
        <v>1880884</v>
      </c>
      <c r="J47" s="112">
        <f>+'PG&amp;E Corp. '!K26</f>
        <v>0</v>
      </c>
      <c r="K47" s="102"/>
      <c r="L47" s="102"/>
      <c r="M47" s="103"/>
    </row>
    <row r="48" spans="1:13" s="104" customFormat="1" ht="15" customHeight="1" x14ac:dyDescent="0.25">
      <c r="A48" s="134" t="s">
        <v>93</v>
      </c>
      <c r="B48" s="108"/>
      <c r="C48" s="109"/>
      <c r="D48" s="109"/>
      <c r="E48" s="109"/>
      <c r="F48" s="109"/>
      <c r="G48" s="109"/>
      <c r="H48" s="109"/>
      <c r="I48" s="109">
        <f>SUM(I37:I47)</f>
        <v>86705689</v>
      </c>
      <c r="J48" s="109">
        <f>SUM(J37:J47)</f>
        <v>-48271303</v>
      </c>
      <c r="K48" s="102"/>
      <c r="L48" s="102"/>
      <c r="M48" s="103"/>
    </row>
    <row r="49" spans="1:13" s="104" customFormat="1" ht="15" customHeight="1" x14ac:dyDescent="0.25">
      <c r="A49" s="134"/>
      <c r="B49" s="108"/>
      <c r="C49" s="109"/>
      <c r="D49" s="109"/>
      <c r="E49" s="109"/>
      <c r="F49" s="109"/>
      <c r="G49" s="109"/>
      <c r="H49" s="109"/>
      <c r="I49" s="109"/>
      <c r="J49" s="109"/>
      <c r="K49" s="102"/>
      <c r="L49" s="102"/>
      <c r="M49" s="103"/>
    </row>
    <row r="50" spans="1:13" s="104" customFormat="1" ht="15" customHeight="1" x14ac:dyDescent="0.25">
      <c r="A50" s="111"/>
      <c r="B50" s="111"/>
      <c r="C50" s="106"/>
      <c r="D50" s="106"/>
      <c r="E50" s="106"/>
      <c r="F50" s="106"/>
      <c r="G50" s="106"/>
      <c r="H50" s="106"/>
      <c r="I50" s="106"/>
      <c r="J50" s="118"/>
      <c r="K50" s="102"/>
      <c r="L50" s="102"/>
      <c r="M50" s="103"/>
    </row>
    <row r="51" spans="1:13" s="104" customFormat="1" ht="15" customHeight="1" x14ac:dyDescent="0.2">
      <c r="A51" s="102" t="s">
        <v>48</v>
      </c>
      <c r="B51" s="111" t="s">
        <v>101</v>
      </c>
      <c r="C51" s="119" t="s">
        <v>119</v>
      </c>
      <c r="D51" s="120"/>
      <c r="E51" s="121">
        <f>77653215-27346350-659005</f>
        <v>49647860</v>
      </c>
      <c r="F51" s="122"/>
      <c r="G51" s="105"/>
      <c r="H51" s="105"/>
      <c r="I51" s="102">
        <f>+E51</f>
        <v>49647860</v>
      </c>
      <c r="J51" s="120"/>
      <c r="K51" s="102"/>
      <c r="L51" s="102"/>
      <c r="M51" s="103"/>
    </row>
    <row r="52" spans="1:13" s="104" customFormat="1" ht="15" customHeight="1" x14ac:dyDescent="0.2">
      <c r="A52" s="102" t="s">
        <v>48</v>
      </c>
      <c r="B52" s="111" t="s">
        <v>101</v>
      </c>
      <c r="C52" s="119" t="s">
        <v>120</v>
      </c>
      <c r="D52" s="120"/>
      <c r="E52" s="121"/>
      <c r="F52" s="122">
        <f>-42747380+28936761-599752+21</f>
        <v>-14410350</v>
      </c>
      <c r="G52" s="105"/>
      <c r="H52" s="105"/>
      <c r="I52" s="102"/>
      <c r="J52" s="121">
        <f>+F52</f>
        <v>-14410350</v>
      </c>
      <c r="K52" s="102"/>
      <c r="L52" s="102"/>
      <c r="M52" s="103"/>
    </row>
    <row r="53" spans="1:13" s="104" customFormat="1" ht="15" customHeight="1" x14ac:dyDescent="0.2">
      <c r="A53" s="102" t="s">
        <v>48</v>
      </c>
      <c r="B53" s="111" t="s">
        <v>101</v>
      </c>
      <c r="C53" s="123" t="s">
        <v>121</v>
      </c>
      <c r="D53" s="120"/>
      <c r="E53" s="121"/>
      <c r="F53" s="122">
        <f>-7816951+1884397-137662</f>
        <v>-6070216</v>
      </c>
      <c r="G53" s="105"/>
      <c r="H53" s="105"/>
      <c r="I53" s="102"/>
      <c r="J53" s="121">
        <f>+F53</f>
        <v>-6070216</v>
      </c>
      <c r="K53" s="102"/>
      <c r="L53" s="102"/>
      <c r="M53" s="103"/>
    </row>
    <row r="54" spans="1:13" s="104" customFormat="1" ht="15" customHeight="1" x14ac:dyDescent="0.2">
      <c r="A54" s="105" t="s">
        <v>54</v>
      </c>
      <c r="B54" s="111" t="s">
        <v>101</v>
      </c>
      <c r="C54" s="124" t="s">
        <v>122</v>
      </c>
      <c r="D54" s="102"/>
      <c r="E54" s="122"/>
      <c r="F54" s="122">
        <f>-1967079+35761</f>
        <v>-1931318</v>
      </c>
      <c r="G54" s="105"/>
      <c r="H54" s="105"/>
      <c r="I54" s="102"/>
      <c r="J54" s="102">
        <f>+F54</f>
        <v>-1931318</v>
      </c>
      <c r="K54" s="102"/>
      <c r="L54" s="102"/>
      <c r="M54" s="103"/>
    </row>
    <row r="55" spans="1:13" s="104" customFormat="1" ht="15" customHeight="1" x14ac:dyDescent="0.2">
      <c r="A55" s="105" t="s">
        <v>54</v>
      </c>
      <c r="B55" s="111" t="s">
        <v>101</v>
      </c>
      <c r="C55" s="125" t="s">
        <v>123</v>
      </c>
      <c r="D55" s="102"/>
      <c r="E55" s="122"/>
      <c r="F55" s="122">
        <f>-874535+19401</f>
        <v>-855134</v>
      </c>
      <c r="G55" s="105"/>
      <c r="H55" s="105"/>
      <c r="I55" s="102"/>
      <c r="J55" s="102">
        <f>+F55</f>
        <v>-855134</v>
      </c>
      <c r="K55" s="102"/>
      <c r="L55" s="102"/>
      <c r="M55" s="103"/>
    </row>
    <row r="56" spans="1:13" s="104" customFormat="1" ht="15" customHeight="1" x14ac:dyDescent="0.2">
      <c r="A56" s="105" t="s">
        <v>54</v>
      </c>
      <c r="B56" s="111" t="s">
        <v>101</v>
      </c>
      <c r="C56" s="125" t="s">
        <v>124</v>
      </c>
      <c r="D56" s="102"/>
      <c r="E56" s="122">
        <f>27467988-14941737</f>
        <v>12526251</v>
      </c>
      <c r="F56" s="122"/>
      <c r="G56" s="105"/>
      <c r="H56" s="105"/>
      <c r="I56" s="102">
        <f>+E56</f>
        <v>12526251</v>
      </c>
      <c r="J56" s="102"/>
      <c r="K56" s="102"/>
      <c r="L56" s="102"/>
      <c r="M56" s="103"/>
    </row>
    <row r="57" spans="1:13" s="104" customFormat="1" ht="15" customHeight="1" x14ac:dyDescent="0.2">
      <c r="A57" s="105" t="s">
        <v>54</v>
      </c>
      <c r="B57" s="111" t="s">
        <v>101</v>
      </c>
      <c r="C57" s="125" t="s">
        <v>125</v>
      </c>
      <c r="D57" s="102"/>
      <c r="E57" s="122"/>
      <c r="F57" s="122">
        <f>-32647600</f>
        <v>-32647600</v>
      </c>
      <c r="G57" s="105"/>
      <c r="H57" s="105"/>
      <c r="I57" s="102"/>
      <c r="J57" s="102">
        <f>F57</f>
        <v>-32647600</v>
      </c>
      <c r="K57" s="102"/>
      <c r="L57" s="102"/>
      <c r="M57" s="103"/>
    </row>
    <row r="58" spans="1:13" s="104" customFormat="1" ht="15" customHeight="1" x14ac:dyDescent="0.2">
      <c r="A58" s="105" t="s">
        <v>54</v>
      </c>
      <c r="B58" s="111" t="s">
        <v>101</v>
      </c>
      <c r="C58" s="125" t="s">
        <v>126</v>
      </c>
      <c r="D58" s="102"/>
      <c r="E58" s="122"/>
      <c r="F58" s="122">
        <f>-26739+1573</f>
        <v>-25166</v>
      </c>
      <c r="G58" s="105"/>
      <c r="H58" s="105"/>
      <c r="I58" s="102"/>
      <c r="J58" s="102">
        <f>+F58</f>
        <v>-25166</v>
      </c>
      <c r="K58" s="102"/>
      <c r="L58" s="102"/>
      <c r="M58" s="103"/>
    </row>
    <row r="59" spans="1:13" s="104" customFormat="1" ht="15" customHeight="1" x14ac:dyDescent="0.2">
      <c r="A59" s="105" t="s">
        <v>54</v>
      </c>
      <c r="B59" s="111" t="s">
        <v>101</v>
      </c>
      <c r="C59" s="125" t="s">
        <v>127</v>
      </c>
      <c r="D59" s="102"/>
      <c r="E59" s="122"/>
      <c r="F59" s="122">
        <f>-29231764+13902201</f>
        <v>-15329563</v>
      </c>
      <c r="G59" s="105"/>
      <c r="H59" s="105"/>
      <c r="I59" s="102"/>
      <c r="J59" s="102">
        <f>+F59</f>
        <v>-15329563</v>
      </c>
      <c r="K59" s="102"/>
      <c r="L59" s="102"/>
      <c r="M59" s="103"/>
    </row>
    <row r="60" spans="1:13" s="104" customFormat="1" ht="15" customHeight="1" x14ac:dyDescent="0.2">
      <c r="A60" s="105" t="s">
        <v>54</v>
      </c>
      <c r="B60" s="111" t="s">
        <v>101</v>
      </c>
      <c r="C60" s="126" t="s">
        <v>61</v>
      </c>
      <c r="D60" s="102">
        <v>-48000000</v>
      </c>
      <c r="E60" s="122"/>
      <c r="F60" s="121"/>
      <c r="G60" s="105"/>
      <c r="H60" s="105"/>
      <c r="I60" s="102"/>
      <c r="J60" s="102">
        <f>+D60</f>
        <v>-48000000</v>
      </c>
      <c r="K60" s="102"/>
      <c r="L60" s="102"/>
      <c r="M60" s="103"/>
    </row>
    <row r="61" spans="1:13" s="104" customFormat="1" ht="15" customHeight="1" x14ac:dyDescent="0.2">
      <c r="A61" s="127" t="s">
        <v>34</v>
      </c>
      <c r="B61" s="111" t="s">
        <v>101</v>
      </c>
      <c r="C61" s="128">
        <f>+'Edison Int''l '!D26</f>
        <v>0</v>
      </c>
      <c r="D61" s="128">
        <f>+'Edison Int''l '!E26</f>
        <v>-12560112</v>
      </c>
      <c r="E61" s="128">
        <f>+'Edison Int''l '!F26</f>
        <v>75565849</v>
      </c>
      <c r="F61" s="128">
        <f>+'Edison Int''l '!G26</f>
        <v>-68444360</v>
      </c>
      <c r="G61" s="128">
        <f>+'Edison Int''l '!H26</f>
        <v>7121489</v>
      </c>
      <c r="H61" s="128">
        <f>+'Edison Int''l '!I26</f>
        <v>-5438623</v>
      </c>
      <c r="I61" s="128">
        <f>+'Edison Int''l '!J26</f>
        <v>0</v>
      </c>
      <c r="J61" s="128">
        <f>+'Edison Int''l '!K26</f>
        <v>-5438623</v>
      </c>
      <c r="K61" s="102"/>
      <c r="L61" s="102"/>
      <c r="M61" s="103"/>
    </row>
    <row r="62" spans="1:13" s="104" customFormat="1" ht="15" customHeight="1" x14ac:dyDescent="0.2">
      <c r="A62" s="111" t="s">
        <v>0</v>
      </c>
      <c r="B62" s="111" t="s">
        <v>101</v>
      </c>
      <c r="C62" s="106">
        <f>+'PG&amp;E Corp. '!D9</f>
        <v>0</v>
      </c>
      <c r="D62" s="106">
        <f>+'PG&amp;E Corp. '!E9</f>
        <v>-83975667</v>
      </c>
      <c r="E62" s="106">
        <f>+'PG&amp;E Corp. '!F9</f>
        <v>1726200</v>
      </c>
      <c r="F62" s="106">
        <f>+'PG&amp;E Corp. '!G9</f>
        <v>0</v>
      </c>
      <c r="G62" s="106">
        <f>+'PG&amp;E Corp. '!H9</f>
        <v>1726200</v>
      </c>
      <c r="H62" s="106">
        <f>+'PG&amp;E Corp. '!I9</f>
        <v>-82249467</v>
      </c>
      <c r="I62" s="106">
        <f>+'PG&amp;E Corp. '!J9</f>
        <v>0</v>
      </c>
      <c r="J62" s="106">
        <f>+'PG&amp;E Corp. '!K9</f>
        <v>-82249467</v>
      </c>
      <c r="K62" s="102"/>
      <c r="L62" s="102"/>
      <c r="M62" s="103"/>
    </row>
    <row r="63" spans="1:13" s="104" customFormat="1" ht="15" customHeight="1" x14ac:dyDescent="0.25">
      <c r="A63" s="108" t="s">
        <v>3</v>
      </c>
      <c r="B63" s="108" t="s">
        <v>101</v>
      </c>
      <c r="C63" s="109">
        <f>+'PG&amp;E Corp. '!D22</f>
        <v>0</v>
      </c>
      <c r="D63" s="109">
        <f>+'PG&amp;E Corp. '!E22</f>
        <v>229333966</v>
      </c>
      <c r="E63" s="109">
        <f>+'PG&amp;E Corp. '!F22</f>
        <v>168497152</v>
      </c>
      <c r="F63" s="109">
        <f>+'PG&amp;E Corp. '!G22</f>
        <v>-217683033</v>
      </c>
      <c r="G63" s="109">
        <f>+'PG&amp;E Corp. '!H22</f>
        <v>-49185881</v>
      </c>
      <c r="H63" s="109">
        <f>+'PG&amp;E Corp. '!I22</f>
        <v>180148085</v>
      </c>
      <c r="I63" s="109">
        <f>+'PG&amp;E Corp. '!J22</f>
        <v>180148085</v>
      </c>
      <c r="J63" s="109">
        <f>+'PG&amp;E Corp. '!K22</f>
        <v>0</v>
      </c>
      <c r="K63" s="102"/>
      <c r="L63" s="102"/>
      <c r="M63" s="103"/>
    </row>
    <row r="64" spans="1:13" s="157" customFormat="1" ht="15" customHeight="1" x14ac:dyDescent="0.2">
      <c r="A64" s="160" t="s">
        <v>35</v>
      </c>
      <c r="B64" s="30" t="s">
        <v>101</v>
      </c>
      <c r="C64" s="161">
        <f>+'Edison Int''l '!D7</f>
        <v>0</v>
      </c>
      <c r="D64" s="161">
        <f>+'Edison Int''l '!E7</f>
        <v>-42728858</v>
      </c>
      <c r="E64" s="161">
        <f>+'Edison Int''l '!F7</f>
        <v>7320000</v>
      </c>
      <c r="F64" s="161">
        <f>+'Edison Int''l '!G7</f>
        <v>0</v>
      </c>
      <c r="G64" s="161">
        <f>+'Edison Int''l '!H7</f>
        <v>7320000</v>
      </c>
      <c r="H64" s="161">
        <f>+'Edison Int''l '!I7</f>
        <v>-35408858</v>
      </c>
      <c r="I64" s="162">
        <f>+'Edison Int''l '!J7</f>
        <v>0</v>
      </c>
      <c r="J64" s="162">
        <f>+'Edison Int''l '!K7</f>
        <v>-35408858</v>
      </c>
      <c r="K64" s="31"/>
      <c r="L64" s="31"/>
      <c r="M64" s="159"/>
    </row>
    <row r="65" spans="1:13" s="104" customFormat="1" ht="15" customHeight="1" x14ac:dyDescent="0.25">
      <c r="A65" s="134" t="s">
        <v>94</v>
      </c>
      <c r="B65" s="127"/>
      <c r="C65" s="128"/>
      <c r="D65" s="128"/>
      <c r="E65" s="128"/>
      <c r="F65" s="128"/>
      <c r="G65" s="128"/>
      <c r="H65" s="128"/>
      <c r="I65" s="117">
        <f>SUM(I51:I64)</f>
        <v>242322196</v>
      </c>
      <c r="J65" s="117">
        <f>SUM(J51:J64)</f>
        <v>-242366295</v>
      </c>
      <c r="K65" s="102"/>
      <c r="L65" s="102"/>
      <c r="M65" s="103"/>
    </row>
    <row r="66" spans="1:13" s="104" customFormat="1" ht="15" customHeight="1" x14ac:dyDescent="0.25">
      <c r="A66" s="134"/>
      <c r="B66" s="127"/>
      <c r="C66" s="128"/>
      <c r="D66" s="128"/>
      <c r="E66" s="128"/>
      <c r="F66" s="128"/>
      <c r="G66" s="128"/>
      <c r="H66" s="128"/>
      <c r="I66" s="117"/>
      <c r="J66" s="117"/>
      <c r="K66" s="102"/>
      <c r="L66" s="102"/>
      <c r="M66" s="103"/>
    </row>
    <row r="67" spans="1:13" s="104" customFormat="1" ht="15" customHeight="1" x14ac:dyDescent="0.2">
      <c r="A67" s="127"/>
      <c r="B67" s="127"/>
      <c r="C67" s="128"/>
      <c r="D67" s="128"/>
      <c r="E67" s="128"/>
      <c r="F67" s="128"/>
      <c r="G67" s="128"/>
      <c r="H67" s="128"/>
      <c r="I67" s="128"/>
      <c r="J67" s="130"/>
      <c r="K67" s="102"/>
      <c r="L67" s="102"/>
      <c r="M67" s="103"/>
    </row>
    <row r="68" spans="1:13" s="157" customFormat="1" ht="15" customHeight="1" x14ac:dyDescent="0.2">
      <c r="A68" s="163" t="s">
        <v>0</v>
      </c>
      <c r="B68" s="163" t="s">
        <v>102</v>
      </c>
      <c r="C68" s="164">
        <f>+'PG&amp;E Corp. '!D12</f>
        <v>0</v>
      </c>
      <c r="D68" s="164">
        <f>+'PG&amp;E Corp. '!E12</f>
        <v>0</v>
      </c>
      <c r="E68" s="164">
        <f>+'PG&amp;E Corp. '!F12</f>
        <v>159872.91</v>
      </c>
      <c r="F68" s="164">
        <f>+'PG&amp;E Corp. '!G12</f>
        <v>0</v>
      </c>
      <c r="G68" s="164">
        <f>+'PG&amp;E Corp. '!H12</f>
        <v>159872.91</v>
      </c>
      <c r="H68" s="164">
        <f>+'PG&amp;E Corp. '!I12</f>
        <v>0</v>
      </c>
      <c r="I68" s="164">
        <f>+'PG&amp;E Corp. '!J12</f>
        <v>159872.91</v>
      </c>
      <c r="J68" s="164">
        <f>+'PG&amp;E Corp. '!K12</f>
        <v>0</v>
      </c>
      <c r="K68" s="31"/>
      <c r="L68" s="31"/>
      <c r="M68" s="159"/>
    </row>
    <row r="69" spans="1:13" s="157" customFormat="1" ht="15" customHeight="1" x14ac:dyDescent="0.2">
      <c r="A69" s="163" t="s">
        <v>35</v>
      </c>
      <c r="B69" s="163" t="s">
        <v>102</v>
      </c>
      <c r="C69" s="164">
        <f>+'Edison Int''l '!D11</f>
        <v>0</v>
      </c>
      <c r="D69" s="164">
        <f>+'Edison Int''l '!E11</f>
        <v>0</v>
      </c>
      <c r="E69" s="164">
        <f>+'Edison Int''l '!F11</f>
        <v>2379751.6900000004</v>
      </c>
      <c r="F69" s="164">
        <f>+'Edison Int''l '!G11</f>
        <v>0</v>
      </c>
      <c r="G69" s="164">
        <f>+'Edison Int''l '!H11</f>
        <v>2379751.6900000004</v>
      </c>
      <c r="H69" s="164">
        <f>+'Edison Int''l '!I11</f>
        <v>0</v>
      </c>
      <c r="I69" s="165">
        <f>+'Edison Int''l '!J11</f>
        <v>2379751.6900000004</v>
      </c>
      <c r="J69" s="165">
        <f>+'Edison Int''l '!K11</f>
        <v>0</v>
      </c>
      <c r="K69" s="31"/>
      <c r="L69" s="31"/>
      <c r="M69" s="159"/>
    </row>
    <row r="70" spans="1:13" s="104" customFormat="1" ht="15" customHeight="1" x14ac:dyDescent="0.25">
      <c r="A70" s="134" t="s">
        <v>95</v>
      </c>
      <c r="B70" s="131"/>
      <c r="C70" s="113"/>
      <c r="D70" s="113"/>
      <c r="E70" s="113"/>
      <c r="F70" s="113"/>
      <c r="G70" s="113"/>
      <c r="H70" s="128"/>
      <c r="I70" s="101">
        <f>+SUM(I68:I69)</f>
        <v>2539624.6000000006</v>
      </c>
      <c r="J70" s="101">
        <f>+SUM(J68:J69)</f>
        <v>0</v>
      </c>
      <c r="K70" s="102"/>
      <c r="L70" s="102"/>
      <c r="M70" s="103"/>
    </row>
    <row r="71" spans="1:13" s="104" customFormat="1" ht="15" customHeight="1" x14ac:dyDescent="0.25">
      <c r="A71" s="134"/>
      <c r="B71" s="131"/>
      <c r="C71" s="113"/>
      <c r="D71" s="113"/>
      <c r="E71" s="113"/>
      <c r="F71" s="113"/>
      <c r="G71" s="113"/>
      <c r="H71" s="128"/>
      <c r="I71" s="101"/>
      <c r="J71" s="101"/>
      <c r="K71" s="102"/>
      <c r="L71" s="102"/>
      <c r="M71" s="103"/>
    </row>
    <row r="72" spans="1:13" s="104" customFormat="1" ht="15" customHeight="1" x14ac:dyDescent="0.2">
      <c r="A72" s="131"/>
      <c r="B72" s="131"/>
      <c r="C72" s="113"/>
      <c r="D72" s="113"/>
      <c r="E72" s="113"/>
      <c r="F72" s="113"/>
      <c r="G72" s="113"/>
      <c r="H72" s="128"/>
      <c r="I72" s="113"/>
      <c r="J72" s="129"/>
      <c r="K72" s="102"/>
      <c r="L72" s="102"/>
      <c r="M72" s="103"/>
    </row>
    <row r="73" spans="1:13" s="104" customFormat="1" ht="15" customHeight="1" x14ac:dyDescent="0.2">
      <c r="A73" s="111" t="s">
        <v>5</v>
      </c>
      <c r="B73" s="111" t="s">
        <v>104</v>
      </c>
      <c r="C73" s="106">
        <f>+'PG&amp;E Corp. '!D39</f>
        <v>0</v>
      </c>
      <c r="D73" s="106">
        <f>+'PG&amp;E Corp. '!E39</f>
        <v>0</v>
      </c>
      <c r="E73" s="106">
        <f>+'PG&amp;E Corp. '!F39</f>
        <v>1370682</v>
      </c>
      <c r="F73" s="106">
        <f>+'PG&amp;E Corp. '!G39</f>
        <v>-3131575</v>
      </c>
      <c r="G73" s="106">
        <f>+'PG&amp;E Corp. '!H39</f>
        <v>-1760893</v>
      </c>
      <c r="H73" s="106">
        <f>+'PG&amp;E Corp. '!I39</f>
        <v>-1760893</v>
      </c>
      <c r="I73" s="112">
        <f>+'PG&amp;E Corp. '!J39</f>
        <v>0</v>
      </c>
      <c r="J73" s="112">
        <f>+'PG&amp;E Corp. '!K39</f>
        <v>-1760893</v>
      </c>
      <c r="K73" s="102"/>
      <c r="L73" s="102"/>
      <c r="M73" s="103"/>
    </row>
    <row r="74" spans="1:13" s="104" customFormat="1" ht="15" customHeight="1" x14ac:dyDescent="0.25">
      <c r="A74" s="134" t="s">
        <v>96</v>
      </c>
      <c r="B74" s="111"/>
      <c r="C74" s="106"/>
      <c r="D74" s="106"/>
      <c r="E74" s="106"/>
      <c r="F74" s="106"/>
      <c r="G74" s="106"/>
      <c r="H74" s="106"/>
      <c r="I74" s="109">
        <f>SUM(I73)</f>
        <v>0</v>
      </c>
      <c r="J74" s="109">
        <f>SUM(J73)</f>
        <v>-1760893</v>
      </c>
      <c r="K74" s="102"/>
      <c r="L74" s="102"/>
      <c r="M74" s="103"/>
    </row>
    <row r="75" spans="1:13" s="104" customFormat="1" ht="15" customHeight="1" x14ac:dyDescent="0.25">
      <c r="A75" s="134"/>
      <c r="B75" s="111"/>
      <c r="C75" s="106"/>
      <c r="D75" s="106"/>
      <c r="E75" s="106"/>
      <c r="F75" s="106"/>
      <c r="G75" s="106"/>
      <c r="H75" s="106"/>
      <c r="I75" s="109"/>
      <c r="J75" s="109"/>
      <c r="K75" s="102"/>
      <c r="L75" s="102"/>
      <c r="M75" s="103"/>
    </row>
    <row r="76" spans="1:13" s="104" customFormat="1" ht="15" customHeight="1" x14ac:dyDescent="0.2">
      <c r="A76" s="111"/>
      <c r="B76" s="111"/>
      <c r="C76" s="106"/>
      <c r="D76" s="106"/>
      <c r="E76" s="106"/>
      <c r="F76" s="106"/>
      <c r="G76" s="106"/>
      <c r="H76" s="106"/>
      <c r="I76" s="106"/>
      <c r="J76" s="102"/>
      <c r="K76" s="102"/>
      <c r="L76" s="102"/>
      <c r="M76" s="103"/>
    </row>
    <row r="77" spans="1:13" s="104" customFormat="1" ht="15" customHeight="1" x14ac:dyDescent="0.2">
      <c r="A77" s="102" t="s">
        <v>48</v>
      </c>
      <c r="B77" s="111" t="s">
        <v>115</v>
      </c>
      <c r="C77" s="123" t="s">
        <v>49</v>
      </c>
      <c r="D77" s="120"/>
      <c r="E77" s="122">
        <v>7700000</v>
      </c>
      <c r="F77" s="121"/>
      <c r="G77" s="105"/>
      <c r="H77" s="105"/>
      <c r="I77" s="102">
        <f>+E77</f>
        <v>7700000</v>
      </c>
      <c r="J77" s="120"/>
      <c r="K77" s="105"/>
      <c r="L77" s="105"/>
    </row>
    <row r="78" spans="1:13" s="104" customFormat="1" ht="15" customHeight="1" x14ac:dyDescent="0.2">
      <c r="A78" s="102" t="s">
        <v>48</v>
      </c>
      <c r="B78" s="111" t="s">
        <v>115</v>
      </c>
      <c r="C78" s="123" t="s">
        <v>50</v>
      </c>
      <c r="D78" s="120"/>
      <c r="E78" s="122">
        <v>45000000</v>
      </c>
      <c r="F78" s="121"/>
      <c r="G78" s="105"/>
      <c r="H78" s="105"/>
      <c r="I78" s="102">
        <f>+E78</f>
        <v>45000000</v>
      </c>
      <c r="J78" s="120"/>
      <c r="K78" s="105"/>
      <c r="L78" s="105"/>
    </row>
    <row r="79" spans="1:13" s="104" customFormat="1" ht="15" customHeight="1" x14ac:dyDescent="0.2">
      <c r="A79" s="102" t="s">
        <v>48</v>
      </c>
      <c r="B79" s="111" t="s">
        <v>115</v>
      </c>
      <c r="C79" s="123" t="s">
        <v>51</v>
      </c>
      <c r="D79" s="120"/>
      <c r="E79" s="122">
        <v>500000</v>
      </c>
      <c r="F79" s="121"/>
      <c r="G79" s="105"/>
      <c r="H79" s="105"/>
      <c r="I79" s="102">
        <f>+E79</f>
        <v>500000</v>
      </c>
      <c r="J79" s="120"/>
      <c r="K79" s="105"/>
      <c r="L79" s="105"/>
    </row>
    <row r="80" spans="1:13" s="104" customFormat="1" ht="15" customHeight="1" x14ac:dyDescent="0.2">
      <c r="A80" s="105" t="s">
        <v>54</v>
      </c>
      <c r="B80" s="111" t="s">
        <v>115</v>
      </c>
      <c r="C80" s="132" t="s">
        <v>50</v>
      </c>
      <c r="D80" s="133"/>
      <c r="E80" s="122">
        <v>2800000</v>
      </c>
      <c r="F80" s="122"/>
      <c r="G80" s="105"/>
      <c r="H80" s="105"/>
      <c r="I80" s="102">
        <f>+E80</f>
        <v>2800000</v>
      </c>
      <c r="J80" s="102"/>
      <c r="K80" s="105"/>
      <c r="L80" s="105"/>
    </row>
    <row r="81" spans="1:12" s="157" customFormat="1" ht="15" customHeight="1" x14ac:dyDescent="0.25">
      <c r="A81" s="166" t="s">
        <v>35</v>
      </c>
      <c r="B81" s="155" t="s">
        <v>115</v>
      </c>
      <c r="C81" s="167">
        <f>+'Edison Int''l '!D8</f>
        <v>0</v>
      </c>
      <c r="D81" s="167">
        <f>+'Edison Int''l '!E8</f>
        <v>0</v>
      </c>
      <c r="E81" s="167">
        <f>+'Edison Int''l '!F8</f>
        <v>58000000</v>
      </c>
      <c r="F81" s="167">
        <f>+'Edison Int''l '!G8</f>
        <v>0</v>
      </c>
      <c r="G81" s="167">
        <f>+'Edison Int''l '!H8</f>
        <v>58000000</v>
      </c>
      <c r="H81" s="167">
        <f>+'Edison Int''l '!I8</f>
        <v>0</v>
      </c>
      <c r="I81" s="168">
        <f>+'Edison Int''l '!J8</f>
        <v>58000000</v>
      </c>
      <c r="J81" s="168">
        <f>+'Edison Int''l '!K8</f>
        <v>0</v>
      </c>
      <c r="K81" s="55"/>
      <c r="L81" s="55"/>
    </row>
    <row r="82" spans="1:12" s="104" customFormat="1" ht="15" customHeight="1" x14ac:dyDescent="0.25">
      <c r="A82" s="134" t="s">
        <v>97</v>
      </c>
      <c r="B82" s="105"/>
      <c r="C82" s="105"/>
      <c r="D82" s="105"/>
      <c r="E82" s="142"/>
      <c r="F82" s="142"/>
      <c r="G82" s="142"/>
      <c r="H82" s="142"/>
      <c r="I82" s="154">
        <f>SUM(I77:I81)</f>
        <v>114000000</v>
      </c>
      <c r="J82" s="154">
        <f>SUM(J77:J81)</f>
        <v>0</v>
      </c>
      <c r="K82" s="105"/>
      <c r="L82" s="105"/>
    </row>
    <row r="83" spans="1:12" s="104" customFormat="1" ht="15" customHeight="1" thickBot="1" x14ac:dyDescent="0.3">
      <c r="A83" s="134"/>
      <c r="B83" s="105"/>
      <c r="C83" s="105"/>
      <c r="D83" s="105"/>
      <c r="E83" s="142"/>
      <c r="F83" s="142"/>
      <c r="G83" s="142"/>
      <c r="H83" s="142"/>
      <c r="I83" s="139"/>
      <c r="J83" s="139"/>
      <c r="K83" s="105"/>
      <c r="L83" s="105"/>
    </row>
    <row r="84" spans="1:12" s="105" customFormat="1" ht="15" customHeight="1" thickTop="1" thickBot="1" x14ac:dyDescent="0.3">
      <c r="A84" s="134" t="s">
        <v>98</v>
      </c>
      <c r="E84" s="102"/>
      <c r="F84" s="102"/>
      <c r="G84" s="102"/>
      <c r="I84" s="139">
        <f>+I82+I74+I70+I65+I48+I34+I29+I24+I19+I10</f>
        <v>1653461272.5999999</v>
      </c>
      <c r="J84" s="139">
        <f>+J82+J74+J70+J65+J48+J34+J29+J24+J19+J10</f>
        <v>-391296241</v>
      </c>
    </row>
    <row r="85" spans="1:12" s="104" customFormat="1" ht="15" customHeight="1" thickTop="1" thickBot="1" x14ac:dyDescent="0.25">
      <c r="A85" s="105"/>
      <c r="B85" s="105"/>
      <c r="C85" s="105"/>
      <c r="D85" s="105"/>
      <c r="E85" s="105"/>
      <c r="F85" s="105"/>
      <c r="G85" s="105"/>
      <c r="H85" s="105"/>
      <c r="I85" s="105"/>
      <c r="J85" s="342"/>
      <c r="K85" s="105"/>
      <c r="L85" s="105"/>
    </row>
    <row r="86" spans="1:12" s="104" customFormat="1" ht="15" customHeight="1" thickTop="1" thickBot="1" x14ac:dyDescent="0.3">
      <c r="A86" s="134" t="s">
        <v>162</v>
      </c>
      <c r="B86" s="105"/>
      <c r="C86" s="105"/>
      <c r="D86" s="105"/>
      <c r="E86" s="105"/>
      <c r="F86" s="105"/>
      <c r="G86" s="105"/>
      <c r="H86" s="105"/>
      <c r="J86" s="139">
        <f>+J28+J41+J64+J62+I84</f>
        <v>1529662629.5999999</v>
      </c>
      <c r="K86" s="105"/>
      <c r="L86" s="105"/>
    </row>
    <row r="87" spans="1:12" s="104" customFormat="1" ht="15" customHeight="1" thickTop="1" x14ac:dyDescent="0.2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</row>
    <row r="88" spans="1:12" s="104" customFormat="1" ht="15" customHeight="1" x14ac:dyDescent="0.2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</row>
    <row r="89" spans="1:12" s="104" customFormat="1" ht="15" customHeight="1" x14ac:dyDescent="0.2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s="104" customFormat="1" ht="15" x14ac:dyDescent="0.2">
      <c r="A90" s="105"/>
      <c r="B90" s="105"/>
      <c r="C90" s="105"/>
      <c r="D90" s="105"/>
      <c r="E90" s="105"/>
      <c r="F90" s="105"/>
      <c r="G90" s="105" t="s">
        <v>86</v>
      </c>
      <c r="H90" s="105"/>
      <c r="I90" s="102">
        <f>+'PG&amp;E Corp. '!J53+'Edison Int''l '!J32+'Px - ISO '!J29+'Px - ISO '!J14</f>
        <v>1653951550.5999999</v>
      </c>
      <c r="J90" s="102">
        <f>+'PG&amp;E Corp. '!K53+'Edison Int''l '!K32+'Px - ISO '!K29+'Px - ISO '!K14</f>
        <v>-391954953</v>
      </c>
      <c r="K90" s="105"/>
      <c r="L90" s="105"/>
    </row>
    <row r="91" spans="1:12" s="104" customFormat="1" ht="15" x14ac:dyDescent="0.2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</row>
    <row r="92" spans="1:12" s="104" customFormat="1" ht="15" x14ac:dyDescent="0.2">
      <c r="A92" s="105"/>
      <c r="B92" s="105"/>
      <c r="C92" s="105"/>
      <c r="D92" s="105"/>
      <c r="E92" s="105"/>
      <c r="F92" s="105"/>
      <c r="G92" s="105" t="s">
        <v>86</v>
      </c>
      <c r="H92" s="105"/>
      <c r="I92" s="102">
        <f>+'PG&amp;E Corp. '!J53+'Edison Int''l '!J32+'Px - ISO '!J14+'Px - ISO '!J29</f>
        <v>1653951550.5999999</v>
      </c>
      <c r="J92" s="102">
        <f>+'PG&amp;E Corp. '!K53+'Edison Int''l '!K32+'Px - ISO '!K14+'Px - ISO '!K29</f>
        <v>-391954953</v>
      </c>
      <c r="K92" s="105"/>
      <c r="L92" s="105"/>
    </row>
    <row r="93" spans="1:12" s="104" customFormat="1" ht="15" x14ac:dyDescent="0.2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</row>
    <row r="94" spans="1:12" s="104" customFormat="1" ht="15" x14ac:dyDescent="0.2">
      <c r="A94" s="105"/>
      <c r="B94" s="105"/>
      <c r="C94" s="105"/>
      <c r="D94" s="105"/>
      <c r="E94" s="105"/>
      <c r="F94" s="105"/>
      <c r="G94" s="105"/>
      <c r="H94" s="105"/>
      <c r="J94" s="105"/>
      <c r="K94" s="105"/>
      <c r="L94" s="105"/>
    </row>
    <row r="95" spans="1:12" s="104" customFormat="1" ht="15" x14ac:dyDescent="0.2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</row>
    <row r="96" spans="1:12" s="104" customFormat="1" ht="15" x14ac:dyDescent="0.2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</row>
    <row r="97" spans="1:12" s="104" customFormat="1" ht="15" x14ac:dyDescent="0.2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</row>
    <row r="98" spans="1:12" s="104" customFormat="1" x14ac:dyDescent="0.2"/>
    <row r="99" spans="1:12" s="104" customFormat="1" x14ac:dyDescent="0.2"/>
    <row r="100" spans="1:12" s="104" customFormat="1" x14ac:dyDescent="0.2"/>
    <row r="101" spans="1:12" s="104" customFormat="1" x14ac:dyDescent="0.2"/>
    <row r="102" spans="1:12" s="104" customFormat="1" x14ac:dyDescent="0.2"/>
    <row r="103" spans="1:12" s="104" customFormat="1" x14ac:dyDescent="0.2"/>
    <row r="104" spans="1:12" s="104" customFormat="1" x14ac:dyDescent="0.2"/>
    <row r="105" spans="1:12" s="104" customFormat="1" x14ac:dyDescent="0.2"/>
    <row r="106" spans="1:12" s="104" customFormat="1" x14ac:dyDescent="0.2"/>
    <row r="107" spans="1:12" s="104" customFormat="1" x14ac:dyDescent="0.2"/>
    <row r="108" spans="1:12" s="104" customFormat="1" x14ac:dyDescent="0.2"/>
    <row r="109" spans="1:12" s="104" customFormat="1" x14ac:dyDescent="0.2"/>
    <row r="110" spans="1:12" s="104" customFormat="1" x14ac:dyDescent="0.2"/>
    <row r="111" spans="1:12" s="104" customFormat="1" x14ac:dyDescent="0.2"/>
    <row r="112" spans="1:12" s="104" customFormat="1" x14ac:dyDescent="0.2"/>
    <row r="113" s="104" customFormat="1" x14ac:dyDescent="0.2"/>
    <row r="114" s="104" customFormat="1" x14ac:dyDescent="0.2"/>
    <row r="115" s="104" customFormat="1" x14ac:dyDescent="0.2"/>
    <row r="116" s="104" customFormat="1" x14ac:dyDescent="0.2"/>
    <row r="117" s="104" customFormat="1" x14ac:dyDescent="0.2"/>
    <row r="118" s="104" customFormat="1" x14ac:dyDescent="0.2"/>
    <row r="119" s="104" customFormat="1" x14ac:dyDescent="0.2"/>
    <row r="120" s="104" customFormat="1" x14ac:dyDescent="0.2"/>
    <row r="121" s="104" customFormat="1" x14ac:dyDescent="0.2"/>
    <row r="122" s="104" customFormat="1" x14ac:dyDescent="0.2"/>
    <row r="123" s="104" customFormat="1" x14ac:dyDescent="0.2"/>
    <row r="124" s="104" customFormat="1" x14ac:dyDescent="0.2"/>
    <row r="125" s="104" customFormat="1" x14ac:dyDescent="0.2"/>
    <row r="126" s="104" customFormat="1" x14ac:dyDescent="0.2"/>
    <row r="127" s="104" customFormat="1" x14ac:dyDescent="0.2"/>
    <row r="128" s="104" customFormat="1" x14ac:dyDescent="0.2"/>
    <row r="129" s="104" customFormat="1" x14ac:dyDescent="0.2"/>
    <row r="130" s="104" customFormat="1" x14ac:dyDescent="0.2"/>
    <row r="131" s="104" customFormat="1" x14ac:dyDescent="0.2"/>
    <row r="132" s="104" customFormat="1" x14ac:dyDescent="0.2"/>
    <row r="133" s="104" customFormat="1" x14ac:dyDescent="0.2"/>
    <row r="134" s="104" customFormat="1" x14ac:dyDescent="0.2"/>
    <row r="135" s="104" customFormat="1" x14ac:dyDescent="0.2"/>
    <row r="136" s="104" customFormat="1" x14ac:dyDescent="0.2"/>
    <row r="137" s="104" customFormat="1" x14ac:dyDescent="0.2"/>
    <row r="138" s="104" customFormat="1" x14ac:dyDescent="0.2"/>
    <row r="139" s="104" customFormat="1" x14ac:dyDescent="0.2"/>
    <row r="140" s="104" customFormat="1" x14ac:dyDescent="0.2"/>
    <row r="141" s="104" customFormat="1" x14ac:dyDescent="0.2"/>
    <row r="142" s="104" customFormat="1" x14ac:dyDescent="0.2"/>
    <row r="143" s="104" customFormat="1" x14ac:dyDescent="0.2"/>
    <row r="144" s="104" customFormat="1" x14ac:dyDescent="0.2"/>
    <row r="145" s="104" customFormat="1" x14ac:dyDescent="0.2"/>
    <row r="146" s="104" customFormat="1" x14ac:dyDescent="0.2"/>
    <row r="147" s="104" customFormat="1" x14ac:dyDescent="0.2"/>
    <row r="148" s="104" customFormat="1" x14ac:dyDescent="0.2"/>
    <row r="149" s="104" customFormat="1" x14ac:dyDescent="0.2"/>
    <row r="150" s="104" customFormat="1" x14ac:dyDescent="0.2"/>
    <row r="151" s="104" customFormat="1" x14ac:dyDescent="0.2"/>
    <row r="152" s="104" customFormat="1" x14ac:dyDescent="0.2"/>
    <row r="153" s="104" customFormat="1" x14ac:dyDescent="0.2"/>
    <row r="154" s="104" customFormat="1" x14ac:dyDescent="0.2"/>
    <row r="155" s="104" customFormat="1" x14ac:dyDescent="0.2"/>
    <row r="156" s="104" customFormat="1" x14ac:dyDescent="0.2"/>
    <row r="157" s="104" customFormat="1" x14ac:dyDescent="0.2"/>
    <row r="158" s="104" customFormat="1" x14ac:dyDescent="0.2"/>
    <row r="159" s="104" customFormat="1" x14ac:dyDescent="0.2"/>
    <row r="160" s="104" customFormat="1" x14ac:dyDescent="0.2"/>
    <row r="161" s="104" customFormat="1" x14ac:dyDescent="0.2"/>
    <row r="162" s="104" customFormat="1" x14ac:dyDescent="0.2"/>
    <row r="163" s="104" customFormat="1" x14ac:dyDescent="0.2"/>
    <row r="164" s="104" customFormat="1" x14ac:dyDescent="0.2"/>
    <row r="165" s="104" customFormat="1" x14ac:dyDescent="0.2"/>
    <row r="166" s="104" customFormat="1" x14ac:dyDescent="0.2"/>
    <row r="167" s="104" customFormat="1" x14ac:dyDescent="0.2"/>
    <row r="168" s="104" customFormat="1" x14ac:dyDescent="0.2"/>
    <row r="169" s="104" customFormat="1" x14ac:dyDescent="0.2"/>
    <row r="170" s="104" customFormat="1" x14ac:dyDescent="0.2"/>
    <row r="171" s="104" customFormat="1" x14ac:dyDescent="0.2"/>
    <row r="172" s="104" customFormat="1" x14ac:dyDescent="0.2"/>
    <row r="173" s="104" customFormat="1" x14ac:dyDescent="0.2"/>
    <row r="174" s="104" customFormat="1" x14ac:dyDescent="0.2"/>
    <row r="175" s="104" customFormat="1" x14ac:dyDescent="0.2"/>
    <row r="176" s="104" customFormat="1" x14ac:dyDescent="0.2"/>
    <row r="177" s="104" customFormat="1" x14ac:dyDescent="0.2"/>
    <row r="178" s="104" customFormat="1" x14ac:dyDescent="0.2"/>
    <row r="179" s="104" customFormat="1" x14ac:dyDescent="0.2"/>
    <row r="180" s="104" customFormat="1" x14ac:dyDescent="0.2"/>
    <row r="181" s="104" customFormat="1" x14ac:dyDescent="0.2"/>
    <row r="182" s="104" customFormat="1" x14ac:dyDescent="0.2"/>
    <row r="183" s="104" customFormat="1" x14ac:dyDescent="0.2"/>
    <row r="184" s="104" customFormat="1" x14ac:dyDescent="0.2"/>
    <row r="185" s="104" customFormat="1" x14ac:dyDescent="0.2"/>
    <row r="186" s="104" customFormat="1" x14ac:dyDescent="0.2"/>
    <row r="187" s="104" customFormat="1" x14ac:dyDescent="0.2"/>
    <row r="188" s="104" customFormat="1" x14ac:dyDescent="0.2"/>
    <row r="189" s="104" customFormat="1" x14ac:dyDescent="0.2"/>
    <row r="190" s="104" customFormat="1" x14ac:dyDescent="0.2"/>
    <row r="191" s="104" customFormat="1" x14ac:dyDescent="0.2"/>
    <row r="192" s="104" customFormat="1" x14ac:dyDescent="0.2"/>
    <row r="193" s="104" customFormat="1" x14ac:dyDescent="0.2"/>
    <row r="194" s="104" customFormat="1" x14ac:dyDescent="0.2"/>
    <row r="195" s="104" customFormat="1" x14ac:dyDescent="0.2"/>
    <row r="196" s="104" customFormat="1" x14ac:dyDescent="0.2"/>
    <row r="197" s="104" customFormat="1" x14ac:dyDescent="0.2"/>
    <row r="198" s="104" customFormat="1" x14ac:dyDescent="0.2"/>
    <row r="199" s="104" customFormat="1" x14ac:dyDescent="0.2"/>
    <row r="200" s="104" customFormat="1" x14ac:dyDescent="0.2"/>
    <row r="201" s="104" customFormat="1" x14ac:dyDescent="0.2"/>
    <row r="202" s="104" customFormat="1" x14ac:dyDescent="0.2"/>
    <row r="203" s="104" customFormat="1" x14ac:dyDescent="0.2"/>
    <row r="204" s="104" customFormat="1" x14ac:dyDescent="0.2"/>
    <row r="205" s="104" customFormat="1" x14ac:dyDescent="0.2"/>
    <row r="206" s="104" customFormat="1" x14ac:dyDescent="0.2"/>
    <row r="207" s="104" customFormat="1" x14ac:dyDescent="0.2"/>
    <row r="208" s="104" customFormat="1" x14ac:dyDescent="0.2"/>
    <row r="209" s="104" customFormat="1" x14ac:dyDescent="0.2"/>
    <row r="210" s="104" customFormat="1" x14ac:dyDescent="0.2"/>
    <row r="211" s="104" customFormat="1" x14ac:dyDescent="0.2"/>
    <row r="212" s="104" customFormat="1" x14ac:dyDescent="0.2"/>
    <row r="213" s="104" customFormat="1" x14ac:dyDescent="0.2"/>
    <row r="214" s="104" customFormat="1" x14ac:dyDescent="0.2"/>
    <row r="215" s="104" customFormat="1" x14ac:dyDescent="0.2"/>
    <row r="216" s="104" customFormat="1" x14ac:dyDescent="0.2"/>
    <row r="217" s="104" customFormat="1" x14ac:dyDescent="0.2"/>
    <row r="218" s="104" customFormat="1" x14ac:dyDescent="0.2"/>
    <row r="219" s="104" customFormat="1" x14ac:dyDescent="0.2"/>
    <row r="220" s="104" customFormat="1" x14ac:dyDescent="0.2"/>
    <row r="221" s="104" customFormat="1" x14ac:dyDescent="0.2"/>
    <row r="222" s="104" customFormat="1" x14ac:dyDescent="0.2"/>
    <row r="223" s="104" customFormat="1" x14ac:dyDescent="0.2"/>
    <row r="224" s="104" customFormat="1" x14ac:dyDescent="0.2"/>
    <row r="225" s="104" customFormat="1" x14ac:dyDescent="0.2"/>
    <row r="226" s="104" customFormat="1" x14ac:dyDescent="0.2"/>
    <row r="227" s="104" customFormat="1" x14ac:dyDescent="0.2"/>
    <row r="228" s="104" customFormat="1" x14ac:dyDescent="0.2"/>
    <row r="229" s="104" customFormat="1" x14ac:dyDescent="0.2"/>
    <row r="230" s="104" customFormat="1" x14ac:dyDescent="0.2"/>
    <row r="231" s="104" customFormat="1" x14ac:dyDescent="0.2"/>
    <row r="232" s="104" customFormat="1" x14ac:dyDescent="0.2"/>
    <row r="233" s="104" customFormat="1" x14ac:dyDescent="0.2"/>
    <row r="234" s="104" customFormat="1" x14ac:dyDescent="0.2"/>
    <row r="235" s="104" customFormat="1" x14ac:dyDescent="0.2"/>
    <row r="236" s="104" customFormat="1" x14ac:dyDescent="0.2"/>
    <row r="237" s="104" customFormat="1" x14ac:dyDescent="0.2"/>
    <row r="238" s="104" customFormat="1" x14ac:dyDescent="0.2"/>
    <row r="239" s="104" customFormat="1" x14ac:dyDescent="0.2"/>
    <row r="240" s="104" customFormat="1" x14ac:dyDescent="0.2"/>
    <row r="241" s="104" customFormat="1" x14ac:dyDescent="0.2"/>
    <row r="242" s="104" customFormat="1" x14ac:dyDescent="0.2"/>
    <row r="243" s="104" customFormat="1" x14ac:dyDescent="0.2"/>
    <row r="244" s="104" customFormat="1" x14ac:dyDescent="0.2"/>
    <row r="245" s="104" customFormat="1" x14ac:dyDescent="0.2"/>
    <row r="246" s="104" customFormat="1" x14ac:dyDescent="0.2"/>
    <row r="247" s="104" customFormat="1" x14ac:dyDescent="0.2"/>
    <row r="248" s="104" customFormat="1" x14ac:dyDescent="0.2"/>
    <row r="249" s="104" customFormat="1" x14ac:dyDescent="0.2"/>
    <row r="250" s="104" customFormat="1" x14ac:dyDescent="0.2"/>
    <row r="251" s="104" customFormat="1" x14ac:dyDescent="0.2"/>
    <row r="252" s="104" customFormat="1" x14ac:dyDescent="0.2"/>
    <row r="253" s="104" customFormat="1" x14ac:dyDescent="0.2"/>
    <row r="254" s="104" customFormat="1" x14ac:dyDescent="0.2"/>
    <row r="255" s="104" customFormat="1" x14ac:dyDescent="0.2"/>
    <row r="256" s="104" customFormat="1" x14ac:dyDescent="0.2"/>
    <row r="257" s="104" customFormat="1" x14ac:dyDescent="0.2"/>
    <row r="258" s="104" customFormat="1" x14ac:dyDescent="0.2"/>
    <row r="259" s="104" customFormat="1" x14ac:dyDescent="0.2"/>
    <row r="260" s="104" customFormat="1" x14ac:dyDescent="0.2"/>
    <row r="261" s="104" customFormat="1" x14ac:dyDescent="0.2"/>
    <row r="262" s="104" customFormat="1" x14ac:dyDescent="0.2"/>
    <row r="263" s="104" customFormat="1" x14ac:dyDescent="0.2"/>
    <row r="264" s="104" customFormat="1" x14ac:dyDescent="0.2"/>
    <row r="265" s="104" customFormat="1" x14ac:dyDescent="0.2"/>
    <row r="266" s="104" customFormat="1" x14ac:dyDescent="0.2"/>
    <row r="267" s="104" customFormat="1" x14ac:dyDescent="0.2"/>
    <row r="268" s="104" customFormat="1" x14ac:dyDescent="0.2"/>
    <row r="269" s="104" customFormat="1" x14ac:dyDescent="0.2"/>
    <row r="270" s="104" customFormat="1" x14ac:dyDescent="0.2"/>
    <row r="271" s="104" customFormat="1" x14ac:dyDescent="0.2"/>
    <row r="272" s="104" customFormat="1" x14ac:dyDescent="0.2"/>
    <row r="273" s="104" customFormat="1" x14ac:dyDescent="0.2"/>
    <row r="274" s="104" customFormat="1" x14ac:dyDescent="0.2"/>
    <row r="275" s="104" customFormat="1" x14ac:dyDescent="0.2"/>
    <row r="276" s="104" customFormat="1" x14ac:dyDescent="0.2"/>
    <row r="277" s="104" customFormat="1" x14ac:dyDescent="0.2"/>
    <row r="278" s="104" customFormat="1" x14ac:dyDescent="0.2"/>
    <row r="279" s="104" customFormat="1" x14ac:dyDescent="0.2"/>
    <row r="280" s="104" customFormat="1" x14ac:dyDescent="0.2"/>
    <row r="281" s="104" customFormat="1" x14ac:dyDescent="0.2"/>
    <row r="282" s="104" customFormat="1" x14ac:dyDescent="0.2"/>
    <row r="283" s="104" customFormat="1" x14ac:dyDescent="0.2"/>
    <row r="284" s="104" customFormat="1" x14ac:dyDescent="0.2"/>
    <row r="285" s="104" customFormat="1" x14ac:dyDescent="0.2"/>
    <row r="286" s="104" customFormat="1" x14ac:dyDescent="0.2"/>
    <row r="287" s="104" customFormat="1" x14ac:dyDescent="0.2"/>
    <row r="288" s="104" customFormat="1" x14ac:dyDescent="0.2"/>
    <row r="289" s="104" customFormat="1" x14ac:dyDescent="0.2"/>
    <row r="290" s="104" customFormat="1" x14ac:dyDescent="0.2"/>
    <row r="291" s="104" customFormat="1" x14ac:dyDescent="0.2"/>
    <row r="292" s="104" customFormat="1" x14ac:dyDescent="0.2"/>
    <row r="293" s="104" customFormat="1" x14ac:dyDescent="0.2"/>
    <row r="294" s="104" customFormat="1" x14ac:dyDescent="0.2"/>
    <row r="295" s="104" customFormat="1" x14ac:dyDescent="0.2"/>
    <row r="296" s="104" customFormat="1" x14ac:dyDescent="0.2"/>
    <row r="297" s="104" customFormat="1" x14ac:dyDescent="0.2"/>
    <row r="298" s="104" customFormat="1" x14ac:dyDescent="0.2"/>
    <row r="299" s="104" customFormat="1" x14ac:dyDescent="0.2"/>
    <row r="300" s="104" customFormat="1" x14ac:dyDescent="0.2"/>
    <row r="301" s="104" customFormat="1" x14ac:dyDescent="0.2"/>
    <row r="302" s="104" customFormat="1" x14ac:dyDescent="0.2"/>
    <row r="303" s="104" customFormat="1" x14ac:dyDescent="0.2"/>
    <row r="304" s="104" customFormat="1" x14ac:dyDescent="0.2"/>
    <row r="305" s="104" customFormat="1" x14ac:dyDescent="0.2"/>
    <row r="306" s="104" customFormat="1" x14ac:dyDescent="0.2"/>
    <row r="307" s="104" customFormat="1" x14ac:dyDescent="0.2"/>
    <row r="308" s="104" customFormat="1" x14ac:dyDescent="0.2"/>
    <row r="309" s="104" customFormat="1" x14ac:dyDescent="0.2"/>
    <row r="310" s="104" customFormat="1" x14ac:dyDescent="0.2"/>
    <row r="311" s="104" customFormat="1" x14ac:dyDescent="0.2"/>
    <row r="312" s="104" customFormat="1" x14ac:dyDescent="0.2"/>
    <row r="313" s="104" customFormat="1" x14ac:dyDescent="0.2"/>
    <row r="314" s="104" customFormat="1" x14ac:dyDescent="0.2"/>
    <row r="315" s="104" customFormat="1" x14ac:dyDescent="0.2"/>
    <row r="316" s="104" customFormat="1" x14ac:dyDescent="0.2"/>
    <row r="317" s="104" customFormat="1" x14ac:dyDescent="0.2"/>
    <row r="318" s="104" customFormat="1" x14ac:dyDescent="0.2"/>
    <row r="319" s="104" customFormat="1" x14ac:dyDescent="0.2"/>
    <row r="320" s="104" customFormat="1" x14ac:dyDescent="0.2"/>
    <row r="321" s="104" customFormat="1" x14ac:dyDescent="0.2"/>
    <row r="322" s="104" customFormat="1" x14ac:dyDescent="0.2"/>
    <row r="323" s="104" customFormat="1" x14ac:dyDescent="0.2"/>
    <row r="324" s="104" customFormat="1" x14ac:dyDescent="0.2"/>
    <row r="325" s="104" customFormat="1" x14ac:dyDescent="0.2"/>
    <row r="326" s="104" customFormat="1" x14ac:dyDescent="0.2"/>
    <row r="327" s="104" customFormat="1" x14ac:dyDescent="0.2"/>
    <row r="328" s="104" customFormat="1" x14ac:dyDescent="0.2"/>
    <row r="329" s="104" customFormat="1" x14ac:dyDescent="0.2"/>
    <row r="330" s="104" customFormat="1" x14ac:dyDescent="0.2"/>
    <row r="331" s="104" customFormat="1" x14ac:dyDescent="0.2"/>
    <row r="332" s="104" customFormat="1" x14ac:dyDescent="0.2"/>
    <row r="333" s="104" customFormat="1" x14ac:dyDescent="0.2"/>
    <row r="334" s="104" customFormat="1" x14ac:dyDescent="0.2"/>
    <row r="335" s="104" customFormat="1" x14ac:dyDescent="0.2"/>
    <row r="336" s="104" customFormat="1" x14ac:dyDescent="0.2"/>
    <row r="337" s="104" customFormat="1" x14ac:dyDescent="0.2"/>
    <row r="338" s="104" customFormat="1" x14ac:dyDescent="0.2"/>
    <row r="339" s="104" customFormat="1" x14ac:dyDescent="0.2"/>
    <row r="340" s="104" customFormat="1" x14ac:dyDescent="0.2"/>
    <row r="341" s="104" customFormat="1" x14ac:dyDescent="0.2"/>
    <row r="342" s="104" customFormat="1" x14ac:dyDescent="0.2"/>
    <row r="343" s="104" customFormat="1" x14ac:dyDescent="0.2"/>
    <row r="344" s="104" customFormat="1" x14ac:dyDescent="0.2"/>
    <row r="345" s="104" customFormat="1" x14ac:dyDescent="0.2"/>
    <row r="346" s="104" customFormat="1" x14ac:dyDescent="0.2"/>
    <row r="347" s="104" customFormat="1" x14ac:dyDescent="0.2"/>
    <row r="348" s="104" customFormat="1" x14ac:dyDescent="0.2"/>
    <row r="349" s="104" customFormat="1" x14ac:dyDescent="0.2"/>
    <row r="350" s="104" customFormat="1" x14ac:dyDescent="0.2"/>
    <row r="351" s="104" customFormat="1" x14ac:dyDescent="0.2"/>
    <row r="352" s="104" customFormat="1" x14ac:dyDescent="0.2"/>
    <row r="353" s="104" customFormat="1" x14ac:dyDescent="0.2"/>
    <row r="354" s="104" customFormat="1" x14ac:dyDescent="0.2"/>
    <row r="355" s="104" customFormat="1" x14ac:dyDescent="0.2"/>
    <row r="356" s="104" customFormat="1" x14ac:dyDescent="0.2"/>
    <row r="357" s="104" customFormat="1" x14ac:dyDescent="0.2"/>
    <row r="358" s="104" customFormat="1" x14ac:dyDescent="0.2"/>
    <row r="359" s="104" customFormat="1" x14ac:dyDescent="0.2"/>
    <row r="360" s="104" customFormat="1" x14ac:dyDescent="0.2"/>
    <row r="361" s="104" customFormat="1" x14ac:dyDescent="0.2"/>
    <row r="362" s="104" customFormat="1" x14ac:dyDescent="0.2"/>
    <row r="363" s="104" customFormat="1" x14ac:dyDescent="0.2"/>
    <row r="364" s="104" customFormat="1" x14ac:dyDescent="0.2"/>
    <row r="365" s="104" customFormat="1" x14ac:dyDescent="0.2"/>
    <row r="366" s="104" customFormat="1" x14ac:dyDescent="0.2"/>
    <row r="367" s="104" customFormat="1" x14ac:dyDescent="0.2"/>
    <row r="368" s="104" customFormat="1" x14ac:dyDescent="0.2"/>
    <row r="369" s="104" customFormat="1" x14ac:dyDescent="0.2"/>
    <row r="370" s="104" customFormat="1" x14ac:dyDescent="0.2"/>
    <row r="371" s="104" customFormat="1" x14ac:dyDescent="0.2"/>
    <row r="372" s="104" customFormat="1" x14ac:dyDescent="0.2"/>
    <row r="373" s="104" customFormat="1" x14ac:dyDescent="0.2"/>
    <row r="374" s="104" customFormat="1" x14ac:dyDescent="0.2"/>
    <row r="375" s="104" customFormat="1" x14ac:dyDescent="0.2"/>
    <row r="376" s="104" customFormat="1" x14ac:dyDescent="0.2"/>
    <row r="377" s="104" customFormat="1" x14ac:dyDescent="0.2"/>
    <row r="378" s="104" customFormat="1" x14ac:dyDescent="0.2"/>
    <row r="379" s="104" customFormat="1" x14ac:dyDescent="0.2"/>
    <row r="380" s="104" customFormat="1" x14ac:dyDescent="0.2"/>
    <row r="381" s="104" customFormat="1" x14ac:dyDescent="0.2"/>
    <row r="382" s="104" customFormat="1" x14ac:dyDescent="0.2"/>
    <row r="383" s="104" customFormat="1" x14ac:dyDescent="0.2"/>
    <row r="384" s="104" customFormat="1" x14ac:dyDescent="0.2"/>
    <row r="385" s="104" customFormat="1" x14ac:dyDescent="0.2"/>
    <row r="386" s="104" customFormat="1" x14ac:dyDescent="0.2"/>
    <row r="387" s="104" customFormat="1" x14ac:dyDescent="0.2"/>
    <row r="388" s="104" customFormat="1" x14ac:dyDescent="0.2"/>
    <row r="389" s="104" customFormat="1" x14ac:dyDescent="0.2"/>
    <row r="390" s="104" customFormat="1" x14ac:dyDescent="0.2"/>
    <row r="391" s="104" customFormat="1" x14ac:dyDescent="0.2"/>
    <row r="392" s="104" customFormat="1" x14ac:dyDescent="0.2"/>
    <row r="393" s="104" customFormat="1" x14ac:dyDescent="0.2"/>
    <row r="394" s="104" customFormat="1" x14ac:dyDescent="0.2"/>
    <row r="395" s="104" customFormat="1" x14ac:dyDescent="0.2"/>
    <row r="396" s="104" customFormat="1" x14ac:dyDescent="0.2"/>
    <row r="397" s="104" customFormat="1" x14ac:dyDescent="0.2"/>
    <row r="398" s="104" customFormat="1" x14ac:dyDescent="0.2"/>
    <row r="399" s="104" customFormat="1" x14ac:dyDescent="0.2"/>
    <row r="400" s="104" customFormat="1" x14ac:dyDescent="0.2"/>
    <row r="401" s="104" customFormat="1" x14ac:dyDescent="0.2"/>
    <row r="402" s="104" customFormat="1" x14ac:dyDescent="0.2"/>
    <row r="403" s="104" customFormat="1" x14ac:dyDescent="0.2"/>
    <row r="404" s="104" customFormat="1" x14ac:dyDescent="0.2"/>
    <row r="405" s="104" customFormat="1" x14ac:dyDescent="0.2"/>
    <row r="406" s="104" customFormat="1" x14ac:dyDescent="0.2"/>
    <row r="407" s="104" customFormat="1" x14ac:dyDescent="0.2"/>
    <row r="408" s="104" customFormat="1" x14ac:dyDescent="0.2"/>
    <row r="409" s="104" customFormat="1" x14ac:dyDescent="0.2"/>
    <row r="410" s="104" customFormat="1" x14ac:dyDescent="0.2"/>
    <row r="411" s="104" customFormat="1" x14ac:dyDescent="0.2"/>
    <row r="412" s="104" customFormat="1" x14ac:dyDescent="0.2"/>
    <row r="413" s="104" customFormat="1" x14ac:dyDescent="0.2"/>
    <row r="414" s="104" customFormat="1" x14ac:dyDescent="0.2"/>
    <row r="415" s="104" customFormat="1" x14ac:dyDescent="0.2"/>
    <row r="416" s="104" customFormat="1" x14ac:dyDescent="0.2"/>
  </sheetData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Jan Havlíček</cp:lastModifiedBy>
  <cp:lastPrinted>2001-01-18T23:06:34Z</cp:lastPrinted>
  <dcterms:created xsi:type="dcterms:W3CDTF">2001-01-17T17:48:43Z</dcterms:created>
  <dcterms:modified xsi:type="dcterms:W3CDTF">2023-09-16T21:00:39Z</dcterms:modified>
</cp:coreProperties>
</file>