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938ED2-8D9A-424E-B49F-BA77EFEA4E8F}" xr6:coauthVersionLast="47" xr6:coauthVersionMax="47" xr10:uidLastSave="{00000000-0000-0000-0000-000000000000}"/>
  <bookViews>
    <workbookView xWindow="-120" yWindow="-120" windowWidth="38640" windowHeight="15720" tabRatio="684"/>
  </bookViews>
  <sheets>
    <sheet name="Project Assumptions" sheetId="16" r:id="rId1"/>
    <sheet name="Cash Flow &amp; Returns" sheetId="7" r:id="rId2"/>
    <sheet name="Debt Amortization" sheetId="4" r:id="rId3"/>
    <sheet name="Book Income Statement" sheetId="6" r:id="rId4"/>
    <sheet name="Operations Summary" sheetId="3" r:id="rId5"/>
    <sheet name="Depreciation &amp; Property Taxes" sheetId="14" r:id="rId6"/>
  </sheets>
  <definedNames>
    <definedName name="Asset_Mgt" localSheetId="0">'Project Assumptions'!#REF!</definedName>
    <definedName name="Asset_Mgt">#REF!</definedName>
    <definedName name="Ebitda">'Book Income Statement'!$A$26:$AA$26</definedName>
    <definedName name="Fixed" localSheetId="0">'Project Assumptions'!#REF!</definedName>
    <definedName name="Fixed">#REF!</definedName>
    <definedName name="InterestExpense">'Debt Amortization'!#REF!</definedName>
    <definedName name="Labor" localSheetId="0">'Project Assumptions'!#REF!</definedName>
    <definedName name="Labor">#REF!</definedName>
    <definedName name="Maint_Accrual" localSheetId="0">'Project Assumptions'!#REF!</definedName>
    <definedName name="Maint_Accrual">#REF!</definedName>
    <definedName name="OM_Fee" localSheetId="0">'Project Assumptions'!#REF!</definedName>
    <definedName name="OM_Fee">#REF!</definedName>
    <definedName name="Opcostescalation" localSheetId="0">'Project Assumptions'!$J$17</definedName>
    <definedName name="Opcostescalation">#REF!</definedName>
    <definedName name="principal">'Debt Amortization'!#REF!</definedName>
    <definedName name="_xlnm.Print_Area" localSheetId="3">'Book Income Statement'!$C$1:$R$37</definedName>
    <definedName name="_xlnm.Print_Area" localSheetId="1">'Cash Flow &amp; Returns'!$E$1:$AH$21</definedName>
    <definedName name="_xlnm.Print_Area" localSheetId="2">'Debt Amortization'!$C$1:$AG$18</definedName>
    <definedName name="_xlnm.Print_Area" localSheetId="5">'Depreciation &amp; Property Taxes'!$A$1:$S$48</definedName>
    <definedName name="_xlnm.Print_Area" localSheetId="4">'Operations Summary'!$C$1:$R$33</definedName>
    <definedName name="_xlnm.Print_Area" localSheetId="0">'Project Assumptions'!$A$1:$J$60</definedName>
    <definedName name="_xlnm.Print_Titles" localSheetId="3">'Book Income Statement'!$A:$B</definedName>
    <definedName name="_xlnm.Print_Titles" localSheetId="1">'Cash Flow &amp; Returns'!$A:$D</definedName>
    <definedName name="_xlnm.Print_Titles" localSheetId="2">'Debt Amortization'!$A:$B</definedName>
    <definedName name="_xlnm.Print_Titles" localSheetId="5">'Depreciation &amp; Property Taxes'!$A:$B</definedName>
    <definedName name="_xlnm.Print_Titles" localSheetId="4">'Operations Summary'!$A:$B</definedName>
    <definedName name="solver_adj" localSheetId="2" hidden="1">'Debt Amortization'!#REF!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'Debt Amortization'!#REF!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'Debt Amortization'!#REF!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</definedName>
    <definedName name="Variable" localSheetId="0">'Project Assumptions'!#REF!</definedName>
    <definedName name="Variable">#REF!</definedName>
    <definedName name="wrn.test1." localSheetId="2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0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2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0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2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0" hidden="1">{"SourcesUses",#N/A,TRUE,#N/A;"TransOverview",#N/A,TRUE,"CFMODEL"}</definedName>
    <definedName name="wrn.test3." hidden="1">{"SourcesUses",#N/A,TRUE,#N/A;"TransOverview",#N/A,TRUE,"CFMODEL"}</definedName>
    <definedName name="wrn.test4." localSheetId="2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0" hidden="1">{"SourcesUses",#N/A,TRUE,"FundsFlow";"TransOverview",#N/A,TRUE,"FundsFlow"}</definedName>
    <definedName name="wrn.test4." hidden="1">{"SourcesUses",#N/A,TRUE,"FundsFlow";"TransOverview",#N/A,TRUE,"FundsFlow"}</definedName>
    <definedName name="Z_14FB3146_3CEF_11D2_B9CE_0060080D6A65_.wvu.PrintArea" localSheetId="3" hidden="1">'Book Income Statement'!$C$1:$AA$37</definedName>
    <definedName name="Z_14FB3146_3CEF_11D2_B9CE_0060080D6A65_.wvu.PrintArea" localSheetId="1" hidden="1">'Cash Flow &amp; Returns'!$E$1:$AC$66</definedName>
    <definedName name="Z_14FB3146_3CEF_11D2_B9CE_0060080D6A65_.wvu.PrintArea" localSheetId="2" hidden="1">'Debt Amortization'!$C$1:$AB$14</definedName>
    <definedName name="Z_14FB3146_3CEF_11D2_B9CE_0060080D6A65_.wvu.PrintArea" localSheetId="0" hidden="1">'Project Assumptions'!$A$2:$N$63</definedName>
    <definedName name="Z_14FB3146_3CEF_11D2_B9CE_0060080D6A65_.wvu.PrintTitles" localSheetId="3" hidden="1">'Book Income Statement'!$A:$B</definedName>
    <definedName name="Z_14FB3146_3CEF_11D2_B9CE_0060080D6A65_.wvu.PrintTitles" localSheetId="1" hidden="1">'Cash Flow &amp; Returns'!$A:$D</definedName>
    <definedName name="Z_14FB3146_3CEF_11D2_B9CE_0060080D6A65_.wvu.PrintTitles" localSheetId="2" hidden="1">'Debt Amortization'!$A:$B</definedName>
    <definedName name="Z_14FB3146_3CEF_11D2_B9CE_0060080D6A65_.wvu.PrintTitles" localSheetId="4" hidden="1">'Operations Summary'!$A:$B</definedName>
    <definedName name="Z_14FB3146_3CEF_11D2_B9CE_0060080D6A65_.wvu.Rows" localSheetId="2" hidden="1">'Debt Amortization'!$20:$28</definedName>
    <definedName name="Z_14FB3146_3CEF_11D2_B9CE_0060080D6A65_.wvu.Rows" localSheetId="4" hidden="1">'Operations Summary'!$41:$41</definedName>
    <definedName name="Z_773475A7_2559_11D2_A5F6_0060080AEB13_.wvu.PrintArea" localSheetId="3" hidden="1">'Book Income Statement'!$C$1:$AA$37</definedName>
    <definedName name="Z_773475A7_2559_11D2_A5F6_0060080AEB13_.wvu.PrintArea" localSheetId="1" hidden="1">'Cash Flow &amp; Returns'!$E$1:$AC$16</definedName>
    <definedName name="Z_773475A7_2559_11D2_A5F6_0060080AEB13_.wvu.PrintArea" localSheetId="2" hidden="1">'Debt Amortization'!$C$1:$AR$18</definedName>
    <definedName name="Z_773475A7_2559_11D2_A5F6_0060080AEB13_.wvu.PrintArea" localSheetId="0" hidden="1">'Project Assumptions'!$A$2:$O$52</definedName>
    <definedName name="Z_773475A7_2559_11D2_A5F6_0060080AEB13_.wvu.PrintTitles" localSheetId="3" hidden="1">'Book Income Statement'!$A:$B</definedName>
    <definedName name="Z_773475A7_2559_11D2_A5F6_0060080AEB13_.wvu.PrintTitles" localSheetId="1" hidden="1">'Cash Flow &amp; Returns'!$A:$D</definedName>
    <definedName name="Z_773475A7_2559_11D2_A5F6_0060080AEB13_.wvu.PrintTitles" localSheetId="2" hidden="1">'Debt Amortization'!$A:$B</definedName>
    <definedName name="Z_773475A7_2559_11D2_A5F6_0060080AEB13_.wvu.Rows" localSheetId="2" hidden="1">'Debt Amortization'!$20:$28</definedName>
    <definedName name="Z_9D7575BF_255B_11D2_8267_00A0D1027254_.wvu.PrintArea" localSheetId="3" hidden="1">'Book Income Statement'!$C$1:$AA$37</definedName>
    <definedName name="Z_9D7575BF_255B_11D2_8267_00A0D1027254_.wvu.PrintArea" localSheetId="1" hidden="1">'Cash Flow &amp; Returns'!$E$1:$AC$66</definedName>
    <definedName name="Z_9D7575BF_255B_11D2_8267_00A0D1027254_.wvu.PrintArea" localSheetId="2" hidden="1">'Debt Amortization'!$C$1:$AB$14</definedName>
    <definedName name="Z_9D7575BF_255B_11D2_8267_00A0D1027254_.wvu.PrintArea" localSheetId="0" hidden="1">'Project Assumptions'!$A$2:$N$63</definedName>
    <definedName name="Z_9D7575BF_255B_11D2_8267_00A0D1027254_.wvu.PrintTitles" localSheetId="3" hidden="1">'Book Income Statement'!$A:$B</definedName>
    <definedName name="Z_9D7575BF_255B_11D2_8267_00A0D1027254_.wvu.PrintTitles" localSheetId="1" hidden="1">'Cash Flow &amp; Returns'!$A:$D</definedName>
    <definedName name="Z_9D7575BF_255B_11D2_8267_00A0D1027254_.wvu.PrintTitles" localSheetId="2" hidden="1">'Debt Amortization'!$A:$B</definedName>
    <definedName name="Z_9D7575BF_255B_11D2_8267_00A0D1027254_.wvu.PrintTitles" localSheetId="4" hidden="1">'Operations Summary'!$A:$B</definedName>
    <definedName name="Z_9D7575BF_255B_11D2_8267_00A0D1027254_.wvu.Rows" localSheetId="2" hidden="1">'Debt Amortization'!$20:$28</definedName>
    <definedName name="Z_9D7575BF_255B_11D2_8267_00A0D1027254_.wvu.Rows" localSheetId="4" hidden="1">'Operations Summary'!$41:$41</definedName>
    <definedName name="ZA0" localSheetId="1">"Crystal Ball Data : Ver. 4.0"</definedName>
    <definedName name="ZA0" localSheetId="2">"Crystal Ball Data : Ver. 4.0"</definedName>
    <definedName name="ZA0" localSheetId="0">"Crystal Ball Data : Ver. 4.0"</definedName>
    <definedName name="ZA0A" localSheetId="1">0+0</definedName>
    <definedName name="ZA0A" localSheetId="2">1+125</definedName>
    <definedName name="ZA0A" localSheetId="0">16+123</definedName>
    <definedName name="ZA0C" localSheetId="1">0+0</definedName>
    <definedName name="ZA0C" localSheetId="2">0+0</definedName>
    <definedName name="ZA0C" localSheetId="0">0+0</definedName>
    <definedName name="ZA0F" localSheetId="1">40+149</definedName>
    <definedName name="ZA0F" localSheetId="2">0+0</definedName>
    <definedName name="ZA0F" localSheetId="0">1+100</definedName>
    <definedName name="ZA0T" localSheetId="1">32025820+0</definedName>
    <definedName name="ZA0T" localSheetId="2">392421882+0</definedName>
    <definedName name="ZA0T" localSheetId="0">59579771+0</definedName>
    <definedName name="_ZA100" localSheetId="2">'Debt Amortization'!#REF!+"a=d75"+5+'Debt Amortization'!#REF!+0+1+'Debt Amortization'!#REF!+0+0.1</definedName>
    <definedName name="_ZA100" localSheetId="0">'Project Assumptions'!$B$80+"b  Balance of Plant Costs (x160%)"+5+'Project Assumptions'!$F$100+0+0.8+'Project Assumptions'!$G$70+0+1+'Project Assumptions'!$H$70+0+1.25</definedName>
    <definedName name="_ZA101" localSheetId="0">'Project Assumptions'!$B$81+"b  Interconnection Costs-Gas Only"+5+'Project Assumptions'!$F$101+0+0.8+'Project Assumptions'!$G$71+0+1+'Project Assumptions'!$H$71+0+1.2</definedName>
    <definedName name="_ZA102" localSheetId="0">'Project Assumptions'!$B$82+"b  Spare Parts Inventory"+5+'Project Assumptions'!$F$102+0+0.85+'Project Assumptions'!$G$72+0+1+'Project Assumptions'!$H$72+0+1</definedName>
    <definedName name="_ZA103" localSheetId="0">'Project Assumptions'!$B$83+"b  Project Development Costs"+5+'Project Assumptions'!$F$103+0+0.9+'Project Assumptions'!$G$73+0+1+'Project Assumptions'!$H$73+0+1.1</definedName>
    <definedName name="_ZA104" localSheetId="0">'Project Assumptions'!$B$84+"b  Startup Costs"+5+'Project Assumptions'!$F$104+0+0.85+'Project Assumptions'!$G$74+0+1+'Project Assumptions'!$H$74+0+1.14999999999999</definedName>
    <definedName name="_ZA105" localSheetId="0">'Project Assumptions'!$B$88+"b  Construction Insurance"+5+'Project Assumptions'!$F$108+0+0.85+'Project Assumptions'!$G$78+0+1+'Project Assumptions'!$H$78+0+1.14999999999999</definedName>
    <definedName name="_ZA106" localSheetId="0">'Project Assumptions'!$B$89+"b  Organizational Expenses"+5+'Project Assumptions'!$F$109+0+0.85+'Project Assumptions'!$G$79+0+1+'Project Assumptions'!$H$79+0+1.14999999999999</definedName>
    <definedName name="_ZA115" localSheetId="0">'Project Assumptions'!$B$85+"b  Partnership Counsel"+5+'Project Assumptions'!$F$105+0+0.6+'Project Assumptions'!$G$75+0+1+'Project Assumptions'!$H$75+0+1.1</definedName>
    <definedName name="_ZA116" localSheetId="0">'Project Assumptions'!$B$86+"b  Local Counsel"+5+'Project Assumptions'!$F$106+0+0.9+'Project Assumptions'!$G$76+0+1+'Project Assumptions'!$H$76+0+1.1</definedName>
    <definedName name="_ZA117" localSheetId="0">'Project Assumptions'!$B$87+"b  Accounting Fees"+5+'Project Assumptions'!$F$107+0+0.9+'Project Assumptions'!$G$77+0+1+'Project Assumptions'!$H$77+0+1.1</definedName>
    <definedName name="_ZA118" localSheetId="0">'Project Assumptions'!$B$90+"b  Lender's Engineer"+5+'Project Assumptions'!$F$110+0+0.9+'Project Assumptions'!$G$80+0+1+'Project Assumptions'!$H$80+0+1.1</definedName>
    <definedName name="_ZA119" localSheetId="0">'Project Assumptions'!$B$91+"b  Lender's Counsel"+5+'Project Assumptions'!$F$111+0+0.9+'Project Assumptions'!$G$81+0+1+'Project Assumptions'!$H$81+0+1.1</definedName>
    <definedName name="_ZA120" localSheetId="0">'Project Assumptions'!$B$92+"bO&amp;M - Variable"+5+'Project Assumptions'!$F$112+0+0.9+'Project Assumptions'!$G$82+0+1+'Project Assumptions'!$H$82+0+1.1</definedName>
    <definedName name="_ZA121" localSheetId="0">'Project Assumptions'!$B$93+"bO&amp;M - Fixed (includes labor)"+5+'Project Assumptions'!$F$113+0+1+'Project Assumptions'!$G$83+0+1+'Project Assumptions'!$H$83+0+1.25</definedName>
    <definedName name="_ZA122" localSheetId="0">'Project Assumptions'!$B$94+"bAnnual Overhaul Accrual ($000)"+5+'Project Assumptions'!$F$114+0+0.9+'Project Assumptions'!$G$84+0+1+'Project Assumptions'!$H$84+0+1.1</definedName>
    <definedName name="_ZA123" localSheetId="0">'Project Assumptions'!$B$96+"AAnnual Peak Operating Hours"+5+'Project Assumptions'!$C$96+0+1+'Project Assumptions'!$D$94+0+0.25+1+"+"</definedName>
    <definedName name="_ZF100" localSheetId="1">'Cash Flow &amp; Returns'!$E$15+"After Tax Cash Flow - 1"+""+41+41+440+57+18+341+476+4+3+"-"+"+"+2.6+50+2</definedName>
    <definedName name="_ZF100" localSheetId="0">'Project Assumptions'!#REF!+"=a24"+""+33+33+441+0+0+0+0+4+3+"-"+"+"+2.6+50+2</definedName>
    <definedName name="_ZF101" localSheetId="1">'Cash Flow &amp; Returns'!$F$15+"After Tax Cash Flow - 2"+""+41+41+440+72+40+356+498+4+3+"-"+"+"+2.6+50+2</definedName>
    <definedName name="_ZF102" localSheetId="1">'Cash Flow &amp; Returns'!$G$15+"After Tax Cash Flow - 3"+""+41+41+440+87+62+371+520+4+3+"-"+"+"+2.6+50+2</definedName>
    <definedName name="_ZF103" localSheetId="1">'Cash Flow &amp; Returns'!$H$15+"After Tax Cash Flow - 4"+""+41+41+440+102+84+386+542+4+3+"-"+"+"+2.6+50+2</definedName>
    <definedName name="_ZF104" localSheetId="1">'Cash Flow &amp; Returns'!$I$15+"After Tax Cash Flow - 5"+""+41+41+440+117+106+401+564+4+3+"-"+"+"+2.6+50+2</definedName>
    <definedName name="_ZF105" localSheetId="1">'Cash Flow &amp; Returns'!$J$15+"After Tax Cash Flow - 6"+""+41+41+440+132+128+416+586+4+3+"-"+"+"+2.6+50+2</definedName>
    <definedName name="_ZF106" localSheetId="1">'Cash Flow &amp; Returns'!$K$15+"After Tax Cash Flow - 7"+""+41+41+440+147+150+431+608+4+3+"-"+"+"+2.6+50+2</definedName>
    <definedName name="_ZF107" localSheetId="1">'Cash Flow &amp; Returns'!$L$15+"After Tax Cash Flow - 7"+""+41+41+440+0+0+0+0+4+3+"-"+"+"+2.6+50+2</definedName>
    <definedName name="_ZF108" localSheetId="1">'Cash Flow &amp; Returns'!$M$15+"After Tax Cash Flow - 8"+""+41+41+440+0+0+0+0+4+3+"-"+"+"+2.6+50+2</definedName>
    <definedName name="_ZF109" localSheetId="1">'Cash Flow &amp; Returns'!$N$15+"After Tax Cash Flow - 9"+""+41+41+440+0+0+0+0+4+3+"-"+"+"+2.6+50+2</definedName>
    <definedName name="_ZF110" localSheetId="1">'Cash Flow &amp; Returns'!$O$15+"After Tax Cash Flow - 10"+""+41+41+440+0+0+0+0+4+3+"-"+"+"+2.6+50+2</definedName>
    <definedName name="_ZF111" localSheetId="1">'Cash Flow &amp; Returns'!$P$15+"After Tax Cash Flow - 11"+""+41+41+440+0+0+0+0+4+3+"-"+"+"+2.6+50+2</definedName>
    <definedName name="_ZF112" localSheetId="1">'Cash Flow &amp; Returns'!$Q$15+"After Tax Cash Flow - 12"+""+41+41+440+0+0+0+0+4+3+"-"+"+"+2.6+50+2</definedName>
    <definedName name="_ZF113" localSheetId="1">'Cash Flow &amp; Returns'!$R$15+"After Tax Cash Flow - 13"+""+41+41+440+0+0+0+0+4+3+"-"+"+"+2.6+50+2</definedName>
    <definedName name="_ZF114" localSheetId="1">'Cash Flow &amp; Returns'!$S$15+"After Tax Cash Flow - 14"+""+41+41+440+0+0+0+0+4+3+"-"+"+"+2.6+50+2</definedName>
    <definedName name="_ZF115" localSheetId="1">'Cash Flow &amp; Returns'!$T$15+"After Tax Cash Flow - 15"+""+41+41+440+0+0+0+0+4+3+"-"+"+"+2.6+50+2</definedName>
    <definedName name="_ZF116" localSheetId="1">'Cash Flow &amp; Returns'!$U$15+"After Tax Cash Flow - 16"+""+41+41+440+0+0+0+0+4+3+"-"+"+"+2.6+50+2</definedName>
    <definedName name="_ZF117" localSheetId="1">'Cash Flow &amp; Returns'!$V$15+"After Tax Cash Flow - 17"+""+41+41+440+0+0+0+0+4+3+"-"+"+"+2.6+50+2</definedName>
    <definedName name="_ZF118" localSheetId="1">'Cash Flow &amp; Returns'!$W$15+"After Tax Cash Flow - 18"+""+41+41+440+0+0+0+0+4+3+"-"+"+"+2.6+50+2</definedName>
    <definedName name="_ZF119" localSheetId="1">'Cash Flow &amp; Returns'!$X$15+"After Tax Cash Flow - 19"+""+41+41+440+0+0+0+0+4+3+"-"+"+"+2.6+50+2</definedName>
    <definedName name="_ZF125" localSheetId="1">'Cash Flow &amp; Returns'!$E$25+"Debt Need - 1"+""+33+33+440+0+0+0+0+4+3+"-"+"+"+2.6+50+2</definedName>
    <definedName name="_ZF126" localSheetId="1">'Cash Flow &amp; Returns'!$F$25+"Debt Need - 2"+""+33+33+440+0+0+0+0+4+3+"-"+"+"+2.6+50+2</definedName>
    <definedName name="_ZF127" localSheetId="1">'Cash Flow &amp; Returns'!$G$25+"Debt Need - 3"+""+33+33+440+0+0+0+0+4+3+"-"+"+"+2.6+50+2</definedName>
    <definedName name="_ZF128" localSheetId="1">'Cash Flow &amp; Returns'!$H$25+"Debt Need - 4"+""+33+33+440+0+0+0+0+4+3+"-"+"+"+2.6+50+2</definedName>
    <definedName name="_ZF129" localSheetId="1">'Cash Flow &amp; Returns'!$I$25+"Debt Need - 5"+""+33+33+440+0+0+0+0+4+3+"-"+"+"+2.6+50+2</definedName>
    <definedName name="_ZF130" localSheetId="1">'Cash Flow &amp; Returns'!$J$25+"Debt Need - 6"+""+33+33+440+0+0+0+0+4+3+"-"+"+"+2.6+50+2</definedName>
    <definedName name="_ZF131" localSheetId="1">'Cash Flow &amp; Returns'!$K$25+"Debt Need - 7"+""+33+33+440+0+0+0+0+4+3+"-"+"+"+2.6+50+2</definedName>
    <definedName name="_ZF132" localSheetId="1">'Cash Flow &amp; Returns'!$L$25+"Debt Need - 8"+""+33+33+440+0+0+0+0+4+3+"-"+"+"+2.6+50+2</definedName>
    <definedName name="_ZF133" localSheetId="1">'Cash Flow &amp; Returns'!$M$25+"Debt Need - 9"+""+33+33+440+0+0+0+0+4+3+"-"+"+"+2.6+50+2</definedName>
    <definedName name="_ZF134" localSheetId="1">'Cash Flow &amp; Returns'!$N$25+"Debt Need - 10"+""+33+33+440+0+0+0+0+4+3+"-"+"+"+2.6+50+2</definedName>
    <definedName name="_ZF135" localSheetId="1">'Cash Flow &amp; Returns'!$O$25+"Debt Need - 11"+""+33+33+440+0+0+0+0+4+3+"-"+"+"+2.6+50+2</definedName>
    <definedName name="_ZF136" localSheetId="1">'Cash Flow &amp; Returns'!$P$25+"Debt Need - 12"+""+33+33+440+0+0+0+0+4+3+"-"+"+"+2.6+50+2</definedName>
    <definedName name="_ZF137" localSheetId="1">'Cash Flow &amp; Returns'!$Q$25+"Debt Need - 13"+""+33+33+440+0+0+0+0+4+3+"-"+"+"+2.6+50+2</definedName>
    <definedName name="_ZF138" localSheetId="1">'Cash Flow &amp; Returns'!$R$25+"Debt Need - 14"+""+33+33+440+0+0+0+0+4+3+"-"+"+"+2.6+50+2</definedName>
    <definedName name="_ZF139" localSheetId="1">'Cash Flow &amp; Returns'!$S$25+"Debt Need - 15"+""+33+33+440+0+0+0+0+4+3+"-"+"+"+2.6+50+2</definedName>
    <definedName name="_ZF140" localSheetId="1">'Cash Flow &amp; Returns'!$T$25+"Debt Need - 16"+""+33+33+440+0+0+0+0+4+3+"-"+"+"+2.6+50+2</definedName>
    <definedName name="_ZF141" localSheetId="1">'Cash Flow &amp; Returns'!$U$25+"Debt Need - 17"+""+33+33+440+0+0+0+0+4+3+"-"+"+"+2.6+50+2</definedName>
    <definedName name="_ZF142" localSheetId="1">'Cash Flow &amp; Returns'!$V$25+"Debt Need - 18"+""+33+33+440+0+0+0+0+4+3+"-"+"+"+2.6+50+2</definedName>
    <definedName name="_ZF143" localSheetId="1">'Cash Flow &amp; Returns'!$W$25+"Debt Need - 19"+""+33+33+440+0+0+0+0+4+3+"-"+"+"+2.6+50+2</definedName>
    <definedName name="_ZF144" localSheetId="1">'Cash Flow &amp; Returns'!$X$25+"Debt Need - 20"+""+33+33+440+0+0+0+0+4+3+"-"+"+"+2.6+50+2</definedName>
  </definedNames>
  <calcPr calcId="0" fullCalcOnLoad="1"/>
  <customWorkbookViews>
    <customWorkbookView name="Bryan Garrett - Personal View" guid="{9D7575BF-255B-11D2-8267-00A0D1027254}" autoUpdate="1" mergeInterval="30" personalView="1" maximized="1" windowWidth="1020" windowHeight="621" tabRatio="850" activeSheetId="1"/>
    <customWorkbookView name="slewis - Personal View" guid="{773475A7-2559-11D2-A5F6-0060080AEB13}" mergeInterval="0" personalView="1" maximized="1" windowWidth="1020" windowHeight="554" activeSheetId="1"/>
    <customWorkbookView name="Kevin Ruscitti - Personal View" guid="{14FB3146-3CEF-11D2-B9CE-0060080D6A65}" mergeInterval="0" personalView="1" maximized="1" windowWidth="1020" windowHeight="606" tabRatio="850" activeSheetId="1"/>
  </customWorkbookViews>
</workbook>
</file>

<file path=xl/calcChain.xml><?xml version="1.0" encoding="utf-8"?>
<calcChain xmlns="http://schemas.openxmlformats.org/spreadsheetml/2006/main">
  <c r="C7" i="6" l="1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C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4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12" i="16"/>
  <c r="E12" i="16"/>
  <c r="E14" i="16"/>
  <c r="E15" i="16"/>
  <c r="E19" i="16"/>
  <c r="E36" i="16"/>
  <c r="J44" i="16"/>
  <c r="E45" i="16"/>
  <c r="E50" i="16"/>
  <c r="E51" i="16"/>
  <c r="E52" i="16"/>
</calcChain>
</file>

<file path=xl/sharedStrings.xml><?xml version="1.0" encoding="utf-8"?>
<sst xmlns="http://schemas.openxmlformats.org/spreadsheetml/2006/main" count="184" uniqueCount="158">
  <si>
    <t>Years</t>
  </si>
  <si>
    <t>Revenues</t>
  </si>
  <si>
    <t>EBITDA</t>
  </si>
  <si>
    <t>EBIT</t>
  </si>
  <si>
    <t>Year</t>
  </si>
  <si>
    <t xml:space="preserve">  Plus Accrued Interest Expense</t>
  </si>
  <si>
    <t xml:space="preserve">  Less Interest Payments</t>
  </si>
  <si>
    <t xml:space="preserve">  Less Principal Payments</t>
  </si>
  <si>
    <t>Pretax Cash Flow</t>
  </si>
  <si>
    <t>Residual</t>
  </si>
  <si>
    <t>Depreciation and Property Taxes</t>
  </si>
  <si>
    <t>15 Year MACRS Table</t>
  </si>
  <si>
    <t>Half-Year Convention</t>
  </si>
  <si>
    <t>Depr. %</t>
  </si>
  <si>
    <t>20 Year MACRS Table</t>
  </si>
  <si>
    <t xml:space="preserve">   Total Revenue</t>
  </si>
  <si>
    <t xml:space="preserve">   Book Depreciation &amp; Amortization</t>
  </si>
  <si>
    <t xml:space="preserve">   Interest Expense</t>
  </si>
  <si>
    <t xml:space="preserve">   Interest Income</t>
  </si>
  <si>
    <t xml:space="preserve">   Net Interest Expense</t>
  </si>
  <si>
    <t xml:space="preserve">   Peak Fuel BBtu</t>
  </si>
  <si>
    <t xml:space="preserve">   Debt Iss &amp; Loan Fees - SL</t>
  </si>
  <si>
    <t xml:space="preserve">  Beginning Balance</t>
  </si>
  <si>
    <t xml:space="preserve">  Interest </t>
  </si>
  <si>
    <t xml:space="preserve">  Principal</t>
  </si>
  <si>
    <t xml:space="preserve">  Total Debt Service</t>
  </si>
  <si>
    <t xml:space="preserve">  Ending Balance</t>
  </si>
  <si>
    <t>PROPERTY TAX CALCULATION</t>
  </si>
  <si>
    <t xml:space="preserve">   Fuel</t>
  </si>
  <si>
    <t xml:space="preserve">   Maximum Peak Generation (MWh)</t>
  </si>
  <si>
    <t xml:space="preserve">   </t>
  </si>
  <si>
    <t xml:space="preserve">   Degraded Peak Heat Rate (Btu/kWh)</t>
  </si>
  <si>
    <t xml:space="preserve">   Peak Fuel Cost $000</t>
  </si>
  <si>
    <t>Plant Output Summary</t>
  </si>
  <si>
    <t>Debt Amortization</t>
  </si>
  <si>
    <t>TOTAL ANNUAL DEBT AMORTIZATION</t>
  </si>
  <si>
    <t xml:space="preserve">  Average Life (years)</t>
  </si>
  <si>
    <t>US FEDERAL TAX DEPRECIATION &amp; AMORTIZATION</t>
  </si>
  <si>
    <t xml:space="preserve">   Plant and Equipment - MACRS</t>
  </si>
  <si>
    <t xml:space="preserve">   Start-up Costs - SL </t>
  </si>
  <si>
    <t xml:space="preserve">   Tax Depr - Plant and Equipment</t>
  </si>
  <si>
    <t xml:space="preserve">   Amort - Start-up Costs</t>
  </si>
  <si>
    <t xml:space="preserve">   Amort - Debt Iss &amp; Loan Fees</t>
  </si>
  <si>
    <t xml:space="preserve">   Total Annual Depr &amp; Amort </t>
  </si>
  <si>
    <t>STATE TAX DEPRECIATION &amp; AMORTIZATION</t>
  </si>
  <si>
    <t>BOOK DEPRECIATION &amp; AMORTIZATION</t>
  </si>
  <si>
    <t xml:space="preserve">   Plant and Equipment - SL</t>
  </si>
  <si>
    <t xml:space="preserve">   Book Depr - Plant and Equipment</t>
  </si>
  <si>
    <t xml:space="preserve">   Total Beginning Book Value</t>
  </si>
  <si>
    <t xml:space="preserve">   Ending Book Value of Assets</t>
  </si>
  <si>
    <t xml:space="preserve">   Assessable Value of Hard Assets</t>
  </si>
  <si>
    <t xml:space="preserve">   Annual Depreciated Assessable Value</t>
  </si>
  <si>
    <t xml:space="preserve">   Annual School Tax</t>
  </si>
  <si>
    <t xml:space="preserve">   Annual County Tax </t>
  </si>
  <si>
    <t xml:space="preserve">   Annual City Tax </t>
  </si>
  <si>
    <t xml:space="preserve">   Total Property Tax</t>
  </si>
  <si>
    <t>Months of Year In Operation</t>
  </si>
  <si>
    <t xml:space="preserve">  EBITDA/Debt Service</t>
  </si>
  <si>
    <t xml:space="preserve">  Plus Book Depreciation &amp; Amortization</t>
  </si>
  <si>
    <t>Patronage Capital Return</t>
  </si>
  <si>
    <t>Percentage of Prior Year's Interest Payment</t>
  </si>
  <si>
    <t xml:space="preserve">PATRONAGE CAPITAL CALCULATION </t>
  </si>
  <si>
    <t xml:space="preserve">   PPA MWh</t>
  </si>
  <si>
    <t>Fuel Consumption</t>
  </si>
  <si>
    <t xml:space="preserve">   Run Hours</t>
  </si>
  <si>
    <t xml:space="preserve">   Contract Capacity (MW)</t>
  </si>
  <si>
    <t xml:space="preserve">   PPA Energy Revenue (Fuel and VO&amp;M)</t>
  </si>
  <si>
    <t xml:space="preserve">   Fixed Capacity Revenue</t>
  </si>
  <si>
    <t xml:space="preserve">   Escalating Capacity Revenue</t>
  </si>
  <si>
    <t xml:space="preserve">   Put Value Revenue</t>
  </si>
  <si>
    <t>Pass-through Expenses</t>
  </si>
  <si>
    <t>Escalating Expenses</t>
  </si>
  <si>
    <t xml:space="preserve">   Total Escalating Expenses</t>
  </si>
  <si>
    <t>Total Operating Expenses</t>
  </si>
  <si>
    <t>DOYLE I, LLC</t>
  </si>
  <si>
    <t xml:space="preserve">   Total Variable Pass-through Expenses</t>
  </si>
  <si>
    <t xml:space="preserve">   Total Fixed Pass-through Expenses</t>
  </si>
  <si>
    <t>PPA Rate</t>
  </si>
  <si>
    <t>Gas Curves</t>
  </si>
  <si>
    <t xml:space="preserve">   Fixed Capacity Payment ($/kw-mo)</t>
  </si>
  <si>
    <t xml:space="preserve">   Escalating Capacity Payment ($/kw-mo)</t>
  </si>
  <si>
    <t xml:space="preserve">   Total Capacity Payment ($/kw-mo)</t>
  </si>
  <si>
    <t>ASSUMPTIONS AND SUMMARY</t>
  </si>
  <si>
    <t>PROJECT DESCRIPTION:</t>
  </si>
  <si>
    <t>GE7EAs</t>
  </si>
  <si>
    <t>GE7Bs</t>
  </si>
  <si>
    <t>Yr. 2000 $</t>
  </si>
  <si>
    <t xml:space="preserve">No. Turbines </t>
  </si>
  <si>
    <t>Turbine Rating (MW)</t>
  </si>
  <si>
    <t>Net MW</t>
  </si>
  <si>
    <t>Heat Rate (HHV)</t>
  </si>
  <si>
    <t>Total Project MW</t>
  </si>
  <si>
    <t>Annual Peak Operating Hours</t>
  </si>
  <si>
    <t>PPA Term (Years)</t>
  </si>
  <si>
    <t>Start of Commercial Operation</t>
  </si>
  <si>
    <t>Total Pass-through Maintenance Costs</t>
  </si>
  <si>
    <t>Installed Cost ($/kW)</t>
  </si>
  <si>
    <t>Assumed Escalation</t>
  </si>
  <si>
    <t>PPA ASSUMPTIONS</t>
  </si>
  <si>
    <t>ESCALATING CAPACITY PAYMENT COSTS ($000)</t>
  </si>
  <si>
    <t>Total Escalating Capacity Payment Costs</t>
  </si>
  <si>
    <t>Assumed Esc. Cap. Pmt. Escalation</t>
  </si>
  <si>
    <t>Fixed Capacity Payment ($/kWmo)</t>
  </si>
  <si>
    <t>Fixed Capacity Payment Escalation</t>
  </si>
  <si>
    <t>Escalating Capacity Payment ($/kWmo)</t>
  </si>
  <si>
    <t>Escalating Capacity Payment Escalation</t>
  </si>
  <si>
    <t xml:space="preserve">MAJOR MAINTENANCE ACCRUAL ASSUMPTIONS </t>
  </si>
  <si>
    <t>Call Option Price of Plant at end of Term ($000)</t>
  </si>
  <si>
    <t>Number of Starts per year</t>
  </si>
  <si>
    <t>Major Maintenance Accrual $ per start per turbine</t>
  </si>
  <si>
    <t>DEBT FINANCING ASSUMPTIONS:</t>
  </si>
  <si>
    <t>Walton EMC Equity</t>
  </si>
  <si>
    <t>STATE &amp; FEDERAL TAX ASSUMPTIONS</t>
  </si>
  <si>
    <t xml:space="preserve">Debt </t>
  </si>
  <si>
    <t>Federal Income Tax Rate</t>
  </si>
  <si>
    <t>Mortgage Style</t>
  </si>
  <si>
    <t>State Income Tax Rate</t>
  </si>
  <si>
    <t>Effective Income Tax Rate</t>
  </si>
  <si>
    <t>Term</t>
  </si>
  <si>
    <t>Interest Rate</t>
  </si>
  <si>
    <t xml:space="preserve">Min DSCR </t>
  </si>
  <si>
    <t xml:space="preserve">Avg. DSCR </t>
  </si>
  <si>
    <t>Max DSCR</t>
  </si>
  <si>
    <t>PROPERTY TAX ASSUMPTIONS</t>
  </si>
  <si>
    <t>Avg. Life (years)</t>
  </si>
  <si>
    <t>Assessed Value Multiplier</t>
  </si>
  <si>
    <t>Millage Rate for School Tax</t>
  </si>
  <si>
    <t>Years of School Tax Abatement</t>
  </si>
  <si>
    <t>Millage rate for County Tax</t>
  </si>
  <si>
    <t>Years of County Tax Abatement</t>
  </si>
  <si>
    <t>Walton EMC NPV @ 6% discount rate</t>
  </si>
  <si>
    <t>ECT Ownership %</t>
  </si>
  <si>
    <t>WEMC Ownership %</t>
  </si>
  <si>
    <t/>
  </si>
  <si>
    <t>Wtd Avg Heat Rate</t>
  </si>
  <si>
    <t>SOURCES OF FUNDS</t>
  </si>
  <si>
    <t>Income Statement</t>
  </si>
  <si>
    <t>EBT</t>
  </si>
  <si>
    <t>Pretax Book Income</t>
  </si>
  <si>
    <t>Walton's Patronage Capital</t>
  </si>
  <si>
    <t>Return of LCTCs</t>
  </si>
  <si>
    <t>Total Walton Cashflow</t>
  </si>
  <si>
    <t>Principal Amount ($000)</t>
  </si>
  <si>
    <t>Type of Amortization</t>
  </si>
  <si>
    <t>Operations Summary</t>
  </si>
  <si>
    <t>Cash Flow &amp; Returns</t>
  </si>
  <si>
    <t>Walton's Return Calculations</t>
  </si>
  <si>
    <t>PRE-TAX RETURNS TO WALTON</t>
  </si>
  <si>
    <t>OWNERSHIP ASSUMPTIONS</t>
  </si>
  <si>
    <t>ESTIMATED PASS-THROUGH MAINTENANCE COSTS ($000)</t>
  </si>
  <si>
    <t xml:space="preserve">   Delivered Gas Cost Curve ($/MMBtu)</t>
  </si>
  <si>
    <t xml:space="preserve">  Estimated Permanent Loan ($000)</t>
  </si>
  <si>
    <t xml:space="preserve">  Estimated Equity Capital = Walton EMC Equity ($000)</t>
  </si>
  <si>
    <t xml:space="preserve">  Estimated Total Sources ($000)</t>
  </si>
  <si>
    <t>Asset Management Fee</t>
  </si>
  <si>
    <t>Year 1 Pass-through Property Tax Expense</t>
  </si>
  <si>
    <t xml:space="preserve">   Pass-through Fixed + Escalating O&amp;M Revenue</t>
  </si>
  <si>
    <t>Walton's Share of Cash Flow (equity with IDC)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</si>
</sst>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General_)"/>
    <numFmt numFmtId="167" formatCode="0_)"/>
    <numFmt numFmtId="170" formatCode="0.00_)"/>
    <numFmt numFmtId="171" formatCode="0.0%"/>
    <numFmt numFmtId="172" formatCode="#,##0.0_);\(#,##0.0\)"/>
    <numFmt numFmtId="173" formatCode=";;;"/>
    <numFmt numFmtId="174" formatCode="0.000%"/>
    <numFmt numFmtId="176" formatCode="#,##0.000_);\(#,##0.000\)"/>
    <numFmt numFmtId="181" formatCode="#,##0.000_);[Red]\(#,##0.000\)"/>
    <numFmt numFmtId="185" formatCode="#,##0.0000_);[Red]\(#,##0.0000\)"/>
    <numFmt numFmtId="189" formatCode="0.0"/>
    <numFmt numFmtId="190" formatCode="0.000"/>
    <numFmt numFmtId="191" formatCode="0.0000"/>
    <numFmt numFmtId="203" formatCode="_(&quot;$&quot;* #,##0_);_(&quot;$&quot;* \(#,##0\);_(&quot;$&quot;* &quot;-&quot;??_);_(@_)"/>
    <numFmt numFmtId="204" formatCode="0.000_)"/>
    <numFmt numFmtId="205" formatCode="_(* #,##0.0_);_(* \(#,##0.0\);_(* &quot;-&quot;??_);_(@_)"/>
    <numFmt numFmtId="206" formatCode="_(* #,##0_);_(* \(#,##0\);_(* &quot;-&quot;??_);_(@_)"/>
    <numFmt numFmtId="208" formatCode="_(* #,##0.0000_);_(* \(#,##0.0000\);_(* &quot;-&quot;??_);_(@_)"/>
    <numFmt numFmtId="209" formatCode="_(* #,##0.00000_);_(* \(#,##0.00000\);_(* &quot;-&quot;??_);_(@_)"/>
    <numFmt numFmtId="210" formatCode="_(* #,##0.000000_);_(* \(#,##0.000000\);_(* &quot;-&quot;??_);_(@_)"/>
    <numFmt numFmtId="214" formatCode="0.00000%"/>
    <numFmt numFmtId="218" formatCode="&quot;$&quot;#,##0.000_);\(&quot;$&quot;#,##0.000\)"/>
    <numFmt numFmtId="222" formatCode="0.0000_)"/>
    <numFmt numFmtId="223" formatCode="&quot;$&quot;#,##0.0000000_);\(&quot;$&quot;#,##0.0000000\)"/>
    <numFmt numFmtId="224" formatCode="0.000000000"/>
    <numFmt numFmtId="225" formatCode="0.0000000000"/>
    <numFmt numFmtId="238" formatCode="0.000000000_)"/>
    <numFmt numFmtId="243" formatCode="mmm\-yy_)"/>
    <numFmt numFmtId="251" formatCode="_(* #,##0.00_);_(* \(#,##0.00\);_(* &quot;-&quot;_);_(@_)"/>
    <numFmt numFmtId="252" formatCode="_(* #,##0.000_);_(* \(#,##0.000\);_(* &quot;-&quot;_);_(@_)"/>
    <numFmt numFmtId="259" formatCode="_(* #,##0.0000000000_);_(* \(#,##0.0000000000\);_(* &quot;-&quot;_);_(@_)"/>
    <numFmt numFmtId="261" formatCode="_(* #,##0.000000000000_);_(* \(#,##0.000000000000\);_(* &quot;-&quot;_);_(@_)"/>
    <numFmt numFmtId="262" formatCode="_(* #,##0.0000000000000_);_(* \(#,##0.0000000000000\);_(* &quot;-&quot;_);_(@_)"/>
    <numFmt numFmtId="263" formatCode="_(* #,##0.00000000000000_);_(* \(#,##0.00000000000000\);_(* &quot;-&quot;_);_(@_)"/>
    <numFmt numFmtId="264" formatCode="_(* #,##0.00000000_);_(* \(#,##0.00000000\);_(* &quot;-&quot;??_);_(@_)"/>
    <numFmt numFmtId="265" formatCode="_(* #,##0.0_);_(* \(#,##0.0\);_(* &quot;-&quot;?_);_(@_)"/>
    <numFmt numFmtId="269" formatCode="0.00_);[Red]\(0.00\)"/>
    <numFmt numFmtId="270" formatCode="0_);[Red]\(0\)"/>
    <numFmt numFmtId="271" formatCode="m/d/yyyy\ h:mm:ss"/>
    <numFmt numFmtId="272" formatCode="_(* #,##0.000_);_(* \(#,##0.000\);_(* &quot;-&quot;???_);_(@_)"/>
    <numFmt numFmtId="273" formatCode="00000"/>
    <numFmt numFmtId="275" formatCode="&quot;$&quot;#,##0.00"/>
    <numFmt numFmtId="299" formatCode="0.00000000000"/>
    <numFmt numFmtId="304" formatCode="0.0000000000000000"/>
    <numFmt numFmtId="305" formatCode="0.00000000000000000"/>
    <numFmt numFmtId="306" formatCode="m"/>
    <numFmt numFmtId="307" formatCode="_(&quot;$&quot;* #,##0.000_);_(&quot;$&quot;* \(#,##0.000\);_(&quot;$&quot;* &quot;-&quot;??_);_(@_)"/>
    <numFmt numFmtId="309" formatCode="_(&quot;$&quot;* #,##0.00000_);_(&quot;$&quot;* \(#,##0.00000\);_(&quot;$&quot;* &quot;-&quot;??_);_(@_)"/>
    <numFmt numFmtId="310" formatCode="_(&quot;$&quot;* #,##0.000000_);_(&quot;$&quot;* \(#,##0.000000\);_(&quot;$&quot;* &quot;-&quot;??_);_(@_)"/>
    <numFmt numFmtId="311" formatCode="_(&quot;$&quot;* #,##0.0000000_);_(&quot;$&quot;* \(#,##0.0000000\);_(&quot;$&quot;* &quot;-&quot;??_);_(@_)"/>
    <numFmt numFmtId="313" formatCode="0.000000000000000000"/>
    <numFmt numFmtId="318" formatCode="#,##0.00000000000000000000"/>
    <numFmt numFmtId="319" formatCode="0.000E+00"/>
    <numFmt numFmtId="320" formatCode="0.0000E+00"/>
    <numFmt numFmtId="321" formatCode="&quot;$&quot;#,##0.0000"/>
    <numFmt numFmtId="322" formatCode="&quot;$&quot;#,##0.00000"/>
    <numFmt numFmtId="323" formatCode="0.000000%"/>
    <numFmt numFmtId="324" formatCode="0.0000000%"/>
    <numFmt numFmtId="331" formatCode="0.00000000000000%"/>
    <numFmt numFmtId="332" formatCode="0.000000000000000%"/>
    <numFmt numFmtId="333" formatCode="\£#,##0_);\(\£#,##0\)"/>
    <numFmt numFmtId="334" formatCode="\£#,##0.00_);[Red]\(\£#,##0.00\)"/>
    <numFmt numFmtId="335" formatCode="\£#,##0.0_);[Red]\(\£#,##0.0\)"/>
    <numFmt numFmtId="336" formatCode="\£#,##0_);[Red]\(\£#,##0\)"/>
    <numFmt numFmtId="337" formatCode="##0.000"/>
    <numFmt numFmtId="338" formatCode="\£#,##0.0_);\(\£#,##0.0\)"/>
    <numFmt numFmtId="339" formatCode="\£#,##0.00_);\(\£#,##0.00\)"/>
    <numFmt numFmtId="340" formatCode="\£#,##0.000_);\(\£#,##0.000\)"/>
    <numFmt numFmtId="341" formatCode="\£#,##0.0000_);\(\£#,##0.0000\)"/>
    <numFmt numFmtId="343" formatCode="&quot;$&quot;#,##0;[Red]&quot;$&quot;#,##0"/>
    <numFmt numFmtId="344" formatCode="0.0000000000000000000000"/>
    <numFmt numFmtId="347" formatCode="0.0000000000000000000000000"/>
    <numFmt numFmtId="348" formatCode="0.00000000000000000000000000"/>
    <numFmt numFmtId="349" formatCode="0.000000000000000000000000000"/>
    <numFmt numFmtId="350" formatCode="0.0000000000000000000000000000"/>
    <numFmt numFmtId="352" formatCode="0.000000000000000000000000000000"/>
    <numFmt numFmtId="354" formatCode="0.00000000000000000000000000000000"/>
    <numFmt numFmtId="355" formatCode="0.000000000000000000000000000000000"/>
    <numFmt numFmtId="356" formatCode="0.0000000000000000000000000000000000"/>
    <numFmt numFmtId="357" formatCode="0.00000000000000000000000000000000000"/>
    <numFmt numFmtId="358" formatCode="dd\-mmm\-yy"/>
    <numFmt numFmtId="359" formatCode="mm/dd/yy"/>
  </numFmts>
  <fonts count="108">
    <font>
      <sz val="10"/>
      <name val="Arial"/>
    </font>
    <font>
      <b/>
      <sz val="10"/>
      <name val="Arial"/>
    </font>
    <font>
      <sz val="10"/>
      <name val="Arial"/>
    </font>
    <font>
      <sz val="12"/>
      <color indexed="8"/>
      <name val="Arial MT"/>
    </font>
    <font>
      <sz val="10"/>
      <name val="MS Sans Serif"/>
    </font>
    <font>
      <sz val="8"/>
      <name val="Arial"/>
    </font>
    <font>
      <sz val="10"/>
      <name val="Courier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u val="singleAccounting"/>
      <sz val="8"/>
      <name val="Arial"/>
      <family val="2"/>
    </font>
    <font>
      <u/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u/>
      <sz val="8"/>
      <name val="Arial"/>
      <family val="2"/>
    </font>
    <font>
      <b/>
      <sz val="8"/>
      <color indexed="8"/>
      <name val="Arial"/>
      <family val="2"/>
    </font>
    <font>
      <u val="doubleAccounting"/>
      <sz val="8"/>
      <name val="Arial"/>
    </font>
    <font>
      <u val="singleAccounting"/>
      <sz val="8"/>
      <name val="Arial"/>
    </font>
    <font>
      <sz val="10"/>
      <name val="Times New Roman"/>
    </font>
    <font>
      <sz val="9"/>
      <name val="Arial"/>
    </font>
    <font>
      <b/>
      <u/>
      <sz val="12"/>
      <name val="Arial"/>
    </font>
    <font>
      <sz val="10"/>
      <color indexed="8"/>
      <name val="Arial"/>
      <family val="2"/>
    </font>
    <font>
      <sz val="12"/>
      <name val="Helv"/>
    </font>
    <font>
      <b/>
      <u/>
      <sz val="12"/>
      <name val="Arial"/>
      <family val="2"/>
    </font>
    <font>
      <b/>
      <i/>
      <u/>
      <sz val="8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0"/>
      <name val="Arial Narrow"/>
      <family val="2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u val="doubleAccounting"/>
      <sz val="8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36"/>
      <color indexed="12"/>
      <name val="Arial"/>
      <family val="2"/>
    </font>
    <font>
      <sz val="16"/>
      <color indexed="12"/>
      <name val="Arial"/>
      <family val="2"/>
    </font>
    <font>
      <sz val="12"/>
      <color indexed="12"/>
      <name val="Arial"/>
      <family val="2"/>
    </font>
    <font>
      <u/>
      <sz val="9"/>
      <name val="Arial"/>
      <family val="2"/>
    </font>
    <font>
      <sz val="9"/>
      <color indexed="8"/>
      <name val="Arial"/>
      <family val="2"/>
    </font>
    <font>
      <sz val="9"/>
      <color indexed="12"/>
      <name val="Arial"/>
    </font>
    <font>
      <sz val="9"/>
      <color indexed="9"/>
      <name val="Arial"/>
      <family val="2"/>
    </font>
    <font>
      <u val="singleAccounting"/>
      <sz val="9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12"/>
      <color indexed="12"/>
      <name val="Arial"/>
      <family val="2"/>
    </font>
    <font>
      <u/>
      <sz val="12"/>
      <name val="Arial"/>
      <family val="2"/>
    </font>
    <font>
      <sz val="12"/>
      <color indexed="9"/>
      <name val="Arial"/>
      <family val="2"/>
    </font>
    <font>
      <u val="singleAccounting"/>
      <sz val="12"/>
      <name val="Arial"/>
      <family val="2"/>
    </font>
    <font>
      <u val="doubleAccounting"/>
      <sz val="12"/>
      <name val="Arial"/>
      <family val="2"/>
    </font>
    <font>
      <b/>
      <sz val="16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u val="singleAccounting"/>
      <sz val="12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3">
    <xf numFmtId="0" fontId="0" fillId="0" borderId="0"/>
    <xf numFmtId="0" fontId="34" fillId="0" borderId="0"/>
    <xf numFmtId="299" fontId="2" fillId="2" borderId="1">
      <alignment horizontal="center" vertical="center"/>
    </xf>
    <xf numFmtId="43" fontId="2" fillId="0" borderId="0" applyFont="0" applyFill="0" applyBorder="0" applyAlignment="0" applyProtection="0"/>
    <xf numFmtId="40" fontId="2" fillId="3" borderId="0" applyFont="0" applyBorder="0" applyAlignment="0" applyProtection="0"/>
    <xf numFmtId="4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6" fontId="37" fillId="0" borderId="0">
      <protection locked="0"/>
    </xf>
    <xf numFmtId="223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313" fontId="2" fillId="0" borderId="0">
      <protection locked="0"/>
    </xf>
    <xf numFmtId="38" fontId="7" fillId="4" borderId="0" applyNumberFormat="0" applyBorder="0" applyAlignment="0" applyProtection="0"/>
    <xf numFmtId="0" fontId="43" fillId="0" borderId="0" applyNumberFormat="0" applyFill="0" applyBorder="0" applyAlignment="0" applyProtection="0"/>
    <xf numFmtId="359" fontId="2" fillId="0" borderId="0">
      <protection locked="0"/>
    </xf>
    <xf numFmtId="359" fontId="2" fillId="0" borderId="0">
      <protection locked="0"/>
    </xf>
    <xf numFmtId="0" fontId="13" fillId="0" borderId="2" applyNumberFormat="0" applyFill="0" applyAlignment="0" applyProtection="0"/>
    <xf numFmtId="10" fontId="7" fillId="5" borderId="3" applyNumberFormat="0" applyBorder="0" applyAlignment="0" applyProtection="0"/>
    <xf numFmtId="37" fontId="45" fillId="0" borderId="0"/>
    <xf numFmtId="170" fontId="46" fillId="0" borderId="0"/>
    <xf numFmtId="0" fontId="3" fillId="0" borderId="0"/>
    <xf numFmtId="37" fontId="5" fillId="0" borderId="0" applyBorder="0" applyAlignment="0" applyProtection="0">
      <alignment horizontal="center"/>
    </xf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2" fillId="6" borderId="0"/>
    <xf numFmtId="359" fontId="2" fillId="0" borderId="5">
      <protection locked="0"/>
    </xf>
    <xf numFmtId="333" fontId="7" fillId="0" borderId="0"/>
    <xf numFmtId="38" fontId="7" fillId="8" borderId="0" applyNumberFormat="0" applyBorder="0" applyAlignment="0" applyProtection="0"/>
    <xf numFmtId="37" fontId="7" fillId="8" borderId="0" applyNumberFormat="0" applyBorder="0" applyAlignment="0" applyProtection="0"/>
    <xf numFmtId="37" fontId="5" fillId="0" borderId="0"/>
    <xf numFmtId="37" fontId="5" fillId="4" borderId="0" applyNumberFormat="0" applyBorder="0" applyAlignment="0" applyProtection="0"/>
    <xf numFmtId="3" fontId="8" fillId="9" borderId="2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36">
    <xf numFmtId="0" fontId="0" fillId="0" borderId="0" xfId="0"/>
    <xf numFmtId="37" fontId="5" fillId="0" borderId="0" xfId="20" applyAlignment="1"/>
    <xf numFmtId="37" fontId="5" fillId="0" borderId="0" xfId="20" applyAlignment="1">
      <alignment horizontal="right"/>
    </xf>
    <xf numFmtId="37" fontId="5" fillId="0" borderId="0" xfId="20" applyFont="1" applyAlignment="1"/>
    <xf numFmtId="37" fontId="5" fillId="0" borderId="0" xfId="20" applyFill="1" applyAlignment="1"/>
    <xf numFmtId="41" fontId="7" fillId="0" borderId="0" xfId="6" applyNumberFormat="1" applyFont="1" applyFill="1"/>
    <xf numFmtId="39" fontId="5" fillId="0" borderId="0" xfId="20" applyNumberFormat="1" applyAlignment="1"/>
    <xf numFmtId="0" fontId="15" fillId="0" borderId="0" xfId="0" applyFont="1"/>
    <xf numFmtId="0" fontId="7" fillId="0" borderId="0" xfId="0" applyFont="1" applyAlignment="1" applyProtection="1">
      <alignment horizontal="left"/>
    </xf>
    <xf numFmtId="0" fontId="7" fillId="0" borderId="0" xfId="0" applyFont="1"/>
    <xf numFmtId="0" fontId="7" fillId="0" borderId="0" xfId="0" applyFont="1" applyAlignment="1" applyProtection="1">
      <alignment horizontal="right"/>
    </xf>
    <xf numFmtId="37" fontId="10" fillId="0" borderId="0" xfId="0" applyNumberFormat="1" applyFont="1"/>
    <xf numFmtId="0" fontId="7" fillId="0" borderId="0" xfId="0" applyFont="1" applyProtection="1"/>
    <xf numFmtId="0" fontId="7" fillId="0" borderId="0" xfId="0" applyFont="1" applyBorder="1"/>
    <xf numFmtId="243" fontId="7" fillId="0" borderId="0" xfId="0" applyNumberFormat="1" applyFont="1" applyBorder="1" applyProtection="1"/>
    <xf numFmtId="206" fontId="7" fillId="0" borderId="0" xfId="3" applyNumberFormat="1" applyFont="1"/>
    <xf numFmtId="206" fontId="7" fillId="0" borderId="0" xfId="3" applyNumberFormat="1" applyFont="1" applyProtection="1"/>
    <xf numFmtId="37" fontId="16" fillId="0" borderId="0" xfId="20" applyFont="1" applyAlignment="1">
      <alignment horizontal="left"/>
    </xf>
    <xf numFmtId="37" fontId="7" fillId="0" borderId="0" xfId="0" applyNumberFormat="1" applyFont="1" applyBorder="1" applyProtection="1"/>
    <xf numFmtId="0" fontId="7" fillId="0" borderId="0" xfId="0" applyFont="1" applyBorder="1" applyAlignment="1" applyProtection="1">
      <alignment horizontal="left"/>
    </xf>
    <xf numFmtId="37" fontId="7" fillId="0" borderId="0" xfId="20" applyFont="1" applyAlignment="1"/>
    <xf numFmtId="37" fontId="7" fillId="0" borderId="0" xfId="20" applyFont="1" applyFill="1" applyAlignment="1"/>
    <xf numFmtId="37" fontId="18" fillId="0" borderId="0" xfId="20" applyFont="1" applyFill="1" applyAlignment="1">
      <alignment horizontal="right"/>
    </xf>
    <xf numFmtId="167" fontId="12" fillId="0" borderId="0" xfId="0" applyNumberFormat="1" applyFont="1" applyProtection="1">
      <protection locked="0"/>
    </xf>
    <xf numFmtId="170" fontId="7" fillId="0" borderId="0" xfId="0" applyNumberFormat="1" applyFont="1" applyProtection="1"/>
    <xf numFmtId="0" fontId="8" fillId="0" borderId="0" xfId="0" applyFont="1" applyAlignment="1" applyProtection="1">
      <alignment horizontal="center"/>
      <protection locked="0"/>
    </xf>
    <xf numFmtId="172" fontId="8" fillId="0" borderId="0" xfId="0" applyNumberFormat="1" applyFont="1" applyProtection="1">
      <protection locked="0"/>
    </xf>
    <xf numFmtId="176" fontId="7" fillId="0" borderId="0" xfId="0" applyNumberFormat="1" applyFont="1" applyProtection="1"/>
    <xf numFmtId="39" fontId="7" fillId="0" borderId="0" xfId="0" applyNumberFormat="1" applyFont="1" applyProtection="1"/>
    <xf numFmtId="172" fontId="7" fillId="0" borderId="0" xfId="0" applyNumberFormat="1" applyFont="1" applyProtection="1"/>
    <xf numFmtId="204" fontId="8" fillId="0" borderId="0" xfId="0" applyNumberFormat="1" applyFont="1" applyProtection="1">
      <protection locked="0"/>
    </xf>
    <xf numFmtId="203" fontId="7" fillId="0" borderId="0" xfId="5" applyNumberFormat="1" applyFont="1"/>
    <xf numFmtId="37" fontId="7" fillId="0" borderId="0" xfId="0" applyNumberFormat="1" applyFont="1" applyProtection="1"/>
    <xf numFmtId="9" fontId="8" fillId="0" borderId="0" xfId="21" applyFont="1" applyProtection="1"/>
    <xf numFmtId="9" fontId="8" fillId="0" borderId="0" xfId="21" applyFont="1" applyProtection="1">
      <protection locked="0"/>
    </xf>
    <xf numFmtId="203" fontId="7" fillId="0" borderId="0" xfId="5" applyNumberFormat="1" applyFont="1" applyProtection="1"/>
    <xf numFmtId="167" fontId="19" fillId="0" borderId="0" xfId="0" applyNumberFormat="1" applyFont="1" applyProtection="1"/>
    <xf numFmtId="0" fontId="20" fillId="0" borderId="0" xfId="0" applyFont="1" applyAlignment="1" applyProtection="1">
      <alignment horizontal="left"/>
      <protection locked="0"/>
    </xf>
    <xf numFmtId="1" fontId="7" fillId="0" borderId="0" xfId="0" applyNumberFormat="1" applyFont="1" applyBorder="1"/>
    <xf numFmtId="41" fontId="7" fillId="0" borderId="0" xfId="0" applyNumberFormat="1" applyFont="1" applyBorder="1"/>
    <xf numFmtId="42" fontId="21" fillId="0" borderId="0" xfId="0" applyNumberFormat="1" applyFont="1" applyBorder="1" applyProtection="1"/>
    <xf numFmtId="0" fontId="7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174" fontId="0" fillId="0" borderId="0" xfId="21" applyNumberFormat="1" applyFont="1"/>
    <xf numFmtId="10" fontId="2" fillId="0" borderId="0" xfId="21" applyNumberFormat="1"/>
    <xf numFmtId="10" fontId="7" fillId="0" borderId="0" xfId="21" applyNumberFormat="1" applyFont="1" applyProtection="1"/>
    <xf numFmtId="0" fontId="5" fillId="0" borderId="0" xfId="0" applyFont="1"/>
    <xf numFmtId="206" fontId="22" fillId="0" borderId="0" xfId="3" applyNumberFormat="1" applyFont="1" applyProtection="1"/>
    <xf numFmtId="203" fontId="5" fillId="0" borderId="0" xfId="5" applyNumberFormat="1" applyFont="1" applyProtection="1"/>
    <xf numFmtId="10" fontId="14" fillId="0" borderId="0" xfId="21" applyNumberFormat="1" applyFont="1"/>
    <xf numFmtId="0" fontId="9" fillId="0" borderId="0" xfId="0" applyFont="1" applyBorder="1"/>
    <xf numFmtId="37" fontId="5" fillId="0" borderId="0" xfId="20" applyNumberFormat="1" applyAlignment="1"/>
    <xf numFmtId="44" fontId="5" fillId="0" borderId="0" xfId="5" applyFont="1"/>
    <xf numFmtId="0" fontId="28" fillId="0" borderId="0" xfId="0" applyFont="1" applyBorder="1"/>
    <xf numFmtId="0" fontId="29" fillId="0" borderId="0" xfId="0" applyFont="1" applyAlignment="1" applyProtection="1">
      <alignment horizontal="left"/>
    </xf>
    <xf numFmtId="0" fontId="15" fillId="0" borderId="0" xfId="0" applyFont="1" applyFill="1"/>
    <xf numFmtId="0" fontId="14" fillId="0" borderId="0" xfId="0" applyFont="1" applyFill="1"/>
    <xf numFmtId="0" fontId="14" fillId="0" borderId="0" xfId="0" applyFont="1"/>
    <xf numFmtId="43" fontId="14" fillId="0" borderId="0" xfId="0" applyNumberFormat="1" applyFont="1"/>
    <xf numFmtId="206" fontId="14" fillId="0" borderId="0" xfId="0" applyNumberFormat="1" applyFont="1"/>
    <xf numFmtId="37" fontId="15" fillId="0" borderId="0" xfId="20" applyFont="1" applyAlignment="1">
      <alignment horizontal="left"/>
    </xf>
    <xf numFmtId="37" fontId="14" fillId="0" borderId="0" xfId="20" applyFont="1" applyAlignment="1"/>
    <xf numFmtId="203" fontId="14" fillId="0" borderId="0" xfId="5" applyNumberFormat="1" applyFont="1" applyFill="1"/>
    <xf numFmtId="37" fontId="14" fillId="0" borderId="0" xfId="20" applyFont="1" applyAlignment="1">
      <alignment horizontal="left"/>
    </xf>
    <xf numFmtId="43" fontId="13" fillId="0" borderId="0" xfId="3" applyFont="1" applyFill="1"/>
    <xf numFmtId="10" fontId="14" fillId="0" borderId="0" xfId="21" applyNumberFormat="1" applyFont="1" applyFill="1"/>
    <xf numFmtId="206" fontId="14" fillId="0" borderId="0" xfId="3" applyNumberFormat="1" applyFont="1" applyFill="1"/>
    <xf numFmtId="206" fontId="14" fillId="0" borderId="0" xfId="0" applyNumberFormat="1" applyFont="1" applyFill="1"/>
    <xf numFmtId="6" fontId="14" fillId="0" borderId="0" xfId="0" applyNumberFormat="1" applyFont="1"/>
    <xf numFmtId="206" fontId="14" fillId="0" borderId="0" xfId="3" applyNumberFormat="1" applyFont="1"/>
    <xf numFmtId="38" fontId="13" fillId="0" borderId="0" xfId="0" applyNumberFormat="1" applyFont="1"/>
    <xf numFmtId="43" fontId="13" fillId="0" borderId="0" xfId="3" applyFont="1"/>
    <xf numFmtId="10" fontId="13" fillId="0" borderId="0" xfId="21" applyNumberFormat="1" applyFont="1"/>
    <xf numFmtId="9" fontId="13" fillId="0" borderId="0" xfId="21" applyNumberFormat="1" applyFont="1"/>
    <xf numFmtId="210" fontId="14" fillId="0" borderId="0" xfId="3" applyNumberFormat="1" applyFont="1"/>
    <xf numFmtId="38" fontId="13" fillId="0" borderId="0" xfId="0" applyNumberFormat="1" applyFont="1" applyFill="1"/>
    <xf numFmtId="209" fontId="14" fillId="0" borderId="0" xfId="3" applyNumberFormat="1" applyFont="1" applyFill="1"/>
    <xf numFmtId="10" fontId="13" fillId="0" borderId="0" xfId="21" applyNumberFormat="1" applyFont="1" applyFill="1"/>
    <xf numFmtId="9" fontId="14" fillId="0" borderId="0" xfId="21" applyNumberFormat="1" applyFont="1"/>
    <xf numFmtId="43" fontId="14" fillId="0" borderId="0" xfId="0" applyNumberFormat="1" applyFont="1" applyFill="1"/>
    <xf numFmtId="203" fontId="11" fillId="0" borderId="0" xfId="5" applyNumberFormat="1" applyFont="1" applyProtection="1"/>
    <xf numFmtId="203" fontId="7" fillId="0" borderId="0" xfId="0" applyNumberFormat="1" applyFont="1" applyAlignment="1" applyProtection="1">
      <alignment horizontal="left"/>
    </xf>
    <xf numFmtId="0" fontId="17" fillId="0" borderId="0" xfId="0" applyFont="1" applyAlignment="1" applyProtection="1">
      <alignment horizontal="left"/>
    </xf>
    <xf numFmtId="0" fontId="32" fillId="0" borderId="0" xfId="0" applyFont="1" applyBorder="1"/>
    <xf numFmtId="37" fontId="10" fillId="0" borderId="0" xfId="0" applyNumberFormat="1" applyFont="1" applyBorder="1"/>
    <xf numFmtId="206" fontId="11" fillId="0" borderId="0" xfId="3" applyNumberFormat="1" applyFont="1" applyProtection="1"/>
    <xf numFmtId="10" fontId="8" fillId="0" borderId="0" xfId="21" applyNumberFormat="1" applyFont="1" applyProtection="1"/>
    <xf numFmtId="171" fontId="7" fillId="0" borderId="0" xfId="21" applyNumberFormat="1" applyFont="1" applyProtection="1"/>
    <xf numFmtId="0" fontId="7" fillId="0" borderId="0" xfId="0" applyFont="1" applyFill="1" applyBorder="1"/>
    <xf numFmtId="243" fontId="7" fillId="0" borderId="0" xfId="0" applyNumberFormat="1" applyFont="1" applyFill="1" applyBorder="1" applyProtection="1"/>
    <xf numFmtId="37" fontId="7" fillId="0" borderId="0" xfId="0" applyNumberFormat="1" applyFont="1" applyFill="1" applyBorder="1"/>
    <xf numFmtId="0" fontId="32" fillId="0" borderId="0" xfId="0" applyFont="1" applyFill="1" applyBorder="1"/>
    <xf numFmtId="37" fontId="10" fillId="0" borderId="0" xfId="0" applyNumberFormat="1" applyFont="1" applyFill="1" applyBorder="1"/>
    <xf numFmtId="37" fontId="7" fillId="0" borderId="0" xfId="0" applyNumberFormat="1" applyFont="1" applyFill="1" applyBorder="1" applyProtection="1"/>
    <xf numFmtId="10" fontId="7" fillId="0" borderId="0" xfId="21" applyNumberFormat="1" applyFont="1" applyFill="1" applyBorder="1"/>
    <xf numFmtId="203" fontId="82" fillId="0" borderId="0" xfId="5" applyNumberFormat="1" applyFont="1" applyFill="1" applyBorder="1" applyProtection="1"/>
    <xf numFmtId="9" fontId="7" fillId="0" borderId="0" xfId="21" applyFont="1" applyProtection="1"/>
    <xf numFmtId="41" fontId="31" fillId="0" borderId="0" xfId="0" applyNumberFormat="1" applyFont="1"/>
    <xf numFmtId="41" fontId="14" fillId="0" borderId="0" xfId="6" applyNumberFormat="1" applyFont="1" applyFill="1"/>
    <xf numFmtId="41" fontId="31" fillId="0" borderId="0" xfId="6" applyNumberFormat="1" applyFont="1" applyFill="1"/>
    <xf numFmtId="41" fontId="14" fillId="0" borderId="0" xfId="0" applyNumberFormat="1" applyFont="1"/>
    <xf numFmtId="191" fontId="14" fillId="0" borderId="0" xfId="0" applyNumberFormat="1" applyFont="1"/>
    <xf numFmtId="44" fontId="14" fillId="0" borderId="0" xfId="5" applyNumberFormat="1" applyFont="1"/>
    <xf numFmtId="15" fontId="14" fillId="0" borderId="0" xfId="6" applyNumberFormat="1" applyFont="1" applyFill="1"/>
    <xf numFmtId="251" fontId="14" fillId="0" borderId="0" xfId="6" applyNumberFormat="1" applyFont="1" applyFill="1"/>
    <xf numFmtId="37" fontId="14" fillId="0" borderId="0" xfId="20" applyFont="1" applyAlignment="1">
      <alignment horizontal="right"/>
    </xf>
    <xf numFmtId="39" fontId="14" fillId="0" borderId="0" xfId="20" applyNumberFormat="1" applyFont="1" applyAlignment="1"/>
    <xf numFmtId="37" fontId="15" fillId="0" borderId="0" xfId="20" applyFont="1" applyAlignment="1"/>
    <xf numFmtId="167" fontId="83" fillId="0" borderId="0" xfId="0" applyNumberFormat="1" applyFont="1" applyProtection="1"/>
    <xf numFmtId="171" fontId="14" fillId="0" borderId="0" xfId="21" applyNumberFormat="1" applyFont="1"/>
    <xf numFmtId="203" fontId="14" fillId="0" borderId="0" xfId="5" applyNumberFormat="1" applyFont="1" applyFill="1" applyBorder="1" applyProtection="1"/>
    <xf numFmtId="359" fontId="14" fillId="0" borderId="0" xfId="21" applyNumberFormat="1" applyFont="1"/>
    <xf numFmtId="205" fontId="14" fillId="10" borderId="0" xfId="3" applyNumberFormat="1" applyFont="1" applyFill="1"/>
    <xf numFmtId="205" fontId="13" fillId="10" borderId="0" xfId="3" applyNumberFormat="1" applyFont="1" applyFill="1"/>
    <xf numFmtId="37" fontId="14" fillId="0" borderId="0" xfId="20" applyFont="1" applyFill="1" applyAlignment="1"/>
    <xf numFmtId="38" fontId="14" fillId="0" borderId="0" xfId="0" applyNumberFormat="1" applyFont="1"/>
    <xf numFmtId="171" fontId="30" fillId="0" borderId="0" xfId="21" applyNumberFormat="1" applyFont="1"/>
    <xf numFmtId="44" fontId="14" fillId="0" borderId="0" xfId="5" applyFont="1"/>
    <xf numFmtId="44" fontId="31" fillId="0" borderId="0" xfId="5" applyFont="1"/>
    <xf numFmtId="8" fontId="14" fillId="0" borderId="0" xfId="4" applyNumberFormat="1" applyFont="1" applyFill="1"/>
    <xf numFmtId="39" fontId="15" fillId="0" borderId="0" xfId="20" applyNumberFormat="1" applyFont="1" applyFill="1" applyAlignment="1"/>
    <xf numFmtId="176" fontId="14" fillId="0" borderId="0" xfId="20" applyNumberFormat="1" applyFont="1" applyFill="1" applyAlignment="1"/>
    <xf numFmtId="37" fontId="84" fillId="0" borderId="0" xfId="20" applyFont="1" applyAlignment="1"/>
    <xf numFmtId="10" fontId="12" fillId="0" borderId="0" xfId="5" applyNumberFormat="1" applyFont="1" applyProtection="1"/>
    <xf numFmtId="6" fontId="15" fillId="0" borderId="0" xfId="0" applyNumberFormat="1" applyFont="1" applyProtection="1"/>
    <xf numFmtId="9" fontId="85" fillId="0" borderId="0" xfId="21" applyFont="1" applyAlignment="1">
      <alignment horizontal="left"/>
    </xf>
    <xf numFmtId="0" fontId="86" fillId="0" borderId="0" xfId="0" applyFont="1"/>
    <xf numFmtId="37" fontId="16" fillId="0" borderId="0" xfId="20" applyFont="1" applyAlignment="1"/>
    <xf numFmtId="0" fontId="87" fillId="0" borderId="0" xfId="0" applyFont="1"/>
    <xf numFmtId="0" fontId="88" fillId="0" borderId="0" xfId="0" applyFont="1" applyAlignment="1">
      <alignment horizontal="right"/>
    </xf>
    <xf numFmtId="0" fontId="90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2" fontId="87" fillId="0" borderId="0" xfId="0" applyNumberFormat="1" applyFont="1"/>
    <xf numFmtId="0" fontId="87" fillId="0" borderId="0" xfId="0" quotePrefix="1" applyFont="1" applyAlignment="1">
      <alignment horizontal="centerContinuous"/>
    </xf>
    <xf numFmtId="0" fontId="87" fillId="0" borderId="0" xfId="0" applyFont="1" applyAlignment="1">
      <alignment horizontal="centerContinuous"/>
    </xf>
    <xf numFmtId="0" fontId="25" fillId="0" borderId="0" xfId="0" applyFont="1" applyAlignment="1" applyProtection="1">
      <alignment horizontal="left"/>
    </xf>
    <xf numFmtId="203" fontId="87" fillId="0" borderId="0" xfId="0" applyNumberFormat="1" applyFont="1" applyProtection="1"/>
    <xf numFmtId="0" fontId="92" fillId="0" borderId="6" xfId="0" applyFont="1" applyBorder="1" applyAlignment="1">
      <alignment horizontal="center"/>
    </xf>
    <xf numFmtId="0" fontId="92" fillId="0" borderId="6" xfId="0" applyFont="1" applyBorder="1" applyAlignment="1" applyProtection="1">
      <alignment horizontal="center"/>
    </xf>
    <xf numFmtId="0" fontId="93" fillId="0" borderId="0" xfId="0" applyFont="1"/>
    <xf numFmtId="0" fontId="92" fillId="0" borderId="0" xfId="0" applyFont="1" applyAlignment="1">
      <alignment horizontal="center"/>
    </xf>
    <xf numFmtId="0" fontId="87" fillId="0" borderId="0" xfId="0" applyFont="1" applyAlignment="1" applyProtection="1">
      <alignment horizontal="left"/>
    </xf>
    <xf numFmtId="203" fontId="94" fillId="0" borderId="0" xfId="5" applyNumberFormat="1" applyFont="1" applyFill="1" applyBorder="1" applyProtection="1"/>
    <xf numFmtId="206" fontId="88" fillId="0" borderId="7" xfId="3" applyNumberFormat="1" applyFont="1" applyBorder="1" applyProtection="1">
      <protection locked="0"/>
    </xf>
    <xf numFmtId="0" fontId="93" fillId="0" borderId="0" xfId="0" applyFont="1" applyAlignment="1" applyProtection="1">
      <alignment horizontal="left"/>
    </xf>
    <xf numFmtId="203" fontId="88" fillId="0" borderId="0" xfId="5" applyNumberFormat="1" applyFont="1" applyProtection="1">
      <protection locked="0"/>
    </xf>
    <xf numFmtId="171" fontId="87" fillId="0" borderId="0" xfId="0" applyNumberFormat="1" applyFont="1" applyAlignment="1" applyProtection="1">
      <alignment horizontal="center"/>
    </xf>
    <xf numFmtId="205" fontId="88" fillId="0" borderId="7" xfId="3" applyNumberFormat="1" applyFont="1" applyBorder="1" applyProtection="1">
      <protection locked="0"/>
    </xf>
    <xf numFmtId="0" fontId="95" fillId="0" borderId="0" xfId="0" applyFont="1"/>
    <xf numFmtId="205" fontId="88" fillId="0" borderId="7" xfId="3" applyNumberFormat="1" applyFont="1" applyBorder="1"/>
    <xf numFmtId="206" fontId="88" fillId="0" borderId="0" xfId="3" applyNumberFormat="1" applyFont="1" applyFill="1"/>
    <xf numFmtId="41" fontId="87" fillId="0" borderId="0" xfId="5" applyNumberFormat="1" applyFont="1" applyFill="1"/>
    <xf numFmtId="203" fontId="87" fillId="0" borderId="4" xfId="5" applyNumberFormat="1" applyFont="1" applyBorder="1" applyProtection="1"/>
    <xf numFmtId="203" fontId="87" fillId="0" borderId="0" xfId="0" applyNumberFormat="1" applyFont="1"/>
    <xf numFmtId="206" fontId="87" fillId="0" borderId="7" xfId="3" applyNumberFormat="1" applyFont="1" applyBorder="1" applyProtection="1">
      <protection locked="0"/>
    </xf>
    <xf numFmtId="172" fontId="95" fillId="0" borderId="0" xfId="0" applyNumberFormat="1" applyFont="1" applyProtection="1">
      <protection locked="0"/>
    </xf>
    <xf numFmtId="0" fontId="87" fillId="0" borderId="0" xfId="0" applyFont="1" applyAlignment="1" applyProtection="1"/>
    <xf numFmtId="0" fontId="87" fillId="0" borderId="0" xfId="0" applyFont="1" applyAlignment="1">
      <alignment horizontal="center"/>
    </xf>
    <xf numFmtId="0" fontId="87" fillId="0" borderId="0" xfId="0" applyFont="1" applyBorder="1" applyAlignment="1" applyProtection="1"/>
    <xf numFmtId="0" fontId="87" fillId="0" borderId="0" xfId="0" applyFont="1" applyAlignment="1">
      <alignment horizontal="left"/>
    </xf>
    <xf numFmtId="206" fontId="94" fillId="0" borderId="8" xfId="3" applyNumberFormat="1" applyFont="1" applyBorder="1"/>
    <xf numFmtId="0" fontId="95" fillId="0" borderId="0" xfId="0" applyFont="1" applyProtection="1">
      <protection locked="0"/>
    </xf>
    <xf numFmtId="203" fontId="87" fillId="0" borderId="9" xfId="5" applyNumberFormat="1" applyFont="1" applyBorder="1" applyProtection="1"/>
    <xf numFmtId="206" fontId="94" fillId="0" borderId="0" xfId="3" applyNumberFormat="1" applyFont="1"/>
    <xf numFmtId="172" fontId="93" fillId="0" borderId="0" xfId="0" applyNumberFormat="1" applyFont="1" applyProtection="1">
      <protection locked="0"/>
    </xf>
    <xf numFmtId="10" fontId="88" fillId="0" borderId="0" xfId="21" applyNumberFormat="1" applyFont="1"/>
    <xf numFmtId="206" fontId="87" fillId="0" borderId="0" xfId="3" applyNumberFormat="1" applyFont="1" applyFill="1"/>
    <xf numFmtId="0" fontId="87" fillId="0" borderId="0" xfId="0" applyFont="1" applyAlignment="1">
      <alignment horizontal="right"/>
    </xf>
    <xf numFmtId="42" fontId="92" fillId="0" borderId="0" xfId="5" applyNumberFormat="1" applyFont="1" applyProtection="1">
      <protection locked="0"/>
    </xf>
    <xf numFmtId="15" fontId="88" fillId="0" borderId="0" xfId="0" applyNumberFormat="1" applyFont="1" applyProtection="1">
      <protection locked="0"/>
    </xf>
    <xf numFmtId="203" fontId="87" fillId="0" borderId="0" xfId="5" applyNumberFormat="1" applyFont="1"/>
    <xf numFmtId="243" fontId="95" fillId="0" borderId="0" xfId="0" applyNumberFormat="1" applyFont="1" applyProtection="1">
      <protection locked="0"/>
    </xf>
    <xf numFmtId="206" fontId="94" fillId="0" borderId="0" xfId="3" applyNumberFormat="1" applyFont="1" applyAlignment="1" applyProtection="1">
      <protection locked="0"/>
    </xf>
    <xf numFmtId="10" fontId="87" fillId="0" borderId="0" xfId="21" applyNumberFormat="1" applyFont="1"/>
    <xf numFmtId="5" fontId="95" fillId="0" borderId="0" xfId="0" applyNumberFormat="1" applyFont="1" applyAlignment="1"/>
    <xf numFmtId="206" fontId="88" fillId="0" borderId="0" xfId="3" applyNumberFormat="1" applyFont="1" applyProtection="1">
      <protection locked="0"/>
    </xf>
    <xf numFmtId="203" fontId="96" fillId="0" borderId="0" xfId="5" applyNumberFormat="1" applyFont="1"/>
    <xf numFmtId="0" fontId="93" fillId="0" borderId="0" xfId="0" applyFont="1" applyProtection="1">
      <protection locked="0"/>
    </xf>
    <xf numFmtId="203" fontId="87" fillId="0" borderId="0" xfId="5" applyNumberFormat="1" applyFont="1" applyProtection="1">
      <protection locked="0"/>
    </xf>
    <xf numFmtId="5" fontId="87" fillId="0" borderId="3" xfId="5" applyNumberFormat="1" applyFont="1" applyFill="1" applyBorder="1"/>
    <xf numFmtId="206" fontId="88" fillId="0" borderId="0" xfId="3" applyNumberFormat="1" applyFont="1" applyFill="1" applyProtection="1">
      <protection locked="0"/>
    </xf>
    <xf numFmtId="10" fontId="88" fillId="0" borderId="0" xfId="0" applyNumberFormat="1" applyFont="1"/>
    <xf numFmtId="206" fontId="88" fillId="0" borderId="0" xfId="3" applyNumberFormat="1" applyFont="1" applyAlignment="1"/>
    <xf numFmtId="206" fontId="88" fillId="0" borderId="0" xfId="3" applyNumberFormat="1" applyFont="1"/>
    <xf numFmtId="0" fontId="87" fillId="0" borderId="0" xfId="0" applyNumberFormat="1" applyFont="1"/>
    <xf numFmtId="0" fontId="93" fillId="0" borderId="0" xfId="0" quotePrefix="1" applyFont="1"/>
    <xf numFmtId="7" fontId="87" fillId="0" borderId="0" xfId="0" applyNumberFormat="1" applyFont="1"/>
    <xf numFmtId="172" fontId="88" fillId="0" borderId="0" xfId="0" applyNumberFormat="1" applyFont="1"/>
    <xf numFmtId="218" fontId="88" fillId="0" borderId="0" xfId="3" applyNumberFormat="1" applyFont="1"/>
    <xf numFmtId="206" fontId="87" fillId="0" borderId="0" xfId="3" applyNumberFormat="1" applyFont="1"/>
    <xf numFmtId="218" fontId="87" fillId="0" borderId="0" xfId="3" applyNumberFormat="1" applyFont="1"/>
    <xf numFmtId="7" fontId="88" fillId="0" borderId="0" xfId="0" applyNumberFormat="1" applyFont="1" applyAlignment="1">
      <alignment horizontal="right"/>
    </xf>
    <xf numFmtId="37" fontId="24" fillId="0" borderId="0" xfId="20" applyFont="1" applyAlignment="1">
      <alignment horizontal="left"/>
    </xf>
    <xf numFmtId="37" fontId="94" fillId="0" borderId="0" xfId="0" applyNumberFormat="1" applyFont="1" applyProtection="1"/>
    <xf numFmtId="166" fontId="87" fillId="0" borderId="0" xfId="0" applyNumberFormat="1" applyFont="1" applyProtection="1"/>
    <xf numFmtId="206" fontId="24" fillId="0" borderId="0" xfId="3" applyNumberFormat="1" applyFont="1" applyBorder="1"/>
    <xf numFmtId="9" fontId="88" fillId="0" borderId="0" xfId="21" applyNumberFormat="1" applyFont="1" applyFill="1" applyProtection="1"/>
    <xf numFmtId="0" fontId="94" fillId="0" borderId="0" xfId="0" applyFont="1" applyAlignment="1" applyProtection="1">
      <alignment horizontal="right"/>
    </xf>
    <xf numFmtId="10" fontId="88" fillId="0" borderId="0" xfId="0" applyNumberFormat="1" applyFont="1" applyProtection="1">
      <protection locked="0"/>
    </xf>
    <xf numFmtId="0" fontId="24" fillId="0" borderId="0" xfId="0" applyFont="1" applyAlignment="1" applyProtection="1">
      <alignment horizontal="left"/>
    </xf>
    <xf numFmtId="10" fontId="88" fillId="0" borderId="4" xfId="0" quotePrefix="1" applyNumberFormat="1" applyFont="1" applyBorder="1" applyAlignment="1" applyProtection="1">
      <alignment horizontal="right"/>
      <protection locked="0"/>
    </xf>
    <xf numFmtId="203" fontId="97" fillId="0" borderId="0" xfId="5" applyNumberFormat="1" applyFont="1" applyFill="1" applyProtection="1"/>
    <xf numFmtId="10" fontId="93" fillId="0" borderId="0" xfId="19" applyNumberFormat="1" applyFont="1" applyBorder="1" applyProtection="1">
      <protection locked="0"/>
    </xf>
    <xf numFmtId="0" fontId="24" fillId="0" borderId="0" xfId="0" applyFont="1" applyAlignment="1" applyProtection="1"/>
    <xf numFmtId="203" fontId="87" fillId="0" borderId="0" xfId="5" applyNumberFormat="1" applyFont="1" applyProtection="1"/>
    <xf numFmtId="203" fontId="97" fillId="0" borderId="0" xfId="0" applyNumberFormat="1" applyFont="1" applyFill="1" applyAlignment="1">
      <alignment horizontal="right"/>
    </xf>
    <xf numFmtId="203" fontId="87" fillId="0" borderId="0" xfId="5" applyNumberFormat="1" applyFont="1" applyFill="1" applyProtection="1"/>
    <xf numFmtId="0" fontId="94" fillId="0" borderId="0" xfId="0" applyFont="1" applyFill="1" applyProtection="1"/>
    <xf numFmtId="0" fontId="94" fillId="0" borderId="0" xfId="0" applyFont="1" applyProtection="1"/>
    <xf numFmtId="206" fontId="94" fillId="0" borderId="0" xfId="0" applyNumberFormat="1" applyFont="1" applyFill="1" applyProtection="1"/>
    <xf numFmtId="0" fontId="87" fillId="0" borderId="0" xfId="0" applyFont="1" applyFill="1" applyAlignment="1" applyProtection="1"/>
    <xf numFmtId="10" fontId="88" fillId="0" borderId="0" xfId="21" applyNumberFormat="1" applyFont="1" applyFill="1" applyProtection="1"/>
    <xf numFmtId="2" fontId="94" fillId="0" borderId="0" xfId="0" applyNumberFormat="1" applyFont="1" applyFill="1" applyProtection="1"/>
    <xf numFmtId="2" fontId="94" fillId="0" borderId="0" xfId="0" applyNumberFormat="1" applyFont="1" applyFill="1" applyAlignment="1" applyProtection="1">
      <alignment horizontal="right"/>
    </xf>
    <xf numFmtId="9" fontId="88" fillId="0" borderId="0" xfId="21" applyFont="1"/>
    <xf numFmtId="189" fontId="24" fillId="0" borderId="0" xfId="0" applyNumberFormat="1" applyFont="1"/>
    <xf numFmtId="9" fontId="94" fillId="0" borderId="0" xfId="21" applyFont="1" applyAlignment="1">
      <alignment horizontal="center"/>
    </xf>
    <xf numFmtId="2" fontId="93" fillId="0" borderId="0" xfId="0" applyNumberFormat="1" applyFont="1" applyProtection="1"/>
    <xf numFmtId="2" fontId="93" fillId="0" borderId="0" xfId="0" applyNumberFormat="1" applyFont="1" applyAlignment="1" applyProtection="1">
      <alignment horizontal="right"/>
    </xf>
    <xf numFmtId="10" fontId="88" fillId="0" borderId="0" xfId="21" applyNumberFormat="1" applyFont="1" applyAlignment="1">
      <alignment horizontal="right"/>
    </xf>
    <xf numFmtId="5" fontId="87" fillId="0" borderId="0" xfId="0" applyNumberFormat="1" applyFont="1" applyProtection="1"/>
    <xf numFmtId="174" fontId="88" fillId="0" borderId="0" xfId="0" applyNumberFormat="1" applyFont="1" applyProtection="1">
      <protection locked="0"/>
    </xf>
    <xf numFmtId="2" fontId="94" fillId="0" borderId="0" xfId="0" applyNumberFormat="1" applyFont="1" applyProtection="1"/>
    <xf numFmtId="203" fontId="87" fillId="0" borderId="0" xfId="5" applyNumberFormat="1" applyFont="1" applyAlignment="1" applyProtection="1">
      <alignment horizontal="right"/>
    </xf>
    <xf numFmtId="2" fontId="24" fillId="0" borderId="0" xfId="20" applyNumberFormat="1" applyFont="1" applyAlignment="1">
      <alignment horizontal="left"/>
    </xf>
    <xf numFmtId="171" fontId="87" fillId="0" borderId="0" xfId="21" applyNumberFormat="1" applyFont="1"/>
    <xf numFmtId="0" fontId="92" fillId="0" borderId="0" xfId="0" applyFont="1"/>
    <xf numFmtId="174" fontId="87" fillId="0" borderId="0" xfId="0" applyNumberFormat="1" applyFont="1" applyAlignment="1">
      <alignment horizontal="center"/>
    </xf>
    <xf numFmtId="171" fontId="88" fillId="0" borderId="0" xfId="21" applyNumberFormat="1" applyFont="1"/>
    <xf numFmtId="42" fontId="87" fillId="0" borderId="0" xfId="0" applyNumberFormat="1" applyFont="1" applyAlignment="1" applyProtection="1">
      <alignment horizontal="right"/>
    </xf>
    <xf numFmtId="174" fontId="87" fillId="0" borderId="0" xfId="0" applyNumberFormat="1" applyFont="1" applyAlignment="1" applyProtection="1">
      <alignment horizontal="center"/>
    </xf>
    <xf numFmtId="171" fontId="87" fillId="0" borderId="0" xfId="0" applyNumberFormat="1" applyFont="1"/>
    <xf numFmtId="0" fontId="98" fillId="0" borderId="0" xfId="0" applyNumberFormat="1" applyFont="1"/>
    <xf numFmtId="189" fontId="87" fillId="0" borderId="0" xfId="0" applyNumberFormat="1" applyFont="1"/>
    <xf numFmtId="2" fontId="8" fillId="0" borderId="0" xfId="4" applyNumberFormat="1" applyFont="1" applyFill="1" applyBorder="1" applyAlignment="1">
      <alignment horizontal="right"/>
    </xf>
    <xf numFmtId="7" fontId="87" fillId="0" borderId="0" xfId="5" applyNumberFormat="1" applyFont="1" applyAlignment="1">
      <alignment horizontal="center"/>
    </xf>
    <xf numFmtId="0" fontId="87" fillId="0" borderId="0" xfId="0" applyFont="1" applyAlignment="1" applyProtection="1">
      <alignment horizontal="center"/>
    </xf>
    <xf numFmtId="0" fontId="92" fillId="0" borderId="0" xfId="0" applyFont="1" applyAlignment="1" applyProtection="1">
      <alignment horizontal="center"/>
    </xf>
    <xf numFmtId="5" fontId="87" fillId="0" borderId="0" xfId="21" applyNumberFormat="1" applyFont="1" applyAlignment="1" applyProtection="1">
      <alignment horizontal="center"/>
    </xf>
    <xf numFmtId="5" fontId="87" fillId="0" borderId="0" xfId="0" applyNumberFormat="1" applyFont="1"/>
    <xf numFmtId="5" fontId="87" fillId="0" borderId="0" xfId="0" applyNumberFormat="1" applyFont="1" applyAlignment="1">
      <alignment horizontal="center"/>
    </xf>
    <xf numFmtId="2" fontId="8" fillId="0" borderId="0" xfId="21" applyNumberFormat="1" applyFont="1" applyFill="1" applyBorder="1" applyAlignment="1">
      <alignment horizontal="right"/>
    </xf>
    <xf numFmtId="7" fontId="88" fillId="0" borderId="0" xfId="3" applyNumberFormat="1" applyFont="1"/>
    <xf numFmtId="2" fontId="5" fillId="0" borderId="0" xfId="20" applyNumberFormat="1" applyAlignment="1">
      <alignment horizontal="left"/>
    </xf>
    <xf numFmtId="275" fontId="88" fillId="0" borderId="0" xfId="21" applyNumberFormat="1" applyFont="1"/>
    <xf numFmtId="0" fontId="99" fillId="0" borderId="0" xfId="0" applyFont="1"/>
    <xf numFmtId="206" fontId="87" fillId="0" borderId="0" xfId="0" applyNumberFormat="1" applyFont="1" applyAlignment="1" applyProtection="1">
      <alignment horizontal="center"/>
    </xf>
    <xf numFmtId="10" fontId="88" fillId="0" borderId="0" xfId="21" applyNumberFormat="1" applyFont="1" applyFill="1" applyAlignment="1" applyProtection="1">
      <alignment horizontal="right"/>
    </xf>
    <xf numFmtId="206" fontId="87" fillId="0" borderId="0" xfId="0" applyNumberFormat="1" applyFont="1" applyAlignment="1">
      <alignment horizontal="right"/>
    </xf>
    <xf numFmtId="203" fontId="87" fillId="0" borderId="0" xfId="5" applyNumberFormat="1" applyFont="1" applyBorder="1" applyProtection="1"/>
    <xf numFmtId="0" fontId="89" fillId="0" borderId="0" xfId="0" applyFont="1" applyAlignment="1">
      <alignment horizontal="left"/>
    </xf>
    <xf numFmtId="203" fontId="7" fillId="0" borderId="0" xfId="0" applyNumberFormat="1" applyFont="1"/>
    <xf numFmtId="0" fontId="47" fillId="0" borderId="0" xfId="0" applyFont="1" applyAlignment="1" applyProtection="1">
      <alignment horizontal="left"/>
    </xf>
    <xf numFmtId="0" fontId="47" fillId="0" borderId="0" xfId="0" applyFont="1"/>
    <xf numFmtId="37" fontId="47" fillId="0" borderId="0" xfId="20" applyFont="1" applyAlignment="1"/>
    <xf numFmtId="37" fontId="47" fillId="0" borderId="0" xfId="20" applyFont="1" applyAlignment="1">
      <alignment horizontal="right"/>
    </xf>
    <xf numFmtId="167" fontId="28" fillId="0" borderId="0" xfId="0" applyNumberFormat="1" applyFont="1" applyProtection="1"/>
    <xf numFmtId="0" fontId="47" fillId="0" borderId="0" xfId="0" applyFont="1" applyAlignment="1" applyProtection="1">
      <alignment horizontal="right"/>
    </xf>
    <xf numFmtId="205" fontId="47" fillId="10" borderId="0" xfId="3" applyNumberFormat="1" applyFont="1" applyFill="1"/>
    <xf numFmtId="205" fontId="91" fillId="10" borderId="0" xfId="3" applyNumberFormat="1" applyFont="1" applyFill="1"/>
    <xf numFmtId="0" fontId="47" fillId="0" borderId="0" xfId="0" applyFont="1" applyBorder="1" applyAlignment="1" applyProtection="1">
      <alignment horizontal="right"/>
    </xf>
    <xf numFmtId="9" fontId="47" fillId="0" borderId="0" xfId="0" applyNumberFormat="1" applyFont="1" applyProtection="1"/>
    <xf numFmtId="37" fontId="101" fillId="0" borderId="0" xfId="0" applyNumberFormat="1" applyFont="1"/>
    <xf numFmtId="42" fontId="47" fillId="0" borderId="0" xfId="0" applyNumberFormat="1" applyFont="1" applyProtection="1"/>
    <xf numFmtId="0" fontId="47" fillId="0" borderId="0" xfId="0" applyFont="1" applyBorder="1" applyProtection="1"/>
    <xf numFmtId="41" fontId="47" fillId="0" borderId="0" xfId="0" applyNumberFormat="1" applyFont="1" applyProtection="1"/>
    <xf numFmtId="243" fontId="47" fillId="0" borderId="0" xfId="0" applyNumberFormat="1" applyFont="1" applyProtection="1"/>
    <xf numFmtId="206" fontId="47" fillId="0" borderId="0" xfId="3" applyNumberFormat="1" applyFont="1" applyProtection="1"/>
    <xf numFmtId="10" fontId="47" fillId="0" borderId="0" xfId="0" applyNumberFormat="1" applyFont="1" applyProtection="1"/>
    <xf numFmtId="37" fontId="47" fillId="0" borderId="0" xfId="0" applyNumberFormat="1" applyFont="1" applyProtection="1"/>
    <xf numFmtId="173" fontId="47" fillId="0" borderId="0" xfId="0" applyNumberFormat="1" applyFont="1" applyProtection="1"/>
    <xf numFmtId="0" fontId="47" fillId="0" borderId="0" xfId="0" applyFont="1" applyBorder="1"/>
    <xf numFmtId="0" fontId="16" fillId="0" borderId="0" xfId="0" applyFont="1" applyAlignment="1" applyProtection="1">
      <alignment horizontal="left"/>
    </xf>
    <xf numFmtId="0" fontId="101" fillId="0" borderId="0" xfId="0" applyFont="1"/>
    <xf numFmtId="0" fontId="101" fillId="0" borderId="0" xfId="0" applyFont="1" applyBorder="1" applyProtection="1"/>
    <xf numFmtId="206" fontId="47" fillId="0" borderId="0" xfId="3" applyNumberFormat="1" applyFont="1"/>
    <xf numFmtId="206" fontId="47" fillId="0" borderId="0" xfId="3" applyNumberFormat="1" applyFont="1" applyBorder="1" applyProtection="1"/>
    <xf numFmtId="0" fontId="16" fillId="0" borderId="0" xfId="0" applyFont="1" applyBorder="1"/>
    <xf numFmtId="243" fontId="47" fillId="0" borderId="0" xfId="0" applyNumberFormat="1" applyFont="1" applyBorder="1" applyProtection="1"/>
    <xf numFmtId="203" fontId="47" fillId="0" borderId="0" xfId="5" applyNumberFormat="1" applyFont="1"/>
    <xf numFmtId="203" fontId="103" fillId="0" borderId="0" xfId="5" applyNumberFormat="1" applyFont="1" applyFill="1" applyBorder="1" applyProtection="1"/>
    <xf numFmtId="203" fontId="47" fillId="0" borderId="0" xfId="5" applyNumberFormat="1" applyFont="1" applyBorder="1" applyProtection="1"/>
    <xf numFmtId="203" fontId="47" fillId="0" borderId="0" xfId="5" applyNumberFormat="1" applyFont="1" applyProtection="1"/>
    <xf numFmtId="206" fontId="47" fillId="0" borderId="0" xfId="3" applyNumberFormat="1" applyFont="1" applyBorder="1"/>
    <xf numFmtId="203" fontId="47" fillId="0" borderId="0" xfId="5" applyNumberFormat="1" applyFont="1" applyFill="1" applyBorder="1" applyProtection="1"/>
    <xf numFmtId="203" fontId="47" fillId="0" borderId="0" xfId="0" applyNumberFormat="1" applyFont="1"/>
    <xf numFmtId="6" fontId="16" fillId="0" borderId="0" xfId="0" applyNumberFormat="1" applyFont="1" applyProtection="1"/>
    <xf numFmtId="203" fontId="102" fillId="0" borderId="0" xfId="0" applyNumberFormat="1" applyFont="1"/>
    <xf numFmtId="6" fontId="16" fillId="0" borderId="0" xfId="0" applyNumberFormat="1" applyFont="1" applyBorder="1"/>
    <xf numFmtId="39" fontId="47" fillId="0" borderId="0" xfId="20" applyNumberFormat="1" applyFont="1" applyAlignment="1"/>
    <xf numFmtId="37" fontId="47" fillId="0" borderId="0" xfId="20" applyFont="1" applyAlignment="1">
      <alignment horizontal="left"/>
    </xf>
    <xf numFmtId="37" fontId="47" fillId="0" borderId="0" xfId="20" applyFont="1" applyFill="1" applyAlignment="1"/>
    <xf numFmtId="41" fontId="102" fillId="0" borderId="0" xfId="6" applyNumberFormat="1" applyFont="1" applyFill="1"/>
    <xf numFmtId="41" fontId="47" fillId="0" borderId="0" xfId="6" applyNumberFormat="1" applyFont="1" applyFill="1"/>
    <xf numFmtId="203" fontId="47" fillId="0" borderId="0" xfId="5" applyNumberFormat="1" applyFont="1" applyFill="1"/>
    <xf numFmtId="38" fontId="91" fillId="0" borderId="0" xfId="0" applyNumberFormat="1" applyFont="1"/>
    <xf numFmtId="37" fontId="100" fillId="0" borderId="0" xfId="20" applyFont="1" applyFill="1" applyAlignment="1"/>
    <xf numFmtId="44" fontId="47" fillId="0" borderId="0" xfId="0" applyNumberFormat="1" applyFont="1"/>
    <xf numFmtId="307" fontId="47" fillId="0" borderId="0" xfId="3" applyNumberFormat="1" applyFont="1" applyBorder="1" applyAlignment="1">
      <alignment horizontal="right"/>
    </xf>
    <xf numFmtId="307" fontId="102" fillId="0" borderId="0" xfId="3" applyNumberFormat="1" applyFont="1" applyBorder="1"/>
    <xf numFmtId="44" fontId="47" fillId="0" borderId="0" xfId="3" applyNumberFormat="1" applyFont="1" applyBorder="1"/>
    <xf numFmtId="44" fontId="47" fillId="0" borderId="0" xfId="0" applyNumberFormat="1" applyFont="1" applyBorder="1"/>
    <xf numFmtId="44" fontId="47" fillId="0" borderId="0" xfId="20" applyNumberFormat="1" applyFont="1" applyAlignment="1">
      <alignment horizontal="left"/>
    </xf>
    <xf numFmtId="44" fontId="91" fillId="0" borderId="0" xfId="6" applyNumberFormat="1" applyFont="1" applyFill="1"/>
    <xf numFmtId="10" fontId="47" fillId="0" borderId="0" xfId="21" applyNumberFormat="1" applyFont="1" applyFill="1"/>
    <xf numFmtId="9" fontId="47" fillId="0" borderId="0" xfId="21" applyFont="1"/>
    <xf numFmtId="252" fontId="47" fillId="0" borderId="0" xfId="6" applyNumberFormat="1" applyFont="1" applyFill="1"/>
    <xf numFmtId="214" fontId="47" fillId="0" borderId="0" xfId="21" applyNumberFormat="1" applyFont="1" applyFill="1"/>
    <xf numFmtId="0" fontId="105" fillId="0" borderId="0" xfId="0" applyFont="1" applyAlignment="1" applyProtection="1">
      <alignment horizontal="left"/>
    </xf>
    <xf numFmtId="206" fontId="47" fillId="0" borderId="0" xfId="6" applyNumberFormat="1" applyFont="1" applyFill="1"/>
    <xf numFmtId="203" fontId="102" fillId="0" borderId="0" xfId="5" applyNumberFormat="1" applyFont="1" applyFill="1"/>
    <xf numFmtId="171" fontId="47" fillId="0" borderId="0" xfId="21" applyNumberFormat="1" applyFont="1" applyFill="1"/>
    <xf numFmtId="42" fontId="103" fillId="0" borderId="0" xfId="6" applyNumberFormat="1" applyFont="1" applyFill="1"/>
    <xf numFmtId="0" fontId="16" fillId="0" borderId="0" xfId="0" applyFont="1" applyFill="1"/>
    <xf numFmtId="0" fontId="47" fillId="0" borderId="0" xfId="0" applyFont="1" applyFill="1"/>
    <xf numFmtId="206" fontId="47" fillId="0" borderId="0" xfId="3" applyNumberFormat="1" applyFont="1" applyFill="1"/>
    <xf numFmtId="206" fontId="47" fillId="0" borderId="0" xfId="0" applyNumberFormat="1" applyFont="1" applyFill="1"/>
    <xf numFmtId="173" fontId="47" fillId="0" borderId="0" xfId="21" applyNumberFormat="1" applyFont="1" applyFill="1"/>
    <xf numFmtId="8" fontId="47" fillId="0" borderId="0" xfId="0" applyNumberFormat="1" applyFont="1" applyFill="1"/>
    <xf numFmtId="38" fontId="91" fillId="0" borderId="0" xfId="0" applyNumberFormat="1" applyFont="1" applyFill="1"/>
    <xf numFmtId="43" fontId="47" fillId="0" borderId="0" xfId="3" applyNumberFormat="1" applyFont="1" applyFill="1"/>
    <xf numFmtId="43" fontId="47" fillId="0" borderId="0" xfId="0" applyNumberFormat="1" applyFont="1" applyFill="1"/>
    <xf numFmtId="10" fontId="47" fillId="0" borderId="0" xfId="21" applyNumberFormat="1" applyFont="1"/>
    <xf numFmtId="206" fontId="47" fillId="0" borderId="0" xfId="0" applyNumberFormat="1" applyFont="1"/>
    <xf numFmtId="43" fontId="47" fillId="0" borderId="0" xfId="0" applyNumberFormat="1" applyFont="1"/>
    <xf numFmtId="0" fontId="16" fillId="0" borderId="0" xfId="0" applyFont="1"/>
    <xf numFmtId="206" fontId="47" fillId="0" borderId="0" xfId="21" applyNumberFormat="1" applyFont="1"/>
    <xf numFmtId="174" fontId="47" fillId="0" borderId="0" xfId="21" applyNumberFormat="1" applyFont="1"/>
    <xf numFmtId="0" fontId="104" fillId="0" borderId="0" xfId="0" applyFont="1"/>
    <xf numFmtId="206" fontId="102" fillId="0" borderId="0" xfId="3" applyNumberFormat="1" applyFont="1" applyProtection="1"/>
    <xf numFmtId="203" fontId="107" fillId="0" borderId="0" xfId="0" applyNumberFormat="1" applyFont="1"/>
    <xf numFmtId="203" fontId="106" fillId="0" borderId="0" xfId="5" applyNumberFormat="1" applyFont="1"/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</cellXfs>
  <cellStyles count="33">
    <cellStyle name="??_?.????" xfId="1"/>
    <cellStyle name="Actual Date" xfId="2"/>
    <cellStyle name="Comma" xfId="3" builtinId="3"/>
    <cellStyle name="Comma_Curve_Economics" xfId="4"/>
    <cellStyle name="Currency" xfId="5" builtinId="4"/>
    <cellStyle name="Currency_Curve_Economics" xfId="6"/>
    <cellStyle name="Date" xfId="7"/>
    <cellStyle name="Dezimal [0]_Compiling Utility Macros" xfId="8"/>
    <cellStyle name="Dezimal_Compiling Utility Macros" xfId="9"/>
    <cellStyle name="Fixed" xfId="10"/>
    <cellStyle name="Grey" xfId="11"/>
    <cellStyle name="HEADER" xfId="12"/>
    <cellStyle name="Heading1" xfId="13"/>
    <cellStyle name="Heading2" xfId="14"/>
    <cellStyle name="HIGHLIGHT" xfId="15"/>
    <cellStyle name="Input [yellow]" xfId="16"/>
    <cellStyle name="no dec" xfId="17"/>
    <cellStyle name="Normal" xfId="0" builtinId="0"/>
    <cellStyle name="Normal - Style1" xfId="18"/>
    <cellStyle name="Normal_A" xfId="19"/>
    <cellStyle name="Normal_Curve_Economics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4"/>
  <sheetViews>
    <sheetView tabSelected="1" topLeftCell="B7" zoomScale="75" zoomScaleNormal="75" zoomScaleSheetLayoutView="75" workbookViewId="0">
      <selection activeCell="J37" sqref="J37"/>
    </sheetView>
  </sheetViews>
  <sheetFormatPr defaultColWidth="9.28515625" defaultRowHeight="12"/>
  <cols>
    <col min="1" max="1" width="45.140625" style="130" bestFit="1" customWidth="1"/>
    <col min="2" max="2" width="9.28515625" style="130" bestFit="1" customWidth="1"/>
    <col min="3" max="3" width="14.5703125" style="130" customWidth="1"/>
    <col min="4" max="4" width="8.28515625" style="130" bestFit="1" customWidth="1"/>
    <col min="5" max="5" width="14.5703125" style="130" customWidth="1"/>
    <col min="6" max="6" width="11.7109375" style="130" bestFit="1" customWidth="1"/>
    <col min="7" max="7" width="57" style="130" bestFit="1" customWidth="1"/>
    <col min="8" max="8" width="12.28515625" style="130" bestFit="1" customWidth="1"/>
    <col min="9" max="9" width="6" style="130" bestFit="1" customWidth="1"/>
    <col min="10" max="10" width="9.140625" style="130" bestFit="1" customWidth="1"/>
    <col min="11" max="11" width="29.140625" style="130" customWidth="1"/>
    <col min="12" max="12" width="22.7109375" style="130" customWidth="1"/>
    <col min="13" max="13" width="5.5703125" style="130" customWidth="1"/>
    <col min="14" max="14" width="9.28515625" style="130" customWidth="1"/>
    <col min="15" max="15" width="10.28515625" style="130" customWidth="1"/>
    <col min="16" max="16" width="13" style="130" bestFit="1" customWidth="1"/>
    <col min="17" max="17" width="9.7109375" style="130" bestFit="1" customWidth="1"/>
    <col min="18" max="18" width="13" style="130" bestFit="1" customWidth="1"/>
    <col min="19" max="16384" width="9.28515625" style="130"/>
  </cols>
  <sheetData>
    <row r="1" spans="1:19">
      <c r="B1" s="131"/>
    </row>
    <row r="2" spans="1:19" ht="45">
      <c r="A2" s="334" t="s">
        <v>74</v>
      </c>
      <c r="B2" s="334"/>
      <c r="C2" s="334"/>
      <c r="D2" s="334"/>
      <c r="E2" s="334"/>
      <c r="F2" s="334"/>
      <c r="G2" s="334"/>
      <c r="H2" s="334"/>
      <c r="I2" s="334"/>
      <c r="J2" s="334"/>
      <c r="K2" s="252"/>
      <c r="L2" s="252"/>
      <c r="M2" s="252"/>
      <c r="N2" s="252"/>
    </row>
    <row r="3" spans="1:19" ht="20.25">
      <c r="A3" s="335" t="s">
        <v>82</v>
      </c>
      <c r="B3" s="335"/>
      <c r="C3" s="335"/>
      <c r="D3" s="335"/>
      <c r="E3" s="335"/>
      <c r="F3" s="335"/>
      <c r="G3" s="335"/>
      <c r="H3" s="335"/>
      <c r="I3" s="335"/>
      <c r="J3" s="335"/>
      <c r="K3" s="132"/>
      <c r="L3" s="132"/>
      <c r="M3" s="132"/>
      <c r="N3" s="132"/>
    </row>
    <row r="4" spans="1:19" ht="15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9" ht="15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</row>
    <row r="6" spans="1:19">
      <c r="B6" s="134"/>
      <c r="E6" s="135"/>
      <c r="F6" s="136"/>
      <c r="G6" s="136"/>
      <c r="H6" s="136"/>
    </row>
    <row r="7" spans="1:19" ht="13.9" customHeight="1">
      <c r="A7" s="159"/>
      <c r="B7" s="159"/>
      <c r="P7" s="142"/>
      <c r="R7" s="142"/>
    </row>
    <row r="8" spans="1:19" ht="13.9" customHeight="1">
      <c r="B8" s="159"/>
      <c r="C8" s="159"/>
      <c r="O8" s="134"/>
      <c r="P8" s="146"/>
      <c r="R8" s="147"/>
      <c r="S8" s="147"/>
    </row>
    <row r="9" spans="1:19" ht="13.9" customHeight="1">
      <c r="A9" s="137" t="s">
        <v>83</v>
      </c>
      <c r="C9" s="139" t="s">
        <v>84</v>
      </c>
      <c r="E9" s="140" t="s">
        <v>85</v>
      </c>
      <c r="G9" s="137" t="s">
        <v>149</v>
      </c>
      <c r="H9" s="141"/>
      <c r="I9" s="141"/>
      <c r="J9" s="142" t="s">
        <v>86</v>
      </c>
      <c r="O9" s="134"/>
      <c r="R9" s="152"/>
      <c r="S9" s="153"/>
    </row>
    <row r="10" spans="1:19" ht="13.9" customHeight="1">
      <c r="A10" s="143" t="s">
        <v>87</v>
      </c>
      <c r="B10" s="144"/>
      <c r="C10" s="145">
        <v>2</v>
      </c>
      <c r="E10" s="145">
        <v>3</v>
      </c>
      <c r="G10" s="141" t="s">
        <v>95</v>
      </c>
      <c r="H10" s="141"/>
      <c r="I10" s="141"/>
      <c r="J10" s="172">
        <v>2554.9479155965751</v>
      </c>
      <c r="O10" s="134"/>
      <c r="P10" s="146"/>
      <c r="R10" s="152"/>
      <c r="S10" s="152"/>
    </row>
    <row r="11" spans="1:19" ht="13.9" customHeight="1">
      <c r="A11" s="143" t="s">
        <v>88</v>
      </c>
      <c r="C11" s="149">
        <v>82.5</v>
      </c>
      <c r="D11" s="150"/>
      <c r="E11" s="151">
        <v>62.2</v>
      </c>
      <c r="O11" s="134"/>
      <c r="P11" s="146"/>
      <c r="R11" s="152"/>
      <c r="S11" s="152"/>
    </row>
    <row r="12" spans="1:19" ht="13.9" customHeight="1">
      <c r="A12" s="143" t="s">
        <v>89</v>
      </c>
      <c r="C12" s="156">
        <f>C11*C10</f>
        <v>165</v>
      </c>
      <c r="D12" s="157"/>
      <c r="E12" s="156">
        <f>E11*E10</f>
        <v>186.60000000000002</v>
      </c>
      <c r="G12" s="141" t="s">
        <v>97</v>
      </c>
      <c r="H12" s="141"/>
      <c r="I12" s="141"/>
      <c r="J12" s="183">
        <v>0.02</v>
      </c>
      <c r="O12" s="134"/>
      <c r="P12" s="141"/>
      <c r="R12" s="168"/>
      <c r="S12" s="152"/>
    </row>
    <row r="13" spans="1:19" ht="13.9" customHeight="1">
      <c r="A13" s="161" t="s">
        <v>90</v>
      </c>
      <c r="C13" s="162">
        <v>11975.914034857817</v>
      </c>
      <c r="D13" s="163"/>
      <c r="E13" s="162">
        <v>12200</v>
      </c>
      <c r="O13" s="134"/>
      <c r="P13" s="141"/>
      <c r="R13" s="170"/>
      <c r="S13" s="147"/>
    </row>
    <row r="14" spans="1:19" ht="13.9" customHeight="1">
      <c r="A14" s="143" t="s">
        <v>91</v>
      </c>
      <c r="C14" s="165"/>
      <c r="D14" s="163"/>
      <c r="E14" s="166">
        <f>E12+C12</f>
        <v>351.6</v>
      </c>
      <c r="G14" s="137" t="s">
        <v>99</v>
      </c>
      <c r="H14" s="141"/>
      <c r="I14" s="187"/>
      <c r="J14" s="142" t="s">
        <v>86</v>
      </c>
      <c r="P14" s="172"/>
      <c r="R14" s="172"/>
    </row>
    <row r="15" spans="1:19" ht="13.9" customHeight="1">
      <c r="A15" s="161" t="s">
        <v>134</v>
      </c>
      <c r="C15" s="250"/>
      <c r="D15" s="163"/>
      <c r="E15" s="165">
        <f>(C13*C12+E13*E12)/E14</f>
        <v>12094.840204071503</v>
      </c>
      <c r="G15" s="141" t="s">
        <v>100</v>
      </c>
      <c r="H15" s="141"/>
      <c r="I15" s="179"/>
      <c r="J15" s="180">
        <v>333</v>
      </c>
      <c r="P15" s="146"/>
      <c r="Q15" s="141"/>
      <c r="R15" s="175"/>
      <c r="S15" s="172"/>
    </row>
    <row r="16" spans="1:19" ht="13.9" customHeight="1">
      <c r="A16" s="143" t="s">
        <v>92</v>
      </c>
      <c r="D16" s="173"/>
      <c r="E16" s="174">
        <v>1400</v>
      </c>
      <c r="G16" s="146"/>
      <c r="H16" s="141"/>
      <c r="I16" s="179"/>
      <c r="J16" s="180"/>
      <c r="P16" s="146"/>
      <c r="Q16" s="141"/>
      <c r="R16" s="175"/>
      <c r="S16" s="178"/>
    </row>
    <row r="17" spans="1:19" ht="13.9" customHeight="1">
      <c r="A17" s="143" t="s">
        <v>93</v>
      </c>
      <c r="D17" s="176"/>
      <c r="E17" s="177">
        <v>15</v>
      </c>
      <c r="G17" s="141" t="s">
        <v>101</v>
      </c>
      <c r="H17" s="141"/>
      <c r="I17" s="141"/>
      <c r="J17" s="167">
        <v>0.02</v>
      </c>
      <c r="P17" s="146"/>
      <c r="Q17" s="141"/>
      <c r="R17" s="179"/>
      <c r="S17" s="180"/>
    </row>
    <row r="18" spans="1:19" ht="13.9" customHeight="1">
      <c r="A18" s="143" t="s">
        <v>94</v>
      </c>
      <c r="D18" s="150"/>
      <c r="E18" s="171">
        <v>36661</v>
      </c>
      <c r="P18" s="146"/>
      <c r="Q18" s="141"/>
      <c r="R18" s="141"/>
      <c r="S18" s="182"/>
    </row>
    <row r="19" spans="1:19" ht="13.9" customHeight="1">
      <c r="A19" s="130" t="s">
        <v>96</v>
      </c>
      <c r="D19" s="169"/>
      <c r="E19" s="181">
        <f>E36/E14</f>
        <v>343.90080494980998</v>
      </c>
      <c r="G19" s="141"/>
      <c r="H19" s="141"/>
      <c r="I19" s="141"/>
      <c r="J19" s="193"/>
      <c r="P19" s="141"/>
      <c r="Q19" s="141"/>
      <c r="R19" s="141"/>
      <c r="S19" s="184"/>
    </row>
    <row r="20" spans="1:19" ht="13.9" customHeight="1">
      <c r="G20" s="137" t="s">
        <v>106</v>
      </c>
      <c r="H20" s="141"/>
      <c r="I20" s="141"/>
      <c r="S20" s="185"/>
    </row>
    <row r="21" spans="1:19" ht="13.9" customHeight="1">
      <c r="A21" s="137" t="s">
        <v>98</v>
      </c>
      <c r="G21" s="130" t="s">
        <v>108</v>
      </c>
      <c r="J21" s="177">
        <v>110</v>
      </c>
      <c r="S21" s="185"/>
    </row>
    <row r="22" spans="1:19" ht="13.9" customHeight="1">
      <c r="A22" s="186" t="s">
        <v>102</v>
      </c>
      <c r="B22" s="186"/>
      <c r="C22" s="186"/>
      <c r="D22" s="134"/>
      <c r="E22" s="190">
        <v>2.9376327810130989</v>
      </c>
      <c r="G22" s="130" t="s">
        <v>109</v>
      </c>
      <c r="J22" s="172">
        <v>990.69818181818187</v>
      </c>
    </row>
    <row r="23" spans="1:19" ht="13.9" customHeight="1">
      <c r="A23" s="186" t="s">
        <v>103</v>
      </c>
      <c r="B23" s="186"/>
      <c r="C23" s="186"/>
      <c r="D23" s="186"/>
      <c r="E23" s="167">
        <v>0</v>
      </c>
      <c r="S23" s="155"/>
    </row>
    <row r="24" spans="1:19" ht="13.9" customHeight="1">
      <c r="A24" s="186"/>
      <c r="B24" s="186"/>
      <c r="C24" s="186"/>
      <c r="D24" s="186"/>
      <c r="E24" s="167"/>
      <c r="G24" s="137" t="s">
        <v>112</v>
      </c>
    </row>
    <row r="25" spans="1:19" ht="13.9" customHeight="1">
      <c r="A25" s="186" t="s">
        <v>104</v>
      </c>
      <c r="B25" s="186"/>
      <c r="C25" s="186"/>
      <c r="D25" s="186"/>
      <c r="E25" s="192">
        <v>8.5999999999999993E-2</v>
      </c>
      <c r="G25" s="143" t="s">
        <v>114</v>
      </c>
      <c r="J25" s="200">
        <v>0.35</v>
      </c>
      <c r="P25" s="189"/>
      <c r="S25" s="155"/>
    </row>
    <row r="26" spans="1:19" ht="13.9" customHeight="1">
      <c r="A26" s="186" t="s">
        <v>105</v>
      </c>
      <c r="B26" s="186"/>
      <c r="C26" s="186"/>
      <c r="D26" s="186"/>
      <c r="E26" s="167">
        <v>0.02</v>
      </c>
      <c r="G26" s="143" t="s">
        <v>116</v>
      </c>
      <c r="J26" s="202">
        <v>0.06</v>
      </c>
    </row>
    <row r="27" spans="1:19" ht="13.9" customHeight="1">
      <c r="A27" s="143"/>
      <c r="D27" s="171"/>
      <c r="E27" s="144"/>
      <c r="G27" s="130" t="s">
        <v>117</v>
      </c>
      <c r="J27" s="204">
        <v>0.38899999999999996</v>
      </c>
    </row>
    <row r="28" spans="1:19" ht="13.9" customHeight="1">
      <c r="A28" s="143" t="s">
        <v>107</v>
      </c>
      <c r="E28" s="144">
        <v>10000</v>
      </c>
      <c r="G28" s="143"/>
      <c r="Q28" s="191"/>
    </row>
    <row r="29" spans="1:19" ht="13.9" customHeight="1">
      <c r="A29" s="194"/>
      <c r="E29" s="195"/>
    </row>
    <row r="30" spans="1:19" ht="13.9" customHeight="1">
      <c r="B30" s="196"/>
      <c r="F30" s="188"/>
      <c r="G30" s="137" t="s">
        <v>123</v>
      </c>
    </row>
    <row r="31" spans="1:19" ht="13.9" customHeight="1">
      <c r="C31" s="138"/>
      <c r="G31" s="201" t="s">
        <v>125</v>
      </c>
      <c r="J31" s="221">
        <v>0.4</v>
      </c>
    </row>
    <row r="32" spans="1:19" ht="13.9" customHeight="1">
      <c r="A32" s="137" t="s">
        <v>135</v>
      </c>
      <c r="G32" s="143" t="s">
        <v>126</v>
      </c>
      <c r="H32" s="141"/>
      <c r="I32" s="141"/>
      <c r="J32" s="223">
        <v>1.4E-2</v>
      </c>
    </row>
    <row r="33" spans="1:10" ht="13.9" customHeight="1">
      <c r="A33" s="143" t="s">
        <v>152</v>
      </c>
      <c r="D33" s="148">
        <v>0.03</v>
      </c>
      <c r="E33" s="138">
        <v>3503.7590251748943</v>
      </c>
      <c r="G33" s="130" t="s">
        <v>127</v>
      </c>
      <c r="J33" s="131">
        <v>5</v>
      </c>
    </row>
    <row r="34" spans="1:10" ht="13.9" customHeight="1">
      <c r="A34" s="143" t="s">
        <v>151</v>
      </c>
      <c r="D34" s="148">
        <v>0.97</v>
      </c>
      <c r="E34" s="154">
        <v>117411.76399517831</v>
      </c>
      <c r="G34" s="143" t="s">
        <v>128</v>
      </c>
      <c r="J34" s="223">
        <v>1.4E-2</v>
      </c>
    </row>
    <row r="35" spans="1:10" ht="13.9" customHeight="1">
      <c r="A35" s="158"/>
      <c r="D35" s="159"/>
      <c r="E35" s="160"/>
      <c r="G35" s="226" t="s">
        <v>129</v>
      </c>
      <c r="H35" s="134"/>
      <c r="I35" s="134"/>
      <c r="J35" s="131">
        <v>5</v>
      </c>
    </row>
    <row r="36" spans="1:10" ht="13.9" customHeight="1" thickBot="1">
      <c r="A36" s="143" t="s">
        <v>153</v>
      </c>
      <c r="D36" s="159"/>
      <c r="E36" s="164">
        <f>E33+E34</f>
        <v>120915.5230203532</v>
      </c>
      <c r="G36" s="226" t="s">
        <v>155</v>
      </c>
      <c r="H36" s="134"/>
      <c r="I36" s="134"/>
      <c r="J36" s="131">
        <v>126</v>
      </c>
    </row>
    <row r="37" spans="1:10" ht="13.9" customHeight="1" thickTop="1">
      <c r="A37" s="143"/>
      <c r="B37" s="159"/>
      <c r="C37" s="251"/>
      <c r="G37" s="143"/>
      <c r="J37" s="223"/>
    </row>
    <row r="38" spans="1:10" ht="13.9" customHeight="1">
      <c r="A38" s="137" t="s">
        <v>110</v>
      </c>
      <c r="B38" s="159"/>
      <c r="C38" s="251"/>
      <c r="G38" s="137" t="s">
        <v>148</v>
      </c>
    </row>
    <row r="39" spans="1:10" ht="13.9" customHeight="1">
      <c r="A39" s="143"/>
      <c r="B39" s="159"/>
      <c r="C39" s="251"/>
      <c r="E39" s="172">
        <v>0</v>
      </c>
      <c r="G39" s="130" t="s">
        <v>131</v>
      </c>
      <c r="J39" s="230">
        <v>0.5</v>
      </c>
    </row>
    <row r="40" spans="1:10" ht="13.9" customHeight="1">
      <c r="A40" s="137"/>
      <c r="B40" s="159"/>
      <c r="C40" s="251"/>
      <c r="G40" s="130" t="s">
        <v>132</v>
      </c>
      <c r="J40" s="233">
        <v>0.5</v>
      </c>
    </row>
    <row r="41" spans="1:10" ht="13.9" customHeight="1">
      <c r="A41" s="143" t="s">
        <v>111</v>
      </c>
      <c r="E41" s="198">
        <v>0.03</v>
      </c>
      <c r="G41" s="232"/>
      <c r="H41" s="148"/>
      <c r="I41" s="232"/>
    </row>
    <row r="42" spans="1:10" ht="13.9" customHeight="1">
      <c r="A42" s="143" t="s">
        <v>113</v>
      </c>
      <c r="B42" s="199"/>
      <c r="E42" s="198">
        <v>0.97</v>
      </c>
      <c r="G42" s="238"/>
      <c r="I42" s="238"/>
    </row>
    <row r="43" spans="1:10" ht="13.9" customHeight="1">
      <c r="A43" s="143" t="s">
        <v>143</v>
      </c>
      <c r="E43" s="199" t="s">
        <v>115</v>
      </c>
      <c r="G43" s="137" t="s">
        <v>147</v>
      </c>
      <c r="J43" s="225"/>
    </row>
    <row r="44" spans="1:10" ht="13.9" customHeight="1">
      <c r="A44" s="143"/>
      <c r="E44" s="203"/>
      <c r="G44" s="130" t="s">
        <v>130</v>
      </c>
      <c r="H44" s="228"/>
      <c r="I44" s="197"/>
      <c r="J44" s="225">
        <f>'Cash Flow &amp; Returns'!B21</f>
        <v>7849.2831339585837</v>
      </c>
    </row>
    <row r="45" spans="1:10" ht="13.9" customHeight="1">
      <c r="A45" s="205" t="s">
        <v>142</v>
      </c>
      <c r="B45" s="206"/>
      <c r="C45" s="206"/>
      <c r="D45" s="207"/>
      <c r="E45" s="208">
        <f>E34</f>
        <v>117411.76399517831</v>
      </c>
      <c r="G45" s="186"/>
      <c r="H45" s="186"/>
      <c r="I45" s="244"/>
    </row>
    <row r="46" spans="1:10" ht="13.9" customHeight="1">
      <c r="A46" s="205" t="s">
        <v>118</v>
      </c>
      <c r="B46" s="209"/>
      <c r="C46" s="210"/>
      <c r="E46" s="211">
        <v>15</v>
      </c>
      <c r="G46" s="186"/>
      <c r="H46" s="186"/>
      <c r="I46" s="246"/>
    </row>
    <row r="47" spans="1:10" ht="13.9" customHeight="1">
      <c r="A47" s="212" t="s">
        <v>119</v>
      </c>
      <c r="B47" s="213"/>
      <c r="C47" s="213"/>
      <c r="E47" s="213">
        <v>0.06</v>
      </c>
      <c r="G47" s="186"/>
      <c r="H47" s="186"/>
      <c r="I47" s="167"/>
    </row>
    <row r="48" spans="1:10" ht="13.9" customHeight="1">
      <c r="A48" s="205"/>
      <c r="B48" s="214"/>
      <c r="C48" s="214"/>
      <c r="D48" s="134"/>
      <c r="E48" s="215"/>
      <c r="G48" s="240"/>
      <c r="H48" s="240"/>
      <c r="I48" s="240"/>
    </row>
    <row r="49" spans="1:15" ht="13.9" customHeight="1">
      <c r="A49" s="143"/>
      <c r="B49" s="216"/>
      <c r="C49" s="216"/>
      <c r="D49" s="217"/>
      <c r="G49" s="242"/>
      <c r="I49" s="242"/>
    </row>
    <row r="50" spans="1:15" ht="13.9" customHeight="1">
      <c r="A50" s="143" t="s">
        <v>120</v>
      </c>
      <c r="B50" s="216"/>
      <c r="C50" s="216"/>
      <c r="D50" s="217"/>
      <c r="E50" s="214">
        <f>MIN('Debt Amortization'!$D$14:$S$14)</f>
        <v>1.0780710271404428</v>
      </c>
      <c r="G50" s="240"/>
      <c r="H50" s="240"/>
      <c r="I50" s="240"/>
    </row>
    <row r="51" spans="1:15" ht="13.9" customHeight="1">
      <c r="A51" s="143" t="s">
        <v>121</v>
      </c>
      <c r="B51" s="216"/>
      <c r="C51" s="216"/>
      <c r="D51" s="217"/>
      <c r="E51" s="214">
        <f>AVERAGE('Debt Amortization'!$D$14:$S$14)</f>
        <v>1.2139839205307226</v>
      </c>
      <c r="G51" s="240" t="s">
        <v>133</v>
      </c>
      <c r="H51" s="240"/>
      <c r="I51" s="240" t="s">
        <v>133</v>
      </c>
    </row>
    <row r="52" spans="1:15" ht="13.9" customHeight="1">
      <c r="A52" s="143" t="s">
        <v>122</v>
      </c>
      <c r="D52" s="218"/>
      <c r="E52" s="214">
        <f>MAX('Debt Amortization'!$D$14:$S$14)</f>
        <v>2.352747833978305</v>
      </c>
    </row>
    <row r="53" spans="1:15" ht="13.9" customHeight="1">
      <c r="A53" s="205" t="s">
        <v>124</v>
      </c>
      <c r="B53" s="219"/>
      <c r="C53" s="220"/>
      <c r="D53" s="220"/>
      <c r="E53" s="134">
        <v>9.5966575747404157</v>
      </c>
      <c r="G53" s="232"/>
      <c r="H53" s="148"/>
      <c r="I53" s="232"/>
      <c r="O53" s="227"/>
    </row>
    <row r="54" spans="1:15" ht="13.9" customHeight="1">
      <c r="A54" s="143"/>
      <c r="E54" s="222"/>
      <c r="I54" s="242"/>
      <c r="O54" s="227"/>
    </row>
    <row r="55" spans="1:15" ht="12.75">
      <c r="A55" s="158"/>
      <c r="E55" s="224"/>
      <c r="H55"/>
      <c r="I55"/>
      <c r="O55" s="227"/>
    </row>
    <row r="56" spans="1:15" ht="13.9" customHeight="1">
      <c r="H56"/>
      <c r="I56"/>
      <c r="O56" s="227"/>
    </row>
    <row r="57" spans="1:15" ht="13.9" customHeight="1">
      <c r="H57"/>
      <c r="I57"/>
    </row>
    <row r="58" spans="1:15" ht="12.75">
      <c r="H58"/>
      <c r="I58"/>
    </row>
    <row r="59" spans="1:15" ht="12.75">
      <c r="H59"/>
      <c r="I59"/>
    </row>
    <row r="60" spans="1:15" ht="12.75">
      <c r="C60" s="229"/>
      <c r="D60" s="225"/>
      <c r="E60" s="225"/>
      <c r="H60"/>
      <c r="I60"/>
    </row>
    <row r="61" spans="1:15" ht="12.75">
      <c r="D61" s="231"/>
      <c r="E61" s="231"/>
      <c r="G61"/>
      <c r="H61"/>
      <c r="I61"/>
      <c r="N61" s="235"/>
    </row>
    <row r="62" spans="1:15" ht="12.75">
      <c r="A62" s="159"/>
      <c r="B62" s="159"/>
      <c r="C62" s="232"/>
      <c r="D62" s="148"/>
      <c r="E62" s="232"/>
      <c r="G62"/>
      <c r="H62"/>
      <c r="I62"/>
    </row>
    <row r="63" spans="1:15" ht="15.75">
      <c r="A63" s="137"/>
      <c r="B63" s="186"/>
      <c r="C63" s="234"/>
      <c r="D63" s="186"/>
      <c r="E63" s="191"/>
      <c r="G63"/>
      <c r="H63"/>
      <c r="I63"/>
      <c r="K63" s="226"/>
      <c r="L63" s="134"/>
      <c r="M63" s="134"/>
      <c r="N63" s="131"/>
    </row>
    <row r="64" spans="1:15" ht="12.75">
      <c r="A64"/>
      <c r="B64"/>
      <c r="C64"/>
      <c r="D64" s="237"/>
      <c r="E64" s="158"/>
      <c r="G64"/>
      <c r="H64"/>
      <c r="I64" s="230"/>
      <c r="K64" s="146"/>
      <c r="L64" s="141"/>
      <c r="M64" s="187"/>
    </row>
    <row r="65" spans="1:15" ht="12.75">
      <c r="A65"/>
      <c r="B65"/>
      <c r="C65"/>
      <c r="D65" s="237"/>
      <c r="E65" s="158"/>
      <c r="I65" s="230"/>
      <c r="K65" s="146"/>
      <c r="L65" s="141"/>
      <c r="M65" s="187"/>
      <c r="N65" s="227"/>
    </row>
    <row r="66" spans="1:15" ht="12.75">
      <c r="A66"/>
      <c r="B66"/>
      <c r="C66"/>
      <c r="D66" s="237"/>
      <c r="E66" s="158"/>
      <c r="G66" s="213"/>
      <c r="H66" s="213"/>
      <c r="O66" s="134"/>
    </row>
    <row r="67" spans="1:15" ht="12.75">
      <c r="A67"/>
      <c r="B67"/>
      <c r="C67"/>
      <c r="D67" s="237"/>
      <c r="K67" s="146"/>
      <c r="L67" s="141"/>
      <c r="M67" s="187"/>
      <c r="N67" s="191"/>
      <c r="O67" s="236"/>
    </row>
    <row r="68" spans="1:15" ht="15.75">
      <c r="A68"/>
      <c r="B68"/>
      <c r="C68"/>
      <c r="D68" s="237"/>
      <c r="E68" s="137"/>
      <c r="O68" s="236"/>
    </row>
    <row r="69" spans="1:15" ht="12.75">
      <c r="A69"/>
      <c r="B69"/>
      <c r="C69"/>
      <c r="D69" s="237"/>
      <c r="E69" s="194"/>
      <c r="F69" s="159"/>
      <c r="G69"/>
      <c r="H69"/>
      <c r="K69" s="134"/>
      <c r="L69" s="134"/>
      <c r="M69" s="134"/>
      <c r="N69" s="134"/>
      <c r="O69" s="236"/>
    </row>
    <row r="70" spans="1:15" ht="12.75">
      <c r="D70" s="237"/>
      <c r="E70" s="186"/>
      <c r="G70"/>
      <c r="H70"/>
      <c r="I70" s="143"/>
      <c r="K70" s="134"/>
      <c r="L70" s="134"/>
      <c r="M70" s="134"/>
      <c r="N70" s="134"/>
      <c r="O70" s="236"/>
    </row>
    <row r="71" spans="1:15" ht="12.75">
      <c r="D71" s="237"/>
      <c r="E71" s="186"/>
      <c r="F71" s="159"/>
      <c r="G71"/>
      <c r="H71"/>
      <c r="I71" s="239"/>
      <c r="K71" s="134"/>
      <c r="L71" s="134"/>
      <c r="M71" s="134"/>
      <c r="N71" s="134"/>
      <c r="O71" s="236"/>
    </row>
    <row r="72" spans="1:15" ht="12.75">
      <c r="D72" s="237"/>
      <c r="E72" s="186"/>
      <c r="G72"/>
      <c r="H72"/>
      <c r="K72" s="134"/>
      <c r="L72" s="134"/>
      <c r="M72" s="134"/>
      <c r="N72" s="134"/>
      <c r="O72" s="236"/>
    </row>
    <row r="73" spans="1:15" ht="15.75">
      <c r="A73" s="247"/>
      <c r="D73" s="237"/>
      <c r="E73" s="158"/>
      <c r="G73"/>
      <c r="H73"/>
      <c r="K73" s="134"/>
      <c r="L73" s="134"/>
      <c r="M73" s="134"/>
      <c r="N73" s="134"/>
      <c r="O73" s="236"/>
    </row>
    <row r="74" spans="1:15" ht="12.75">
      <c r="G74"/>
      <c r="H74"/>
      <c r="K74" s="134"/>
      <c r="L74" s="134"/>
      <c r="M74" s="134"/>
      <c r="N74" s="134"/>
      <c r="O74" s="243"/>
    </row>
    <row r="75" spans="1:15" ht="12.75">
      <c r="E75" s="238"/>
      <c r="F75" s="186"/>
      <c r="G75"/>
      <c r="H75"/>
      <c r="K75" s="134"/>
      <c r="L75" s="134"/>
      <c r="M75" s="134"/>
      <c r="N75" s="134"/>
    </row>
    <row r="76" spans="1:15" ht="12.75">
      <c r="E76" s="158"/>
      <c r="F76" s="186"/>
      <c r="G76"/>
      <c r="H76"/>
      <c r="K76" s="245"/>
      <c r="L76" s="134"/>
      <c r="M76" s="134"/>
      <c r="N76" s="134"/>
    </row>
    <row r="77" spans="1:15" ht="12.75">
      <c r="D77"/>
      <c r="E77" s="238"/>
      <c r="F77" s="186"/>
      <c r="G77"/>
      <c r="H77"/>
      <c r="L77" s="134"/>
      <c r="M77" s="134"/>
      <c r="N77" s="134"/>
    </row>
    <row r="78" spans="1:15" ht="12.75">
      <c r="A78"/>
      <c r="B78"/>
      <c r="C78"/>
      <c r="D78"/>
      <c r="E78" s="248"/>
      <c r="G78"/>
      <c r="H78"/>
    </row>
    <row r="79" spans="1:15" ht="12.75">
      <c r="A79"/>
      <c r="B79"/>
      <c r="C79"/>
      <c r="D79"/>
      <c r="E79" s="158" t="s">
        <v>133</v>
      </c>
      <c r="F79" s="159"/>
      <c r="G79"/>
      <c r="H79"/>
    </row>
    <row r="80" spans="1:15" ht="12.75">
      <c r="A80"/>
      <c r="B80"/>
      <c r="C80"/>
      <c r="D80"/>
      <c r="E80" s="158"/>
      <c r="F80" s="159"/>
      <c r="G80"/>
      <c r="H80"/>
    </row>
    <row r="81" spans="1:8" ht="12.75">
      <c r="A81"/>
      <c r="B81"/>
      <c r="C81"/>
      <c r="D81"/>
      <c r="E81" s="158"/>
      <c r="G81"/>
      <c r="H81"/>
    </row>
    <row r="82" spans="1:8" ht="12.75">
      <c r="A82"/>
      <c r="B82"/>
      <c r="C82"/>
      <c r="D82"/>
      <c r="E82" s="158"/>
      <c r="G82"/>
      <c r="H82"/>
    </row>
    <row r="83" spans="1:8" ht="12.75">
      <c r="A83"/>
      <c r="B83"/>
      <c r="C83"/>
      <c r="D83"/>
      <c r="E83" s="241"/>
      <c r="F83" s="159"/>
      <c r="G83"/>
      <c r="H83"/>
    </row>
    <row r="84" spans="1:8" ht="12.75">
      <c r="A84"/>
      <c r="B84"/>
      <c r="C84"/>
      <c r="D84"/>
      <c r="E84" s="241"/>
      <c r="G84"/>
      <c r="H84"/>
    </row>
    <row r="85" spans="1:8" ht="12.75">
      <c r="A85"/>
      <c r="B85"/>
      <c r="C85"/>
      <c r="D85"/>
      <c r="E85" s="241"/>
      <c r="G85"/>
      <c r="H85"/>
    </row>
    <row r="86" spans="1:8" ht="12.75">
      <c r="A86"/>
      <c r="B86"/>
      <c r="C86"/>
      <c r="D86"/>
      <c r="E86" s="241"/>
      <c r="G86"/>
      <c r="H86"/>
    </row>
    <row r="87" spans="1:8" ht="12.75">
      <c r="A87"/>
      <c r="B87"/>
      <c r="C87"/>
      <c r="D87"/>
      <c r="E87" s="241"/>
      <c r="G87"/>
      <c r="H87"/>
    </row>
    <row r="88" spans="1:8" ht="12.75">
      <c r="A88"/>
      <c r="B88"/>
      <c r="C88"/>
      <c r="D88"/>
      <c r="E88" s="241"/>
      <c r="G88"/>
      <c r="H88"/>
    </row>
    <row r="89" spans="1:8" ht="12.75">
      <c r="A89"/>
      <c r="B89"/>
      <c r="C89"/>
      <c r="D89"/>
      <c r="E89" s="241"/>
      <c r="G89"/>
      <c r="H89"/>
    </row>
    <row r="90" spans="1:8" ht="12.75">
      <c r="A90"/>
      <c r="B90"/>
      <c r="C90"/>
      <c r="D90"/>
      <c r="E90" s="241"/>
      <c r="G90"/>
      <c r="H90"/>
    </row>
    <row r="91" spans="1:8" ht="12.75">
      <c r="A91"/>
      <c r="B91"/>
      <c r="C91"/>
      <c r="D91"/>
      <c r="E91" s="241"/>
      <c r="F91"/>
      <c r="G91"/>
      <c r="H91"/>
    </row>
    <row r="92" spans="1:8" ht="12.75">
      <c r="A92"/>
      <c r="B92"/>
      <c r="C92"/>
      <c r="D92"/>
      <c r="E92" s="212"/>
      <c r="F92"/>
      <c r="G92"/>
      <c r="H92"/>
    </row>
    <row r="93" spans="1:8" ht="12.75">
      <c r="A93"/>
      <c r="B93"/>
      <c r="C93"/>
      <c r="D93"/>
      <c r="F93"/>
      <c r="G93"/>
      <c r="H93"/>
    </row>
    <row r="94" spans="1:8" ht="12.75">
      <c r="A94"/>
      <c r="B94"/>
      <c r="C94"/>
      <c r="D94"/>
      <c r="F94"/>
      <c r="G94"/>
      <c r="H94"/>
    </row>
    <row r="95" spans="1:8" ht="12.75">
      <c r="A95"/>
      <c r="B95"/>
      <c r="C95"/>
      <c r="D95"/>
      <c r="E95"/>
    </row>
    <row r="96" spans="1:8" ht="12.75">
      <c r="A96"/>
      <c r="B96"/>
      <c r="C96"/>
      <c r="D96"/>
      <c r="E96"/>
      <c r="F96" s="249"/>
    </row>
    <row r="97" spans="1:6" ht="12.75">
      <c r="A97"/>
      <c r="B97"/>
      <c r="C97"/>
      <c r="D97"/>
      <c r="E97"/>
    </row>
    <row r="98" spans="1:6" ht="12.75">
      <c r="A98"/>
      <c r="B98"/>
      <c r="C98"/>
      <c r="D98"/>
      <c r="E98"/>
    </row>
    <row r="99" spans="1:6" ht="12.75">
      <c r="A99"/>
      <c r="B99"/>
      <c r="C99"/>
      <c r="D99"/>
      <c r="E99"/>
      <c r="F99"/>
    </row>
    <row r="100" spans="1:6" ht="12.75">
      <c r="A100"/>
      <c r="B100"/>
      <c r="C100"/>
      <c r="D100"/>
      <c r="E100"/>
      <c r="F100"/>
    </row>
    <row r="101" spans="1:6" ht="12.75">
      <c r="A101"/>
      <c r="B101"/>
      <c r="C101"/>
      <c r="D101"/>
      <c r="E101"/>
      <c r="F101"/>
    </row>
    <row r="102" spans="1:6" ht="12.75">
      <c r="A102"/>
      <c r="B102"/>
      <c r="C102"/>
      <c r="D102"/>
      <c r="E102"/>
      <c r="F102"/>
    </row>
    <row r="103" spans="1:6" ht="12.75">
      <c r="A103"/>
      <c r="B103"/>
      <c r="C103"/>
      <c r="E103"/>
      <c r="F103"/>
    </row>
    <row r="104" spans="1:6" ht="12.75">
      <c r="E104"/>
      <c r="F104"/>
    </row>
    <row r="105" spans="1:6" ht="12.75">
      <c r="E105"/>
      <c r="F105"/>
    </row>
    <row r="106" spans="1:6" ht="12.75">
      <c r="E106"/>
      <c r="F106"/>
    </row>
    <row r="107" spans="1:6" ht="12.75">
      <c r="E107"/>
      <c r="F107"/>
    </row>
    <row r="108" spans="1:6" ht="12.75">
      <c r="E108"/>
      <c r="F108"/>
    </row>
    <row r="109" spans="1:6" ht="12.75">
      <c r="E109"/>
      <c r="F109"/>
    </row>
    <row r="110" spans="1:6" ht="12.75">
      <c r="E110"/>
      <c r="F110"/>
    </row>
    <row r="111" spans="1:6" ht="12.75">
      <c r="E111"/>
      <c r="F111"/>
    </row>
    <row r="112" spans="1:6" ht="12.75">
      <c r="E112"/>
      <c r="F112"/>
    </row>
    <row r="113" spans="5:6" ht="12.75">
      <c r="E113"/>
      <c r="F113"/>
    </row>
    <row r="114" spans="5:6" ht="12.75">
      <c r="E114"/>
      <c r="F114"/>
    </row>
    <row r="115" spans="5:6" ht="12.75">
      <c r="E115"/>
      <c r="F115"/>
    </row>
    <row r="116" spans="5:6" ht="12.75">
      <c r="E116"/>
      <c r="F116"/>
    </row>
    <row r="117" spans="5:6" ht="12.75">
      <c r="E117"/>
      <c r="F117"/>
    </row>
    <row r="118" spans="5:6" ht="12.75">
      <c r="E118"/>
      <c r="F118"/>
    </row>
    <row r="119" spans="5:6" ht="12.75">
      <c r="E119"/>
      <c r="F119"/>
    </row>
    <row r="120" spans="5:6" ht="12.75">
      <c r="E120"/>
      <c r="F120"/>
    </row>
    <row r="121" spans="5:6" ht="12.75">
      <c r="F121"/>
    </row>
    <row r="122" spans="5:6" ht="12.75">
      <c r="F122"/>
    </row>
    <row r="123" spans="5:6" ht="12.75">
      <c r="F123"/>
    </row>
    <row r="124" spans="5:6" ht="12.75">
      <c r="F124"/>
    </row>
  </sheetData>
  <mergeCells count="2">
    <mergeCell ref="A2:J2"/>
    <mergeCell ref="A3:J3"/>
  </mergeCells>
  <dataValidations count="4">
    <dataValidation type="list" allowBlank="1" showInputMessage="1" showErrorMessage="1" sqref="B42">
      <formula1>"Coverage Ratio, Assumed"</formula1>
    </dataValidation>
    <dataValidation type="list" allowBlank="1" showInputMessage="1" showErrorMessage="1" sqref="B49:C49">
      <formula1>"Interest Only,No P&amp;I"</formula1>
    </dataValidation>
    <dataValidation type="list" allowBlank="1" showInputMessage="1" showErrorMessage="1" sqref="E43">
      <formula1>"Mortgage Style, Level Principal, Custom"</formula1>
    </dataValidation>
    <dataValidation type="list" allowBlank="1" showInputMessage="1" showErrorMessage="1" sqref="E41">
      <formula1>"0,.01,.02,.03,.04,.05,.06,.07,.08,.09,.1"</formula1>
    </dataValidation>
  </dataValidations>
  <printOptions horizontalCentered="1" verticalCentered="1"/>
  <pageMargins left="0.75" right="0.5" top="0.25" bottom="0.5" header="0" footer="0"/>
  <pageSetup scale="59" orientation="landscape" horizontalDpi="4294967294" r:id="rId1"/>
  <headerFooter alignWithMargins="0">
    <oddFooter>&amp;L&amp;D   &amp;T&amp;R&amp;A &amp;P</oddFooter>
  </headerFooter>
  <colBreaks count="1" manualBreakCount="1">
    <brk id="14" min="1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C91"/>
  <sheetViews>
    <sheetView showZeros="0" zoomScale="75" zoomScaleNormal="75" zoomScaleSheetLayoutView="100" workbookViewId="0">
      <selection activeCell="F21" sqref="F21"/>
    </sheetView>
  </sheetViews>
  <sheetFormatPr defaultColWidth="9.28515625" defaultRowHeight="12.6" customHeight="1"/>
  <cols>
    <col min="1" max="1" width="34.42578125" style="9" bestFit="1" customWidth="1"/>
    <col min="2" max="2" width="13.42578125" style="9" customWidth="1"/>
    <col min="3" max="3" width="9.7109375" style="9" customWidth="1"/>
    <col min="4" max="4" width="14" style="9" bestFit="1" customWidth="1"/>
    <col min="5" max="19" width="10.7109375" style="9" customWidth="1"/>
    <col min="20" max="20" width="11.42578125" style="9" bestFit="1" customWidth="1"/>
    <col min="21" max="29" width="10.7109375" customWidth="1"/>
    <col min="30" max="31" width="9.28515625" style="13" customWidth="1"/>
    <col min="32" max="16384" width="9.28515625" style="9"/>
  </cols>
  <sheetData>
    <row r="1" spans="1:55" ht="26.25">
      <c r="A1" s="127" t="s">
        <v>74</v>
      </c>
      <c r="B1" s="127"/>
    </row>
    <row r="2" spans="1:55" ht="15.6" customHeight="1">
      <c r="A2" s="128" t="s">
        <v>145</v>
      </c>
      <c r="B2" s="128"/>
    </row>
    <row r="3" spans="1:55" s="256" customFormat="1" ht="15.75">
      <c r="A3" s="17"/>
      <c r="B3" s="17"/>
      <c r="C3" s="255"/>
      <c r="E3" s="256">
        <v>1</v>
      </c>
      <c r="F3" s="256">
        <v>2</v>
      </c>
      <c r="G3" s="256">
        <v>3</v>
      </c>
      <c r="H3" s="256">
        <v>4</v>
      </c>
      <c r="I3" s="256">
        <v>5</v>
      </c>
      <c r="J3" s="257">
        <v>6</v>
      </c>
      <c r="K3" s="256">
        <v>7</v>
      </c>
      <c r="L3" s="256">
        <v>8</v>
      </c>
      <c r="M3" s="256">
        <v>9</v>
      </c>
      <c r="N3" s="256">
        <v>10</v>
      </c>
      <c r="O3" s="256">
        <v>11</v>
      </c>
      <c r="P3" s="257">
        <v>12</v>
      </c>
      <c r="Q3" s="256">
        <v>13</v>
      </c>
      <c r="R3" s="256">
        <v>14</v>
      </c>
      <c r="S3" s="256">
        <v>15</v>
      </c>
      <c r="T3" s="256">
        <v>16</v>
      </c>
      <c r="U3" s="256">
        <v>17</v>
      </c>
      <c r="V3" s="256">
        <v>18</v>
      </c>
      <c r="W3" s="256">
        <v>19</v>
      </c>
      <c r="X3" s="256">
        <v>20</v>
      </c>
      <c r="Y3" s="256">
        <v>21</v>
      </c>
      <c r="Z3" s="256">
        <v>22</v>
      </c>
      <c r="AA3" s="256">
        <v>23</v>
      </c>
      <c r="AB3" s="256">
        <v>24</v>
      </c>
      <c r="AC3" s="256">
        <v>25</v>
      </c>
      <c r="AD3" s="256">
        <v>26</v>
      </c>
      <c r="AE3" s="256">
        <v>27</v>
      </c>
      <c r="AF3" s="256">
        <v>28</v>
      </c>
      <c r="AG3" s="256">
        <v>29</v>
      </c>
      <c r="AH3" s="256">
        <v>30</v>
      </c>
    </row>
    <row r="4" spans="1:55" s="256" customFormat="1" ht="15.75">
      <c r="A4" s="129"/>
      <c r="B4" s="129"/>
      <c r="D4" s="258"/>
      <c r="E4" s="258">
        <v>2000</v>
      </c>
      <c r="F4" s="258">
        <v>2001</v>
      </c>
      <c r="G4" s="258">
        <v>2002</v>
      </c>
      <c r="H4" s="258">
        <v>2003</v>
      </c>
      <c r="I4" s="258">
        <v>2004</v>
      </c>
      <c r="J4" s="258">
        <v>2005</v>
      </c>
      <c r="K4" s="258">
        <v>2006</v>
      </c>
      <c r="L4" s="258">
        <v>2007</v>
      </c>
      <c r="M4" s="258">
        <v>2008</v>
      </c>
      <c r="N4" s="258">
        <v>2009</v>
      </c>
      <c r="O4" s="258">
        <v>2010</v>
      </c>
      <c r="P4" s="258">
        <v>2011</v>
      </c>
      <c r="Q4" s="258">
        <v>2012</v>
      </c>
      <c r="R4" s="258">
        <v>2013</v>
      </c>
      <c r="S4" s="258">
        <v>2014</v>
      </c>
      <c r="T4" s="258">
        <v>2015</v>
      </c>
      <c r="U4" s="258">
        <v>2016</v>
      </c>
      <c r="V4" s="258">
        <v>2017</v>
      </c>
      <c r="W4" s="258">
        <v>2018</v>
      </c>
      <c r="X4" s="258">
        <v>2019</v>
      </c>
      <c r="Y4" s="258">
        <v>2020</v>
      </c>
      <c r="Z4" s="258">
        <v>2021</v>
      </c>
      <c r="AA4" s="258">
        <v>2022</v>
      </c>
      <c r="AB4" s="258">
        <v>2023</v>
      </c>
      <c r="AC4" s="258">
        <v>2024</v>
      </c>
      <c r="AD4" s="258">
        <v>2025</v>
      </c>
      <c r="AE4" s="258">
        <v>2026</v>
      </c>
      <c r="AF4" s="258">
        <v>2027</v>
      </c>
      <c r="AG4" s="258">
        <v>2028</v>
      </c>
      <c r="AH4" s="258">
        <v>2029</v>
      </c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</row>
    <row r="5" spans="1:55" s="255" customFormat="1" ht="15">
      <c r="D5" s="259"/>
      <c r="E5" s="260">
        <v>6.55</v>
      </c>
      <c r="F5" s="261">
        <v>12</v>
      </c>
      <c r="G5" s="261">
        <v>12</v>
      </c>
      <c r="H5" s="261">
        <v>12</v>
      </c>
      <c r="I5" s="261">
        <v>12</v>
      </c>
      <c r="J5" s="261">
        <v>12</v>
      </c>
      <c r="K5" s="261">
        <v>12</v>
      </c>
      <c r="L5" s="261">
        <v>12</v>
      </c>
      <c r="M5" s="261">
        <v>12</v>
      </c>
      <c r="N5" s="261">
        <v>12</v>
      </c>
      <c r="O5" s="261">
        <v>12</v>
      </c>
      <c r="P5" s="261">
        <v>12</v>
      </c>
      <c r="Q5" s="261">
        <v>12</v>
      </c>
      <c r="R5" s="261">
        <v>12</v>
      </c>
      <c r="S5" s="261">
        <v>12</v>
      </c>
      <c r="T5" s="261">
        <v>6.5</v>
      </c>
      <c r="AD5" s="262"/>
      <c r="AE5" s="262"/>
      <c r="AJ5" s="263"/>
      <c r="AN5" s="263"/>
      <c r="AY5" s="263"/>
      <c r="BC5" s="263"/>
    </row>
    <row r="6" spans="1:55" s="255" customFormat="1" ht="15.75">
      <c r="A6" s="17" t="s">
        <v>138</v>
      </c>
      <c r="B6" s="17"/>
      <c r="D6" s="264">
        <v>28243.984211138089</v>
      </c>
      <c r="E6" s="265">
        <f>'Book Income Statement'!C34</f>
        <v>1375.1704367174643</v>
      </c>
      <c r="F6" s="265">
        <f>'Book Income Statement'!D34</f>
        <v>1454.2379488941533</v>
      </c>
      <c r="G6" s="265">
        <f>'Book Income Statement'!E34</f>
        <v>1779.1246406965747</v>
      </c>
      <c r="H6" s="265">
        <f>'Book Income Statement'!F34</f>
        <v>2183.8052374244089</v>
      </c>
      <c r="I6" s="265">
        <f>'Book Income Statement'!G34</f>
        <v>2483.1460006801808</v>
      </c>
      <c r="J6" s="265">
        <f>'Book Income Statement'!H34</f>
        <v>3069.4239460847239</v>
      </c>
      <c r="K6" s="265">
        <f>'Book Income Statement'!I34</f>
        <v>3644.732775527993</v>
      </c>
      <c r="L6" s="265">
        <f>'Book Income Statement'!J34</f>
        <v>4076.9355890308279</v>
      </c>
      <c r="M6" s="265">
        <f>'Book Income Statement'!K34</f>
        <v>4535.0308554348412</v>
      </c>
      <c r="N6" s="265">
        <f>'Book Income Statement'!L34</f>
        <v>5020.88907965833</v>
      </c>
      <c r="O6" s="265">
        <f>'Book Income Statement'!M34</f>
        <v>5536.2069474839172</v>
      </c>
      <c r="P6" s="265">
        <f>'Book Income Statement'!N34</f>
        <v>6082.7851204004301</v>
      </c>
      <c r="Q6" s="265">
        <f>'Book Income Statement'!O34</f>
        <v>6662.5346131422966</v>
      </c>
      <c r="R6" s="265">
        <f>'Book Income Statement'!P34</f>
        <v>7277.4835625217265</v>
      </c>
      <c r="S6" s="265">
        <f>'Book Income Statement'!Q34</f>
        <v>7929.7844115638818</v>
      </c>
      <c r="T6" s="265">
        <f>'Book Income Statement'!R34</f>
        <v>14654.248246000852</v>
      </c>
      <c r="AD6" s="266"/>
      <c r="AE6" s="266"/>
    </row>
    <row r="7" spans="1:55" s="255" customFormat="1" ht="15">
      <c r="A7" s="254" t="s">
        <v>58</v>
      </c>
      <c r="B7" s="254"/>
      <c r="D7" s="264">
        <v>106379.89632897882</v>
      </c>
      <c r="E7" s="267">
        <f>'Book Income Statement'!C28</f>
        <v>2514.3538127249503</v>
      </c>
      <c r="F7" s="267">
        <f>'Book Income Statement'!D28</f>
        <v>4603.3714641873839</v>
      </c>
      <c r="G7" s="267">
        <f>'Book Income Statement'!E28</f>
        <v>4603.3714641873839</v>
      </c>
      <c r="H7" s="267">
        <f>'Book Income Statement'!F28</f>
        <v>4603.3714641873839</v>
      </c>
      <c r="I7" s="267">
        <f>'Book Income Statement'!G28</f>
        <v>4603.3714641873839</v>
      </c>
      <c r="J7" s="267">
        <f>'Book Income Statement'!H28</f>
        <v>4401.1555169243256</v>
      </c>
      <c r="K7" s="267">
        <f>'Book Income Statement'!I28</f>
        <v>4233.1470683512471</v>
      </c>
      <c r="L7" s="267">
        <f>'Book Income Statement'!J28</f>
        <v>4233.1470683512471</v>
      </c>
      <c r="M7" s="267">
        <f>'Book Income Statement'!K28</f>
        <v>4233.1470683512471</v>
      </c>
      <c r="N7" s="267">
        <f>'Book Income Statement'!L28</f>
        <v>4233.1470683512471</v>
      </c>
      <c r="O7" s="267">
        <f>'Book Income Statement'!M28</f>
        <v>4233.1470683512471</v>
      </c>
      <c r="P7" s="267">
        <f>'Book Income Statement'!N28</f>
        <v>4233.1470683512471</v>
      </c>
      <c r="Q7" s="267">
        <f>'Book Income Statement'!O28</f>
        <v>4233.1470683512471</v>
      </c>
      <c r="R7" s="267">
        <f>'Book Income Statement'!P28</f>
        <v>4233.1470683512471</v>
      </c>
      <c r="S7" s="267">
        <f>'Book Income Statement'!Q28</f>
        <v>4233.1470683512471</v>
      </c>
      <c r="T7" s="267">
        <f>'Book Income Statement'!R28</f>
        <v>2292.9546620235919</v>
      </c>
      <c r="AD7" s="266"/>
      <c r="AE7" s="266"/>
      <c r="AG7" s="268"/>
      <c r="AI7" s="268"/>
      <c r="AM7" s="268"/>
      <c r="AV7" s="268"/>
    </row>
    <row r="8" spans="1:55" s="255" customFormat="1" ht="15">
      <c r="A8" s="254" t="s">
        <v>5</v>
      </c>
      <c r="B8" s="254"/>
      <c r="D8" s="264">
        <v>60944.837527081741</v>
      </c>
      <c r="E8" s="269">
        <f>'Book Income Statement'!C31</f>
        <v>3125.163086175131</v>
      </c>
      <c r="F8" s="269">
        <f>'Book Income Statement'!D31</f>
        <v>6799.4100630617713</v>
      </c>
      <c r="G8" s="269">
        <f>'Book Income Statement'!E31</f>
        <v>6484.8274663037755</v>
      </c>
      <c r="H8" s="269">
        <f>'Book Income Statement'!F31</f>
        <v>6087.8080610985207</v>
      </c>
      <c r="I8" s="269">
        <f>'Book Income Statement'!G31</f>
        <v>5796.566001324094</v>
      </c>
      <c r="J8" s="269">
        <f>'Book Income Statement'!H31</f>
        <v>5420.4453322146792</v>
      </c>
      <c r="K8" s="269">
        <f>'Book Income Statement'!I31</f>
        <v>5021.2445633852585</v>
      </c>
      <c r="L8" s="269">
        <f>'Book Income Statement'!J31</f>
        <v>4597.547417968236</v>
      </c>
      <c r="M8" s="269">
        <f>'Book Income Statement'!K31</f>
        <v>4147.8507113187488</v>
      </c>
      <c r="N8" s="269">
        <f>'Book Income Statement'!L31</f>
        <v>3670.5590180448785</v>
      </c>
      <c r="O8" s="269">
        <f>'Book Income Statement'!M31</f>
        <v>3163.9790117879061</v>
      </c>
      <c r="P8" s="269">
        <f>'Book Income Statement'!N31</f>
        <v>2626.3134576713719</v>
      </c>
      <c r="Q8" s="269">
        <f>'Book Income Statement'!O31</f>
        <v>2055.6548361054893</v>
      </c>
      <c r="R8" s="269">
        <f>'Book Income Statement'!P31</f>
        <v>1449.9785753255546</v>
      </c>
      <c r="S8" s="269">
        <f>'Book Income Statement'!Q31</f>
        <v>807.13586865489287</v>
      </c>
      <c r="T8" s="269">
        <f>'Book Income Statement'!R31</f>
        <v>159.84611706114805</v>
      </c>
      <c r="AD8" s="266"/>
      <c r="AE8" s="266"/>
      <c r="AG8" s="268"/>
      <c r="AV8" s="268"/>
    </row>
    <row r="9" spans="1:55" s="255" customFormat="1" ht="15">
      <c r="A9" s="254" t="s">
        <v>6</v>
      </c>
      <c r="B9" s="254"/>
      <c r="D9" s="264">
        <v>60944.837527081741</v>
      </c>
      <c r="E9" s="269">
        <f>'Debt Amortization'!D8</f>
        <v>1761.1764599276746</v>
      </c>
      <c r="F9" s="269">
        <f>'Debt Amortization'!E8</f>
        <v>6858.8928890059824</v>
      </c>
      <c r="G9" s="269">
        <f>'Debt Amortization'!F8</f>
        <v>6547.9603696491322</v>
      </c>
      <c r="H9" s="269">
        <f>'Debt Amortization'!G8</f>
        <v>6217.9479268997693</v>
      </c>
      <c r="I9" s="269">
        <f>'Debt Amortization'!H8</f>
        <v>5867.6847489128759</v>
      </c>
      <c r="J9" s="269">
        <f>'Debt Amortization'!I8</f>
        <v>5495.928178671511</v>
      </c>
      <c r="K9" s="269">
        <f>'Debt Amortization'!J8</f>
        <v>5101.3593053119648</v>
      </c>
      <c r="L9" s="269">
        <f>'Debt Amortization'!K8</f>
        <v>4682.5782849169691</v>
      </c>
      <c r="M9" s="269">
        <f>'Debt Amortization'!L8</f>
        <v>4238.0993741761786</v>
      </c>
      <c r="N9" s="269">
        <f>'Debt Amortization'!M8</f>
        <v>3766.345659294399</v>
      </c>
      <c r="O9" s="269">
        <f>'Debt Amortization'!N8</f>
        <v>3265.6434614469399</v>
      </c>
      <c r="P9" s="269">
        <f>'Debt Amortization'!O8</f>
        <v>2734.2163989338205</v>
      </c>
      <c r="Q9" s="269">
        <f>'Debt Amortization'!P8</f>
        <v>2170.1790849666822</v>
      </c>
      <c r="R9" s="269">
        <f>'Debt Amortization'!Q8</f>
        <v>1571.5304387295323</v>
      </c>
      <c r="S9" s="269">
        <f>'Debt Amortization'!R8</f>
        <v>936.14658598242261</v>
      </c>
      <c r="T9" s="269">
        <f>'Debt Amortization'!S8</f>
        <v>261.77332402095954</v>
      </c>
      <c r="AD9" s="266"/>
      <c r="AE9" s="266"/>
      <c r="AG9" s="268"/>
      <c r="AQ9" s="270"/>
      <c r="AR9" s="270"/>
      <c r="AS9" s="270"/>
      <c r="AT9" s="270"/>
      <c r="AV9" s="268"/>
    </row>
    <row r="10" spans="1:55" s="255" customFormat="1" ht="17.25">
      <c r="A10" s="255" t="s">
        <v>7</v>
      </c>
      <c r="D10" s="272">
        <v>114865.03933910957</v>
      </c>
      <c r="E10" s="331">
        <f>'Debt Amortization'!D9</f>
        <v>1220.310648172763</v>
      </c>
      <c r="F10" s="331">
        <f>'Debt Amortization'!E9</f>
        <v>5067.0555433957679</v>
      </c>
      <c r="G10" s="331">
        <f>'Debt Amortization'!F9</f>
        <v>5377.9880627526181</v>
      </c>
      <c r="H10" s="331">
        <f>'Debt Amortization'!G9</f>
        <v>5708.0005055019819</v>
      </c>
      <c r="I10" s="331">
        <f>'Debt Amortization'!H9</f>
        <v>6058.2636834888744</v>
      </c>
      <c r="J10" s="331">
        <f>'Debt Amortization'!I9</f>
        <v>6430.0202537302403</v>
      </c>
      <c r="K10" s="331">
        <f>'Debt Amortization'!J9</f>
        <v>6824.5891270897855</v>
      </c>
      <c r="L10" s="331">
        <f>'Debt Amortization'!K9</f>
        <v>7243.3701474847812</v>
      </c>
      <c r="M10" s="331">
        <f>'Debt Amortization'!L9</f>
        <v>7687.8490582255718</v>
      </c>
      <c r="N10" s="331">
        <f>'Debt Amortization'!M9</f>
        <v>8159.6027731073518</v>
      </c>
      <c r="O10" s="331">
        <f>'Debt Amortization'!N9</f>
        <v>8660.3049709548104</v>
      </c>
      <c r="P10" s="331">
        <f>'Debt Amortization'!O9</f>
        <v>9191.732033467928</v>
      </c>
      <c r="Q10" s="331">
        <f>'Debt Amortization'!P9</f>
        <v>9755.7693474350672</v>
      </c>
      <c r="R10" s="331">
        <f>'Debt Amortization'!Q9</f>
        <v>10354.417993672218</v>
      </c>
      <c r="S10" s="331">
        <f>'Debt Amortization'!R9</f>
        <v>10989.801846419326</v>
      </c>
      <c r="T10" s="331">
        <f>'Debt Amortization'!S9</f>
        <v>8682.6880002803537</v>
      </c>
      <c r="AD10" s="273"/>
      <c r="AE10" s="273"/>
      <c r="AG10" s="268"/>
      <c r="AV10" s="268"/>
    </row>
    <row r="11" spans="1:55" s="255" customFormat="1" ht="15.75">
      <c r="A11" s="279" t="s">
        <v>8</v>
      </c>
      <c r="B11" s="274"/>
      <c r="C11" s="275"/>
      <c r="D11" s="276"/>
      <c r="E11" s="265">
        <f>E6+E7+E8-E9-E10</f>
        <v>4033.200227517108</v>
      </c>
      <c r="F11" s="265">
        <f t="shared" ref="F11:T11" si="0">F6+F7+F8-F9-F10</f>
        <v>931.07104374155824</v>
      </c>
      <c r="G11" s="265">
        <f t="shared" si="0"/>
        <v>941.37513878598475</v>
      </c>
      <c r="H11" s="265">
        <f t="shared" si="0"/>
        <v>949.03633030856236</v>
      </c>
      <c r="I11" s="265">
        <f t="shared" si="0"/>
        <v>957.13503378990936</v>
      </c>
      <c r="J11" s="265">
        <f t="shared" si="0"/>
        <v>965.07636282197836</v>
      </c>
      <c r="K11" s="265">
        <f t="shared" si="0"/>
        <v>973.17597486274826</v>
      </c>
      <c r="L11" s="265">
        <f t="shared" si="0"/>
        <v>981.68164294855796</v>
      </c>
      <c r="M11" s="265">
        <f t="shared" si="0"/>
        <v>990.08020270308862</v>
      </c>
      <c r="N11" s="265">
        <f t="shared" si="0"/>
        <v>998.64673365270573</v>
      </c>
      <c r="O11" s="265">
        <f t="shared" si="0"/>
        <v>1007.3845952213196</v>
      </c>
      <c r="P11" s="265">
        <f t="shared" si="0"/>
        <v>1016.2972140213005</v>
      </c>
      <c r="Q11" s="265">
        <f t="shared" si="0"/>
        <v>1025.3880851972826</v>
      </c>
      <c r="R11" s="265">
        <f t="shared" si="0"/>
        <v>1034.660773796777</v>
      </c>
      <c r="S11" s="265">
        <f t="shared" si="0"/>
        <v>1044.1189161682723</v>
      </c>
      <c r="T11" s="265">
        <f t="shared" si="0"/>
        <v>8162.5877007842773</v>
      </c>
      <c r="AD11" s="266"/>
      <c r="AE11" s="266"/>
      <c r="AG11" s="268"/>
      <c r="AQ11" s="270"/>
      <c r="AR11" s="270"/>
      <c r="AS11" s="270"/>
      <c r="AT11" s="270"/>
      <c r="AV11" s="268"/>
    </row>
    <row r="12" spans="1:55" s="255" customFormat="1" ht="15"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AD12" s="273"/>
      <c r="AE12" s="273"/>
      <c r="AG12" s="268"/>
      <c r="AV12" s="268"/>
    </row>
    <row r="13" spans="1:55" s="277" customFormat="1" ht="15.75">
      <c r="B13" s="279"/>
      <c r="C13" s="279"/>
      <c r="D13" s="279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55"/>
      <c r="V13" s="255"/>
      <c r="W13" s="255"/>
      <c r="X13" s="255"/>
      <c r="Y13" s="255"/>
      <c r="Z13" s="255"/>
      <c r="AA13" s="255"/>
      <c r="AB13" s="255"/>
      <c r="AC13" s="255"/>
      <c r="AD13" s="278"/>
      <c r="AE13" s="278"/>
      <c r="AG13" s="269"/>
      <c r="AQ13" s="269"/>
      <c r="AR13" s="269"/>
      <c r="AS13" s="269"/>
      <c r="AT13" s="269"/>
      <c r="AV13" s="269"/>
    </row>
    <row r="14" spans="1:55" s="273" customFormat="1" ht="15">
      <c r="A14" s="255"/>
      <c r="B14" s="255"/>
      <c r="D14" s="264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55"/>
      <c r="V14" s="255"/>
      <c r="W14" s="255"/>
      <c r="X14" s="255"/>
      <c r="Y14" s="255"/>
      <c r="Z14" s="255"/>
      <c r="AA14" s="255"/>
      <c r="AB14" s="255"/>
      <c r="AC14" s="255"/>
      <c r="AG14" s="280"/>
      <c r="AV14" s="280"/>
    </row>
    <row r="15" spans="1:55" s="281" customFormat="1" ht="17.25">
      <c r="A15" s="279"/>
      <c r="B15" s="279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55"/>
      <c r="V15" s="255"/>
      <c r="W15" s="255"/>
      <c r="X15" s="255"/>
      <c r="Y15" s="255"/>
      <c r="Z15" s="255"/>
      <c r="AA15" s="255"/>
      <c r="AB15" s="255"/>
      <c r="AC15" s="255"/>
      <c r="AD15" s="283"/>
      <c r="AE15" s="283"/>
      <c r="AG15" s="284"/>
      <c r="AV15" s="284"/>
    </row>
    <row r="16" spans="1:55" s="277" customFormat="1" ht="17.25">
      <c r="A16" s="17" t="s">
        <v>146</v>
      </c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55"/>
      <c r="V16" s="255"/>
      <c r="W16" s="255"/>
      <c r="X16" s="255"/>
      <c r="Y16" s="255"/>
      <c r="Z16" s="255"/>
      <c r="AA16" s="255"/>
      <c r="AB16" s="255"/>
      <c r="AC16" s="255"/>
      <c r="AD16" s="285"/>
      <c r="AE16" s="285"/>
    </row>
    <row r="17" spans="1:48" s="255" customFormat="1" ht="15.75">
      <c r="A17" s="273" t="s">
        <v>157</v>
      </c>
      <c r="B17" s="279"/>
      <c r="C17" s="286"/>
      <c r="D17" s="333">
        <f>-'Project Assumptions'!E33-127.5</f>
        <v>-3631.2590251748943</v>
      </c>
      <c r="E17" s="287">
        <f>E11*'Project Assumptions'!$J$40</f>
        <v>2016.600113758554</v>
      </c>
      <c r="F17" s="287">
        <f>F11*'Project Assumptions'!$J$40</f>
        <v>465.53552187077912</v>
      </c>
      <c r="G17" s="287">
        <f>G11*'Project Assumptions'!$J$40</f>
        <v>470.68756939299237</v>
      </c>
      <c r="H17" s="287">
        <f>H11*'Project Assumptions'!$J$40</f>
        <v>474.51816515428118</v>
      </c>
      <c r="I17" s="287">
        <f>I11*'Project Assumptions'!$J$40</f>
        <v>478.56751689495468</v>
      </c>
      <c r="J17" s="287">
        <f>J11*'Project Assumptions'!$J$40</f>
        <v>482.53818141098918</v>
      </c>
      <c r="K17" s="287">
        <f>K11*'Project Assumptions'!$J$40</f>
        <v>486.58798743137413</v>
      </c>
      <c r="L17" s="287">
        <f>L11*'Project Assumptions'!$J$40</f>
        <v>490.84082147427898</v>
      </c>
      <c r="M17" s="287">
        <f>M11*'Project Assumptions'!$J$40</f>
        <v>495.04010135154431</v>
      </c>
      <c r="N17" s="287">
        <f>N11*'Project Assumptions'!$J$40</f>
        <v>499.32336682635287</v>
      </c>
      <c r="O17" s="287">
        <f>O11*'Project Assumptions'!$J$40</f>
        <v>503.69229761065981</v>
      </c>
      <c r="P17" s="287">
        <f>P11*'Project Assumptions'!$J$40</f>
        <v>508.14860701065027</v>
      </c>
      <c r="Q17" s="287">
        <f>Q11*'Project Assumptions'!$J$40</f>
        <v>512.69404259864132</v>
      </c>
      <c r="R17" s="287">
        <f>R11*'Project Assumptions'!$J$40</f>
        <v>517.3303868983885</v>
      </c>
      <c r="S17" s="287">
        <f>S11*'Project Assumptions'!$J$40</f>
        <v>522.05945808413617</v>
      </c>
      <c r="T17" s="287">
        <f>T11*'Project Assumptions'!$J$40</f>
        <v>4081.2938503921387</v>
      </c>
      <c r="U17" s="287">
        <f>U11*'Project Assumptions'!Z40</f>
        <v>0</v>
      </c>
      <c r="V17" s="287">
        <f>V11*'Project Assumptions'!AA40</f>
        <v>0</v>
      </c>
      <c r="W17" s="287">
        <f>W11*'Project Assumptions'!AB40</f>
        <v>0</v>
      </c>
      <c r="X17" s="287">
        <f>X11*'Project Assumptions'!AC40</f>
        <v>0</v>
      </c>
      <c r="Y17" s="287">
        <f>Y11*'Project Assumptions'!AD40</f>
        <v>0</v>
      </c>
      <c r="Z17" s="287">
        <f>Z11*'Project Assumptions'!AE40</f>
        <v>0</v>
      </c>
      <c r="AA17" s="287">
        <f>AA11*'Project Assumptions'!AF40</f>
        <v>0</v>
      </c>
      <c r="AB17" s="287">
        <f>AB11*'Project Assumptions'!AG40</f>
        <v>0</v>
      </c>
      <c r="AC17" s="287">
        <f>AC11*'Project Assumptions'!AH40</f>
        <v>0</v>
      </c>
      <c r="AD17" s="287">
        <f>AD11*'Project Assumptions'!AI40</f>
        <v>0</v>
      </c>
      <c r="AE17" s="287">
        <f>AE11*'Project Assumptions'!AJ40</f>
        <v>0</v>
      </c>
      <c r="AF17" s="287">
        <f>AF11*'Project Assumptions'!AK40</f>
        <v>0</v>
      </c>
      <c r="AG17" s="287">
        <f>AG11*'Project Assumptions'!AL40</f>
        <v>0</v>
      </c>
      <c r="AH17" s="287">
        <f>AH11*'Project Assumptions'!AM40</f>
        <v>0</v>
      </c>
    </row>
    <row r="18" spans="1:48" s="255" customFormat="1" ht="15.75">
      <c r="A18" s="273" t="s">
        <v>154</v>
      </c>
      <c r="B18" s="279"/>
      <c r="C18" s="286"/>
      <c r="D18" s="333"/>
      <c r="E18" s="287">
        <v>52.083333333333336</v>
      </c>
      <c r="F18" s="287">
        <v>127.5</v>
      </c>
      <c r="G18" s="287">
        <v>130.05000000000001</v>
      </c>
      <c r="H18" s="287">
        <v>132.65100000000001</v>
      </c>
      <c r="I18" s="287">
        <v>135.30402000000001</v>
      </c>
      <c r="J18" s="287">
        <v>138.0101004</v>
      </c>
      <c r="K18" s="287">
        <v>140.77030240799999</v>
      </c>
      <c r="L18" s="287">
        <v>143.58570845616001</v>
      </c>
      <c r="M18" s="287">
        <v>146.45742262528321</v>
      </c>
      <c r="N18" s="287">
        <v>149.38657107778889</v>
      </c>
      <c r="O18" s="287">
        <v>152.37430249934468</v>
      </c>
      <c r="P18" s="287">
        <v>155.42178854933158</v>
      </c>
      <c r="Q18" s="287">
        <v>158.53022432031821</v>
      </c>
      <c r="R18" s="287">
        <v>161.70082880672459</v>
      </c>
      <c r="S18" s="287">
        <v>164.93484538285909</v>
      </c>
      <c r="T18" s="287">
        <v>91.126502074029645</v>
      </c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</row>
    <row r="19" spans="1:48" s="255" customFormat="1" ht="15.75">
      <c r="A19" s="273" t="s">
        <v>139</v>
      </c>
      <c r="B19" s="279"/>
      <c r="C19" s="286"/>
      <c r="D19" s="288">
        <v>0</v>
      </c>
      <c r="E19" s="287">
        <v>0</v>
      </c>
      <c r="F19" s="287">
        <v>123.28235219493723</v>
      </c>
      <c r="G19" s="287">
        <v>480.12250223041883</v>
      </c>
      <c r="H19" s="287">
        <v>458.35722587543927</v>
      </c>
      <c r="I19" s="287">
        <v>435.25635488298389</v>
      </c>
      <c r="J19" s="287">
        <v>410.73793242390133</v>
      </c>
      <c r="K19" s="287">
        <v>384.71497250700583</v>
      </c>
      <c r="L19" s="287">
        <v>357.09515137183757</v>
      </c>
      <c r="M19" s="287">
        <v>327.78047994418785</v>
      </c>
      <c r="N19" s="287">
        <v>296.66695619233252</v>
      </c>
      <c r="O19" s="287">
        <v>263.64419615060797</v>
      </c>
      <c r="P19" s="287">
        <v>228.59504230128582</v>
      </c>
      <c r="Q19" s="287">
        <v>191.39514792536747</v>
      </c>
      <c r="R19" s="287">
        <v>151.91253594766778</v>
      </c>
      <c r="S19" s="287">
        <v>110.00713071106728</v>
      </c>
      <c r="T19" s="287">
        <v>118.36555481659983</v>
      </c>
      <c r="U19" s="287">
        <v>205.76678667017947</v>
      </c>
      <c r="V19" s="287">
        <v>196.43881108947397</v>
      </c>
      <c r="W19" s="287">
        <v>186.53843780699307</v>
      </c>
      <c r="X19" s="287">
        <v>176.03054246738628</v>
      </c>
      <c r="Y19" s="287">
        <v>164.87784536014533</v>
      </c>
      <c r="Z19" s="287">
        <v>153.04077915935895</v>
      </c>
      <c r="AA19" s="287">
        <v>140.47734854750908</v>
      </c>
      <c r="AB19" s="287">
        <v>127.14298122528535</v>
      </c>
      <c r="AC19" s="287">
        <v>112.99036977883196</v>
      </c>
      <c r="AD19" s="287">
        <v>97.969303843408198</v>
      </c>
      <c r="AE19" s="287">
        <v>82.026491968014611</v>
      </c>
      <c r="AF19" s="287">
        <v>65.105372549000464</v>
      </c>
      <c r="AG19" s="287">
        <v>47.145913161885964</v>
      </c>
      <c r="AH19" s="287">
        <v>28.084397579472679</v>
      </c>
      <c r="AI19" s="287"/>
      <c r="AJ19" s="287"/>
      <c r="AK19" s="287"/>
      <c r="AL19" s="287"/>
      <c r="AM19" s="287"/>
    </row>
    <row r="20" spans="1:48" s="255" customFormat="1" ht="20.25">
      <c r="A20" s="273" t="s">
        <v>140</v>
      </c>
      <c r="B20" s="279"/>
      <c r="C20" s="286"/>
      <c r="D20" s="332">
        <v>-1209.155230203532</v>
      </c>
      <c r="E20" s="289">
        <v>0</v>
      </c>
      <c r="F20" s="289">
        <v>97.911252167434213</v>
      </c>
      <c r="G20" s="289">
        <v>53.779880627526154</v>
      </c>
      <c r="H20" s="289">
        <v>57.080005055019797</v>
      </c>
      <c r="I20" s="289">
        <v>60.582636834888717</v>
      </c>
      <c r="J20" s="289">
        <v>64.300202537302425</v>
      </c>
      <c r="K20" s="289">
        <v>68.2458912708978</v>
      </c>
      <c r="L20" s="289">
        <v>72.433701474847794</v>
      </c>
      <c r="M20" s="289">
        <v>76.878490582255722</v>
      </c>
      <c r="N20" s="289">
        <v>81.596027731073605</v>
      </c>
      <c r="O20" s="289">
        <v>86.603049709548031</v>
      </c>
      <c r="P20" s="289">
        <v>91.917320334679289</v>
      </c>
      <c r="Q20" s="289">
        <v>97.557693474350629</v>
      </c>
      <c r="R20" s="289">
        <v>103.5441799367222</v>
      </c>
      <c r="S20" s="289">
        <v>109.89801846419326</v>
      </c>
      <c r="T20" s="289">
        <v>0</v>
      </c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</row>
    <row r="21" spans="1:48" s="255" customFormat="1" ht="15.75">
      <c r="A21" s="274" t="s">
        <v>141</v>
      </c>
      <c r="B21" s="290">
        <f>NPV('Project Assumptions'!E47,'Cash Flow &amp; Returns'!D21:AH21)</f>
        <v>7849.2831339585837</v>
      </c>
      <c r="C21" s="286"/>
      <c r="D21" s="288">
        <f>D20+D19+D17</f>
        <v>-4840.4142553784259</v>
      </c>
      <c r="E21" s="287">
        <f>SUM(E17:E20)</f>
        <v>2068.6834470918875</v>
      </c>
      <c r="F21" s="287">
        <f t="shared" ref="F21:AH21" si="1">SUM(F17:F20)</f>
        <v>814.22912623315051</v>
      </c>
      <c r="G21" s="287">
        <f t="shared" si="1"/>
        <v>1134.6399522509373</v>
      </c>
      <c r="H21" s="287">
        <f t="shared" si="1"/>
        <v>1122.6063960847405</v>
      </c>
      <c r="I21" s="287">
        <f t="shared" si="1"/>
        <v>1109.7105286128274</v>
      </c>
      <c r="J21" s="287">
        <f t="shared" si="1"/>
        <v>1095.5864167721929</v>
      </c>
      <c r="K21" s="287">
        <f t="shared" si="1"/>
        <v>1080.3191536172778</v>
      </c>
      <c r="L21" s="287">
        <f t="shared" si="1"/>
        <v>1063.9553827771242</v>
      </c>
      <c r="M21" s="287">
        <f t="shared" si="1"/>
        <v>1046.156494503271</v>
      </c>
      <c r="N21" s="287">
        <f t="shared" si="1"/>
        <v>1026.9729218275479</v>
      </c>
      <c r="O21" s="287">
        <f t="shared" si="1"/>
        <v>1006.3138459701605</v>
      </c>
      <c r="P21" s="287">
        <f t="shared" si="1"/>
        <v>984.08275819594701</v>
      </c>
      <c r="Q21" s="287">
        <f t="shared" si="1"/>
        <v>960.17710831867771</v>
      </c>
      <c r="R21" s="287">
        <f t="shared" si="1"/>
        <v>934.48793158950298</v>
      </c>
      <c r="S21" s="287">
        <f t="shared" si="1"/>
        <v>906.89945264225571</v>
      </c>
      <c r="T21" s="287">
        <f t="shared" si="1"/>
        <v>4290.7859072827678</v>
      </c>
      <c r="U21" s="287">
        <f t="shared" si="1"/>
        <v>205.76678667017947</v>
      </c>
      <c r="V21" s="287">
        <f t="shared" si="1"/>
        <v>196.43881108947397</v>
      </c>
      <c r="W21" s="287">
        <f t="shared" si="1"/>
        <v>186.53843780699307</v>
      </c>
      <c r="X21" s="287">
        <f t="shared" si="1"/>
        <v>176.03054246738628</v>
      </c>
      <c r="Y21" s="287">
        <f t="shared" si="1"/>
        <v>164.87784536014533</v>
      </c>
      <c r="Z21" s="287">
        <f t="shared" si="1"/>
        <v>153.04077915935895</v>
      </c>
      <c r="AA21" s="287">
        <f t="shared" si="1"/>
        <v>140.47734854750908</v>
      </c>
      <c r="AB21" s="287">
        <f t="shared" si="1"/>
        <v>127.14298122528535</v>
      </c>
      <c r="AC21" s="287">
        <f t="shared" si="1"/>
        <v>112.99036977883196</v>
      </c>
      <c r="AD21" s="287">
        <f t="shared" si="1"/>
        <v>97.969303843408198</v>
      </c>
      <c r="AE21" s="287">
        <f t="shared" si="1"/>
        <v>82.026491968014611</v>
      </c>
      <c r="AF21" s="287">
        <f t="shared" si="1"/>
        <v>65.105372549000464</v>
      </c>
      <c r="AG21" s="287">
        <f t="shared" si="1"/>
        <v>47.145913161885964</v>
      </c>
      <c r="AH21" s="287">
        <f t="shared" si="1"/>
        <v>28.084397579472679</v>
      </c>
    </row>
    <row r="22" spans="1:48" ht="12.6" customHeight="1">
      <c r="A22" s="52"/>
      <c r="B22" s="52"/>
      <c r="C22" s="112"/>
      <c r="D22" s="126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</row>
    <row r="23" spans="1:48" s="13" customFormat="1" ht="12.6" customHeight="1">
      <c r="A23" s="52"/>
      <c r="B23" s="52"/>
      <c r="C23" s="90"/>
      <c r="D23" s="94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/>
      <c r="V23"/>
      <c r="W23"/>
      <c r="X23"/>
      <c r="Y23"/>
      <c r="Z23"/>
      <c r="AA23"/>
      <c r="AB23"/>
      <c r="AC23"/>
      <c r="AG23" s="14"/>
      <c r="AV23" s="14"/>
    </row>
    <row r="24" spans="1:48" s="90" customFormat="1" ht="12.6" customHeight="1">
      <c r="A24" s="52"/>
      <c r="B24" s="52"/>
      <c r="D24" s="94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/>
      <c r="V24"/>
      <c r="W24"/>
      <c r="X24"/>
      <c r="Y24"/>
      <c r="Z24"/>
      <c r="AA24"/>
      <c r="AB24"/>
      <c r="AC24"/>
      <c r="AG24" s="91"/>
      <c r="AV24" s="91"/>
    </row>
    <row r="25" spans="1:48" s="13" customFormat="1" ht="12.6" customHeight="1">
      <c r="A25" s="52"/>
      <c r="B25" s="52"/>
      <c r="C25" s="90"/>
      <c r="D25" s="94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/>
      <c r="V25"/>
      <c r="W25"/>
      <c r="X25"/>
      <c r="Y25"/>
      <c r="Z25"/>
      <c r="AA25"/>
      <c r="AB25"/>
      <c r="AC25"/>
      <c r="AG25" s="14"/>
      <c r="AV25" s="14"/>
    </row>
    <row r="26" spans="1:48" s="13" customFormat="1" ht="12.6" customHeight="1">
      <c r="A26" s="52"/>
      <c r="B26" s="52"/>
      <c r="D26" s="96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/>
      <c r="V26"/>
      <c r="W26"/>
      <c r="X26"/>
      <c r="Y26"/>
      <c r="Z26"/>
      <c r="AA26"/>
      <c r="AB26"/>
      <c r="AC26"/>
      <c r="AG26" s="14"/>
      <c r="AV26" s="14"/>
    </row>
    <row r="27" spans="1:48" s="13" customFormat="1" ht="12.6" customHeight="1">
      <c r="A27" s="52"/>
      <c r="B27" s="52"/>
      <c r="C27" s="90"/>
      <c r="D27" s="94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/>
      <c r="V27"/>
      <c r="W27"/>
      <c r="X27"/>
      <c r="Y27"/>
      <c r="Z27"/>
      <c r="AA27"/>
      <c r="AB27"/>
      <c r="AC27"/>
      <c r="AG27" s="14"/>
      <c r="AV27" s="14"/>
    </row>
    <row r="28" spans="1:48" s="13" customFormat="1" ht="12.6" customHeight="1">
      <c r="A28" s="93"/>
      <c r="B28" s="93"/>
      <c r="C28" s="90"/>
      <c r="D28" s="94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/>
      <c r="V28"/>
      <c r="W28"/>
      <c r="X28"/>
      <c r="Y28"/>
      <c r="Z28"/>
      <c r="AA28"/>
      <c r="AB28"/>
      <c r="AC28"/>
      <c r="AG28" s="14"/>
      <c r="AV28" s="14"/>
    </row>
    <row r="29" spans="1:48" s="13" customFormat="1" ht="12.6" customHeight="1">
      <c r="A29" s="52"/>
      <c r="B29" s="52"/>
      <c r="C29" s="90"/>
      <c r="D29" s="94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/>
      <c r="V29"/>
      <c r="W29"/>
      <c r="X29"/>
      <c r="Y29"/>
      <c r="Z29"/>
      <c r="AA29"/>
      <c r="AB29"/>
      <c r="AC29"/>
      <c r="AG29" s="14"/>
      <c r="AV29" s="14"/>
    </row>
    <row r="30" spans="1:48" s="13" customFormat="1" ht="12.6" customHeight="1">
      <c r="A30" s="85"/>
      <c r="B30" s="85"/>
      <c r="D30" s="86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/>
      <c r="V30"/>
      <c r="W30"/>
      <c r="X30"/>
      <c r="Y30"/>
      <c r="Z30"/>
      <c r="AA30"/>
      <c r="AB30"/>
      <c r="AC30"/>
      <c r="AG30" s="14"/>
      <c r="AV30" s="14"/>
    </row>
    <row r="31" spans="1:48" s="13" customFormat="1" ht="14.25" customHeight="1">
      <c r="D31" s="1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/>
      <c r="V31"/>
      <c r="W31"/>
      <c r="X31"/>
      <c r="Y31"/>
      <c r="Z31"/>
      <c r="AA31"/>
      <c r="AB31"/>
      <c r="AC31"/>
      <c r="AG31" s="14"/>
      <c r="AV31" s="14"/>
    </row>
    <row r="32" spans="1:48" customFormat="1" ht="12.6" customHeight="1"/>
    <row r="33" customFormat="1" ht="12.6" customHeight="1"/>
    <row r="34" customFormat="1" ht="12.6" customHeight="1"/>
    <row r="35" customFormat="1" ht="12.6" customHeight="1"/>
    <row r="36" customFormat="1" ht="12.6" customHeight="1"/>
    <row r="37" customFormat="1" ht="12.6" customHeight="1"/>
    <row r="38" customFormat="1" ht="12.6" customHeight="1"/>
    <row r="39" customFormat="1" ht="12.6" customHeight="1"/>
    <row r="40" customFormat="1" ht="12.6" customHeight="1"/>
    <row r="41" customFormat="1" ht="12.6" customHeight="1"/>
    <row r="42" customFormat="1" ht="12.6" customHeight="1"/>
    <row r="43" customFormat="1" ht="12.6" customHeight="1"/>
    <row r="44" customFormat="1" ht="12.6" customHeight="1"/>
    <row r="45" customFormat="1" ht="12.6" customHeight="1"/>
    <row r="46" customFormat="1" ht="12.6" customHeight="1"/>
    <row r="50" customFormat="1" ht="12.6" customHeight="1"/>
    <row r="51" customFormat="1" ht="12.6" customHeight="1"/>
    <row r="52" customFormat="1" ht="12.6" customHeight="1"/>
    <row r="53" customFormat="1" ht="12.6" customHeight="1"/>
    <row r="54" customFormat="1" ht="12.6" customHeight="1"/>
    <row r="55" customFormat="1" ht="12.6" customHeight="1"/>
    <row r="56" customFormat="1" ht="12.6" customHeight="1"/>
    <row r="57" customFormat="1" ht="12.6" customHeight="1"/>
    <row r="58" customFormat="1" ht="12.6" customHeight="1"/>
    <row r="59" customFormat="1" ht="12.6" customHeight="1"/>
    <row r="60" customFormat="1" ht="12.6" customHeight="1"/>
    <row r="61" customFormat="1" ht="12.6" customHeight="1"/>
    <row r="62" customFormat="1" ht="12.6" customHeight="1"/>
    <row r="63" customFormat="1" ht="12.6" customHeight="1"/>
    <row r="64" customFormat="1" ht="12.6" customHeight="1"/>
    <row r="65" customFormat="1" ht="12.6" customHeight="1"/>
    <row r="66" customFormat="1" ht="12.6" customHeight="1"/>
    <row r="67" customFormat="1" ht="12.6" customHeight="1"/>
    <row r="68" customFormat="1" ht="12.6" customHeight="1"/>
    <row r="69" customFormat="1" ht="12.6" customHeight="1"/>
    <row r="70" customFormat="1" ht="12.6" customHeight="1"/>
    <row r="71" customFormat="1" ht="12.6" customHeight="1"/>
    <row r="72" customFormat="1" ht="12.6" customHeight="1"/>
    <row r="73" customFormat="1" ht="12.6" customHeight="1"/>
    <row r="74" customFormat="1" ht="30" customHeight="1"/>
    <row r="75" customFormat="1" ht="12.6" customHeight="1"/>
    <row r="76" customFormat="1" ht="12.6" customHeight="1"/>
    <row r="77" customFormat="1" ht="12.6" customHeight="1"/>
    <row r="78" customFormat="1" ht="12.6" customHeight="1"/>
    <row r="79" customFormat="1" ht="12.6" customHeight="1"/>
    <row r="80" customFormat="1" ht="12.6" customHeight="1"/>
    <row r="81" customFormat="1" ht="12.6" customHeight="1"/>
    <row r="82" customFormat="1" ht="12.6" customHeight="1"/>
    <row r="83" customFormat="1" ht="12.6" customHeight="1"/>
    <row r="84" customFormat="1" ht="12.6" customHeight="1"/>
    <row r="85" customFormat="1" ht="12.6" customHeight="1"/>
    <row r="86" customFormat="1" ht="12.6" customHeight="1"/>
    <row r="87" customFormat="1" ht="12.6" customHeight="1"/>
    <row r="88" customFormat="1" ht="12.6" customHeight="1"/>
    <row r="89" customFormat="1" ht="12.6" customHeight="1"/>
    <row r="90" customFormat="1" ht="12.6" customHeight="1"/>
    <row r="91" customFormat="1" ht="12.6" customHeight="1"/>
  </sheetData>
  <customSheetViews>
    <customSheetView guid="{9D7575BF-255B-11D2-8267-00A0D1027254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28" man="1"/>
      </colBreaks>
      <pageMargins left="0.41" right="0.38" top="1" bottom="1" header="0.5" footer="0.5"/>
      <pageSetup scale="80" pageOrder="overThenDown" orientation="landscape" r:id="rId2"/>
      <headerFooter alignWithMargins="0">
        <oddFooter>&amp;L&amp;D   &amp;T&amp;RO:\Naes\GenSvcs\Tva\Tva Models\&amp;F
&amp;A   &amp;P</oddFooter>
      </headerFooter>
    </customSheetView>
    <customSheetView guid="{14FB3146-3CEF-11D2-B9CE-0060080D6A65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3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25" right="0.25" top="0.75" bottom="0.75" header="0.5" footer="0.5"/>
  <pageSetup scale="35" orientation="landscape" r:id="rId4"/>
  <headerFooter alignWithMargins="0">
    <oddFooter>&amp;L&amp;D   &amp;T&amp;R&amp;A &amp;P</oddFooter>
  </headerFooter>
  <colBreaks count="1" manualBreakCount="1">
    <brk id="18" max="2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210"/>
  <sheetViews>
    <sheetView zoomScale="75" zoomScaleNormal="75" workbookViewId="0">
      <selection activeCell="E17" sqref="E17"/>
    </sheetView>
  </sheetViews>
  <sheetFormatPr defaultColWidth="8.85546875" defaultRowHeight="12.75"/>
  <cols>
    <col min="1" max="1" width="36.28515625" style="59" bestFit="1" customWidth="1"/>
    <col min="2" max="2" width="12.5703125" style="59" bestFit="1" customWidth="1"/>
    <col min="3" max="3" width="11.7109375" style="59" bestFit="1" customWidth="1"/>
    <col min="4" max="33" width="12.7109375" style="59" customWidth="1"/>
    <col min="34" max="16384" width="8.85546875" style="59"/>
  </cols>
  <sheetData>
    <row r="1" spans="1:52" ht="26.25">
      <c r="A1" s="127" t="s">
        <v>74</v>
      </c>
    </row>
    <row r="2" spans="1:52" ht="15.6" customHeight="1">
      <c r="A2" s="128" t="s">
        <v>34</v>
      </c>
      <c r="D2" s="63"/>
    </row>
    <row r="3" spans="1:52" ht="12.6" customHeight="1">
      <c r="A3" s="7"/>
      <c r="D3" s="63"/>
    </row>
    <row r="4" spans="1:52" s="255" customFormat="1" ht="15">
      <c r="C4" s="256"/>
      <c r="D4" s="256">
        <v>1</v>
      </c>
      <c r="E4" s="256">
        <v>2</v>
      </c>
      <c r="F4" s="256">
        <v>3</v>
      </c>
      <c r="G4" s="256">
        <v>4</v>
      </c>
      <c r="H4" s="256">
        <v>5</v>
      </c>
      <c r="I4" s="256">
        <v>6</v>
      </c>
      <c r="J4" s="256">
        <v>7</v>
      </c>
      <c r="K4" s="256">
        <v>8</v>
      </c>
      <c r="L4" s="256">
        <v>9</v>
      </c>
      <c r="M4" s="256">
        <v>10</v>
      </c>
      <c r="N4" s="256">
        <v>11</v>
      </c>
      <c r="O4" s="256">
        <v>12</v>
      </c>
      <c r="P4" s="256">
        <v>13</v>
      </c>
      <c r="Q4" s="256">
        <v>14</v>
      </c>
      <c r="R4" s="256">
        <v>15</v>
      </c>
      <c r="S4" s="256">
        <v>16</v>
      </c>
      <c r="T4" s="256">
        <v>17</v>
      </c>
      <c r="U4" s="256">
        <v>18</v>
      </c>
      <c r="V4" s="256">
        <v>19</v>
      </c>
      <c r="W4" s="256">
        <v>20</v>
      </c>
      <c r="X4" s="256">
        <v>21</v>
      </c>
      <c r="Y4" s="256">
        <v>22</v>
      </c>
      <c r="Z4" s="256">
        <v>23</v>
      </c>
      <c r="AA4" s="256">
        <v>24</v>
      </c>
      <c r="AB4" s="256">
        <v>25</v>
      </c>
      <c r="AC4" s="256">
        <v>26</v>
      </c>
      <c r="AD4" s="256">
        <v>27</v>
      </c>
      <c r="AE4" s="256">
        <v>28</v>
      </c>
      <c r="AF4" s="256">
        <v>29</v>
      </c>
      <c r="AG4" s="256">
        <v>30</v>
      </c>
    </row>
    <row r="5" spans="1:52" s="256" customFormat="1" ht="15.75">
      <c r="A5" s="129"/>
      <c r="B5" s="129"/>
      <c r="C5" s="258"/>
      <c r="D5" s="258">
        <v>2000</v>
      </c>
      <c r="E5" s="258">
        <v>2001</v>
      </c>
      <c r="F5" s="258">
        <v>2002</v>
      </c>
      <c r="G5" s="258">
        <v>2003</v>
      </c>
      <c r="H5" s="258">
        <v>2004</v>
      </c>
      <c r="I5" s="258">
        <v>2005</v>
      </c>
      <c r="J5" s="258">
        <v>2006</v>
      </c>
      <c r="K5" s="258">
        <v>2007</v>
      </c>
      <c r="L5" s="258">
        <v>2008</v>
      </c>
      <c r="M5" s="258">
        <v>2009</v>
      </c>
      <c r="N5" s="258">
        <v>2010</v>
      </c>
      <c r="O5" s="258">
        <v>2011</v>
      </c>
      <c r="P5" s="258">
        <v>2012</v>
      </c>
      <c r="Q5" s="258">
        <v>2013</v>
      </c>
      <c r="R5" s="258">
        <v>2014</v>
      </c>
      <c r="S5" s="258">
        <v>2015</v>
      </c>
      <c r="T5" s="258">
        <v>2016</v>
      </c>
      <c r="U5" s="258">
        <v>2017</v>
      </c>
      <c r="V5" s="258">
        <v>2018</v>
      </c>
      <c r="W5" s="258">
        <v>2019</v>
      </c>
      <c r="X5" s="258">
        <v>2020</v>
      </c>
      <c r="Y5" s="258">
        <v>2021</v>
      </c>
      <c r="Z5" s="258">
        <v>2022</v>
      </c>
      <c r="AA5" s="258">
        <v>2023</v>
      </c>
      <c r="AB5" s="258">
        <v>2024</v>
      </c>
      <c r="AC5" s="258">
        <v>2025</v>
      </c>
      <c r="AD5" s="258">
        <v>2026</v>
      </c>
      <c r="AE5" s="258">
        <v>2027</v>
      </c>
      <c r="AF5" s="258">
        <v>2028</v>
      </c>
      <c r="AG5" s="258">
        <v>2029</v>
      </c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</row>
    <row r="6" spans="1:52" s="316" customFormat="1" ht="15.75">
      <c r="A6" s="315" t="s">
        <v>35</v>
      </c>
      <c r="D6" s="260">
        <v>6.55</v>
      </c>
      <c r="E6" s="261">
        <v>12</v>
      </c>
      <c r="F6" s="261">
        <v>12</v>
      </c>
      <c r="G6" s="261">
        <v>12</v>
      </c>
      <c r="H6" s="261">
        <v>12</v>
      </c>
      <c r="I6" s="261">
        <v>12</v>
      </c>
      <c r="J6" s="261">
        <v>12</v>
      </c>
      <c r="K6" s="261">
        <v>12</v>
      </c>
      <c r="L6" s="261">
        <v>12</v>
      </c>
      <c r="M6" s="261">
        <v>12</v>
      </c>
      <c r="N6" s="261">
        <v>12</v>
      </c>
      <c r="O6" s="261">
        <v>12</v>
      </c>
      <c r="P6" s="261">
        <v>12</v>
      </c>
      <c r="Q6" s="261">
        <v>12</v>
      </c>
      <c r="R6" s="261">
        <v>12</v>
      </c>
      <c r="S6" s="261">
        <v>8</v>
      </c>
    </row>
    <row r="7" spans="1:52" s="316" customFormat="1" ht="15">
      <c r="A7" s="316" t="s">
        <v>22</v>
      </c>
      <c r="D7" s="317">
        <v>117411.76399517831</v>
      </c>
      <c r="E7" s="317">
        <v>116191.45334700555</v>
      </c>
      <c r="F7" s="317">
        <v>111124.39780360978</v>
      </c>
      <c r="G7" s="317">
        <v>105746.40974085717</v>
      </c>
      <c r="H7" s="317">
        <v>100038.40923535518</v>
      </c>
      <c r="I7" s="317">
        <v>93980.145551866313</v>
      </c>
      <c r="J7" s="317">
        <v>87550.125298136074</v>
      </c>
      <c r="K7" s="317">
        <v>80725.536171046289</v>
      </c>
      <c r="L7" s="317">
        <v>73482.166023561513</v>
      </c>
      <c r="M7" s="317">
        <v>65794.316965335936</v>
      </c>
      <c r="N7" s="317">
        <v>57634.714192228581</v>
      </c>
      <c r="O7" s="317">
        <v>48974.409221273774</v>
      </c>
      <c r="P7" s="317">
        <v>39782.67718780585</v>
      </c>
      <c r="Q7" s="317">
        <v>30026.907840370783</v>
      </c>
      <c r="R7" s="317">
        <v>19672.489846698565</v>
      </c>
      <c r="S7" s="317">
        <v>8682.6880002792386</v>
      </c>
    </row>
    <row r="8" spans="1:52" s="316" customFormat="1" ht="15">
      <c r="A8" s="316" t="s">
        <v>23</v>
      </c>
      <c r="D8" s="317">
        <v>1761.1764599276746</v>
      </c>
      <c r="E8" s="317">
        <v>6858.8928890059824</v>
      </c>
      <c r="F8" s="317">
        <v>6547.9603696491322</v>
      </c>
      <c r="G8" s="317">
        <v>6217.9479268997693</v>
      </c>
      <c r="H8" s="317">
        <v>5867.6847489128759</v>
      </c>
      <c r="I8" s="317">
        <v>5495.928178671511</v>
      </c>
      <c r="J8" s="317">
        <v>5101.3593053119648</v>
      </c>
      <c r="K8" s="317">
        <v>4682.5782849169691</v>
      </c>
      <c r="L8" s="317">
        <v>4238.0993741761786</v>
      </c>
      <c r="M8" s="317">
        <v>3766.345659294399</v>
      </c>
      <c r="N8" s="317">
        <v>3265.6434614469399</v>
      </c>
      <c r="O8" s="317">
        <v>2734.2163989338205</v>
      </c>
      <c r="P8" s="317">
        <v>2170.1790849666822</v>
      </c>
      <c r="Q8" s="317">
        <v>1571.5304387295323</v>
      </c>
      <c r="R8" s="317">
        <v>936.14658598242261</v>
      </c>
      <c r="S8" s="317">
        <v>261.77332402095954</v>
      </c>
    </row>
    <row r="9" spans="1:52" s="316" customFormat="1" ht="15">
      <c r="A9" s="316" t="s">
        <v>24</v>
      </c>
      <c r="C9" s="318"/>
      <c r="D9" s="317">
        <v>1220.310648172763</v>
      </c>
      <c r="E9" s="317">
        <v>5067.0555433957679</v>
      </c>
      <c r="F9" s="317">
        <v>5377.9880627526181</v>
      </c>
      <c r="G9" s="317">
        <v>5708.0005055019819</v>
      </c>
      <c r="H9" s="317">
        <v>6058.2636834888744</v>
      </c>
      <c r="I9" s="317">
        <v>6430.0202537302403</v>
      </c>
      <c r="J9" s="317">
        <v>6824.5891270897855</v>
      </c>
      <c r="K9" s="317">
        <v>7243.3701474847812</v>
      </c>
      <c r="L9" s="317">
        <v>7687.8490582255718</v>
      </c>
      <c r="M9" s="317">
        <v>8159.6027731073518</v>
      </c>
      <c r="N9" s="317">
        <v>8660.3049709548104</v>
      </c>
      <c r="O9" s="317">
        <v>9191.732033467928</v>
      </c>
      <c r="P9" s="317">
        <v>9755.7693474350672</v>
      </c>
      <c r="Q9" s="317">
        <v>10354.417993672218</v>
      </c>
      <c r="R9" s="317">
        <v>10989.801846419326</v>
      </c>
      <c r="S9" s="317">
        <v>8682.6880002803537</v>
      </c>
    </row>
    <row r="10" spans="1:52" s="316" customFormat="1" ht="15">
      <c r="A10" s="316" t="s">
        <v>25</v>
      </c>
      <c r="B10" s="319"/>
      <c r="C10" s="320"/>
      <c r="D10" s="317">
        <v>2981.4871081004376</v>
      </c>
      <c r="E10" s="317">
        <v>11925.94843240175</v>
      </c>
      <c r="F10" s="317">
        <v>11925.94843240175</v>
      </c>
      <c r="G10" s="317">
        <v>11925.94843240175</v>
      </c>
      <c r="H10" s="317">
        <v>11925.94843240175</v>
      </c>
      <c r="I10" s="317">
        <v>11925.94843240175</v>
      </c>
      <c r="J10" s="317">
        <v>11925.94843240175</v>
      </c>
      <c r="K10" s="317">
        <v>11925.94843240175</v>
      </c>
      <c r="L10" s="317">
        <v>11925.94843240175</v>
      </c>
      <c r="M10" s="317">
        <v>11925.94843240175</v>
      </c>
      <c r="N10" s="317">
        <v>11925.94843240175</v>
      </c>
      <c r="O10" s="317">
        <v>11925.94843240175</v>
      </c>
      <c r="P10" s="317">
        <v>11925.94843240175</v>
      </c>
      <c r="Q10" s="317">
        <v>11925.94843240175</v>
      </c>
      <c r="R10" s="317">
        <v>11925.94843240175</v>
      </c>
      <c r="S10" s="317">
        <v>8944.4613243013118</v>
      </c>
    </row>
    <row r="11" spans="1:52" s="316" customFormat="1" ht="15">
      <c r="A11" s="316" t="s">
        <v>26</v>
      </c>
      <c r="B11" s="321"/>
      <c r="D11" s="317">
        <v>116191.45334700555</v>
      </c>
      <c r="E11" s="317">
        <v>111124.39780360978</v>
      </c>
      <c r="F11" s="317">
        <v>105746.40974085717</v>
      </c>
      <c r="G11" s="317">
        <v>100038.40923535518</v>
      </c>
      <c r="H11" s="317">
        <v>93980.145551866313</v>
      </c>
      <c r="I11" s="317">
        <v>87550.125298136074</v>
      </c>
      <c r="J11" s="317">
        <v>80725.536171046289</v>
      </c>
      <c r="K11" s="317">
        <v>73482.166023561513</v>
      </c>
      <c r="L11" s="317">
        <v>65794.316965335936</v>
      </c>
      <c r="M11" s="317">
        <v>57634.714192228581</v>
      </c>
      <c r="N11" s="317">
        <v>48974.409221273774</v>
      </c>
      <c r="O11" s="317">
        <v>39782.67718780585</v>
      </c>
      <c r="P11" s="317">
        <v>30026.907840370783</v>
      </c>
      <c r="Q11" s="317">
        <v>19672.489846698565</v>
      </c>
      <c r="R11" s="317">
        <v>8682.6880002792386</v>
      </c>
      <c r="S11" s="317">
        <v>-1.11504050437361E-9</v>
      </c>
    </row>
    <row r="12" spans="1:52" s="316" customFormat="1" ht="15">
      <c r="A12" s="316" t="s">
        <v>36</v>
      </c>
      <c r="B12" s="321"/>
      <c r="D12" s="322">
        <v>9.5966575747404157</v>
      </c>
      <c r="E12" s="317"/>
      <c r="F12" s="317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317"/>
      <c r="S12" s="317"/>
    </row>
    <row r="13" spans="1:52" s="316" customFormat="1" ht="15">
      <c r="B13" s="306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</row>
    <row r="14" spans="1:52" s="316" customFormat="1" ht="15">
      <c r="A14" s="316" t="s">
        <v>57</v>
      </c>
      <c r="B14" s="306"/>
      <c r="D14" s="323">
        <f>('Cash Flow &amp; Returns'!E11+'Cash Flow &amp; Returns'!E10+'Cash Flow &amp; Returns'!E9)/'Debt Amortization'!D10</f>
        <v>2.352747833978305</v>
      </c>
      <c r="E14" s="323">
        <f>('Cash Flow &amp; Returns'!F11+'Cash Flow &amp; Returns'!F10+'Cash Flow &amp; Returns'!F9)/'Debt Amortization'!E10</f>
        <v>1.0780710271404428</v>
      </c>
      <c r="F14" s="323">
        <f>('Cash Flow &amp; Returns'!G11+'Cash Flow &amp; Returns'!G10+'Cash Flow &amp; Returns'!G9)/'Debt Amortization'!F10</f>
        <v>1.0789350334794632</v>
      </c>
      <c r="G14" s="323">
        <f>('Cash Flow &amp; Returns'!H11+'Cash Flow &amp; Returns'!H10+'Cash Flow &amp; Returns'!H9)/'Debt Amortization'!G10</f>
        <v>1.0795774303140633</v>
      </c>
      <c r="H14" s="323">
        <f>('Cash Flow &amp; Returns'!I11+'Cash Flow &amp; Returns'!I10+'Cash Flow &amp; Returns'!I9)/'Debt Amortization'!H10</f>
        <v>1.080256512864793</v>
      </c>
      <c r="I14" s="323">
        <f>('Cash Flow &amp; Returns'!J11+'Cash Flow &amp; Returns'!J10+'Cash Flow &amp; Returns'!J9)/'Debt Amortization'!I10</f>
        <v>1.080922399446232</v>
      </c>
      <c r="J14" s="323">
        <f>('Cash Flow &amp; Returns'!K11+'Cash Flow &amp; Returns'!K10+'Cash Flow &amp; Returns'!K9)/'Debt Amortization'!J10</f>
        <v>1.081601558180372</v>
      </c>
      <c r="K14" s="323">
        <f>('Cash Flow &amp; Returns'!L11+'Cash Flow &amp; Returns'!L10+'Cash Flow &amp; Returns'!L9)/'Debt Amortization'!K10</f>
        <v>1.0823147650279468</v>
      </c>
      <c r="L14" s="323">
        <f>('Cash Flow &amp; Returns'!M11+'Cash Flow &amp; Returns'!M10+'Cash Flow &amp; Returns'!M9)/'Debt Amortization'!L10</f>
        <v>1.0830189907591019</v>
      </c>
      <c r="M14" s="323">
        <f>('Cash Flow &amp; Returns'!N11+'Cash Flow &amp; Returns'!N10+'Cash Flow &amp; Returns'!N9)/'Debt Amortization'!M10</f>
        <v>1.0837373010048803</v>
      </c>
      <c r="N14" s="323">
        <f>('Cash Flow &amp; Returns'!O11+'Cash Flow &amp; Returns'!O10+'Cash Flow &amp; Returns'!O9)/'Debt Amortization'!N10</f>
        <v>1.0844699774555744</v>
      </c>
      <c r="O14" s="323">
        <f>('Cash Flow &amp; Returns'!P11+'Cash Flow &amp; Returns'!P10+'Cash Flow &amp; Returns'!P9)/'Debt Amortization'!O10</f>
        <v>1.085217307435282</v>
      </c>
      <c r="P14" s="323">
        <f>('Cash Flow &amp; Returns'!Q11+'Cash Flow &amp; Returns'!Q10+'Cash Flow &amp; Returns'!Q9)/'Debt Amortization'!P10</f>
        <v>1.0859795840145841</v>
      </c>
      <c r="Q14" s="323">
        <f>('Cash Flow &amp; Returns'!R11+'Cash Flow &amp; Returns'!R10+'Cash Flow &amp; Returns'!R9)/'Debt Amortization'!Q10</f>
        <v>1.0867571061254713</v>
      </c>
      <c r="R14" s="323">
        <f>('Cash Flow &amp; Returns'!S11+'Cash Flow &amp; Returns'!S10+'Cash Flow &amp; Returns'!S9)/'Debt Amortization'!R10</f>
        <v>1.0875501786785771</v>
      </c>
      <c r="S14" s="323">
        <f>('Cash Flow &amp; Returns'!T11+'Cash Flow &amp; Returns'!T10+'Cash Flow &amp; Returns'!T9)/'Debt Amortization'!S10</f>
        <v>1.9125857225864735</v>
      </c>
    </row>
    <row r="15" spans="1:52" s="255" customFormat="1" ht="15">
      <c r="B15" s="324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6"/>
      <c r="U15" s="326"/>
      <c r="V15" s="326"/>
      <c r="W15" s="326"/>
      <c r="X15" s="326"/>
      <c r="Y15" s="326"/>
      <c r="Z15" s="326"/>
      <c r="AA15" s="326"/>
      <c r="AB15" s="326"/>
    </row>
    <row r="16" spans="1:52" s="316" customFormat="1" ht="15.75">
      <c r="A16" s="327" t="s">
        <v>61</v>
      </c>
      <c r="B16" s="317"/>
      <c r="C16" s="306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</row>
    <row r="17" spans="1:44" s="255" customFormat="1" ht="15">
      <c r="A17" s="316" t="s">
        <v>59</v>
      </c>
      <c r="B17" s="328">
        <v>6077.4148326240793</v>
      </c>
      <c r="C17" s="329"/>
      <c r="D17" s="326"/>
      <c r="E17" s="317">
        <v>241.21658261212994</v>
      </c>
      <c r="F17" s="317">
        <v>467.07047770038338</v>
      </c>
      <c r="G17" s="317">
        <v>445.54990278696516</v>
      </c>
      <c r="H17" s="317">
        <v>422.71872486131974</v>
      </c>
      <c r="I17" s="317">
        <v>398.49712820000252</v>
      </c>
      <c r="J17" s="317">
        <v>372.80043630201112</v>
      </c>
      <c r="K17" s="317">
        <v>345.53881586743205</v>
      </c>
      <c r="L17" s="317">
        <v>316.6169627483871</v>
      </c>
      <c r="M17" s="317">
        <v>285.93376877439232</v>
      </c>
      <c r="N17" s="317">
        <v>253.38196828738134</v>
      </c>
      <c r="O17" s="317">
        <v>218.8477631507113</v>
      </c>
      <c r="P17" s="317">
        <v>182.21042492121805</v>
      </c>
      <c r="Q17" s="317">
        <v>143.3418727935487</v>
      </c>
      <c r="R17" s="317">
        <v>102.10622584130422</v>
      </c>
      <c r="S17" s="317">
        <v>161.73786339486657</v>
      </c>
      <c r="T17" s="317">
        <v>200.17306187159284</v>
      </c>
      <c r="U17" s="317">
        <v>190.94995833727074</v>
      </c>
      <c r="V17" s="317">
        <v>181.16516779770845</v>
      </c>
      <c r="W17" s="317">
        <v>170.78448351428679</v>
      </c>
      <c r="X17" s="317">
        <v>159.77161555800475</v>
      </c>
      <c r="Y17" s="317">
        <v>148.08806394318515</v>
      </c>
      <c r="Z17" s="317">
        <v>135.69298403502304</v>
      </c>
      <c r="AA17" s="317">
        <v>122.54304376045384</v>
      </c>
      <c r="AB17" s="317">
        <v>108.59227212316341</v>
      </c>
      <c r="AC17" s="317">
        <v>93.791898493161966</v>
      </c>
      <c r="AD17" s="317">
        <v>78.090182109093448</v>
      </c>
      <c r="AE17" s="317">
        <v>61.432231197235154</v>
      </c>
      <c r="AF17" s="317">
        <v>43.759811074844656</v>
      </c>
      <c r="AG17" s="317">
        <v>25.011140567000581</v>
      </c>
    </row>
    <row r="18" spans="1:44" s="255" customFormat="1" ht="15">
      <c r="A18" s="255" t="s">
        <v>60</v>
      </c>
      <c r="B18" s="324"/>
      <c r="D18" s="326"/>
      <c r="E18" s="306">
        <v>7.0000000000000007E-2</v>
      </c>
      <c r="F18" s="306">
        <v>7.0000000000000007E-2</v>
      </c>
      <c r="G18" s="306">
        <v>7.0000000000000007E-2</v>
      </c>
      <c r="H18" s="306">
        <v>7.0000000000000007E-2</v>
      </c>
      <c r="I18" s="306">
        <v>7.0000000000000007E-2</v>
      </c>
      <c r="J18" s="306">
        <v>7.0000000000000007E-2</v>
      </c>
      <c r="K18" s="306">
        <v>7.0000000000000007E-2</v>
      </c>
      <c r="L18" s="306">
        <v>7.0000000000000007E-2</v>
      </c>
      <c r="M18" s="306">
        <v>7.0000000000000007E-2</v>
      </c>
      <c r="N18" s="306">
        <v>7.0000000000000007E-2</v>
      </c>
      <c r="O18" s="306">
        <v>7.0000000000000007E-2</v>
      </c>
      <c r="P18" s="306">
        <v>7.0000000000000007E-2</v>
      </c>
      <c r="Q18" s="306">
        <v>7.0000000000000007E-2</v>
      </c>
      <c r="R18" s="306">
        <v>7.0000000000000007E-2</v>
      </c>
      <c r="S18" s="306"/>
      <c r="T18" s="306">
        <v>0.03</v>
      </c>
      <c r="U18" s="306">
        <v>0.03</v>
      </c>
      <c r="V18" s="306">
        <v>0.03</v>
      </c>
      <c r="W18" s="306">
        <v>0.03</v>
      </c>
      <c r="X18" s="306">
        <v>0.03</v>
      </c>
      <c r="Y18" s="306">
        <v>0.03</v>
      </c>
      <c r="Z18" s="306">
        <v>0.03</v>
      </c>
      <c r="AA18" s="306">
        <v>0.03</v>
      </c>
      <c r="AB18" s="306">
        <v>0.03</v>
      </c>
      <c r="AC18" s="306">
        <v>0.03</v>
      </c>
      <c r="AD18" s="306">
        <v>0.03</v>
      </c>
      <c r="AE18" s="306">
        <v>0.03</v>
      </c>
      <c r="AF18" s="306">
        <v>0.03</v>
      </c>
      <c r="AG18" s="306">
        <v>0.03</v>
      </c>
    </row>
    <row r="19" spans="1:44" ht="12.6" customHeight="1">
      <c r="B19" s="111"/>
      <c r="D19" s="7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</row>
    <row r="20" spans="1:44" ht="12.6" customHeight="1">
      <c r="B20" s="11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</row>
    <row r="21" spans="1:44" ht="12.6" customHeight="1"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</row>
    <row r="22" spans="1:44" ht="12.6" customHeight="1">
      <c r="D22" s="7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</row>
    <row r="23" spans="1:44" ht="12.6" customHeight="1"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</row>
    <row r="24" spans="1:44" ht="12.6" customHeight="1"/>
    <row r="25" spans="1:44" ht="12.6" customHeight="1">
      <c r="B25" s="7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</row>
    <row r="26" spans="1:44" ht="12.6" customHeight="1"/>
    <row r="27" spans="1:44" ht="12.6" customHeight="1"/>
    <row r="28" spans="1:44" ht="12.6" customHeight="1"/>
    <row r="29" spans="1:44" s="63" customFormat="1" ht="12.6" customHeight="1">
      <c r="A29" s="109"/>
      <c r="C29" s="122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</row>
    <row r="30" spans="1:44" s="63" customFormat="1" ht="12.6" customHeight="1">
      <c r="A30" s="59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</row>
    <row r="31" spans="1:44" s="63" customFormat="1" ht="12.6" customHeight="1">
      <c r="A31" s="109"/>
      <c r="C31" s="116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</row>
    <row r="32" spans="1:44" s="63" customFormat="1" ht="12.6" customHeight="1">
      <c r="A32" s="109"/>
      <c r="C32" s="116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</row>
    <row r="33" spans="1:44" s="63" customFormat="1" ht="12.6" customHeight="1">
      <c r="A33" s="109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</row>
    <row r="34" spans="1:44" s="63" customFormat="1" ht="12.6" customHeight="1">
      <c r="A34" s="109"/>
      <c r="B34" s="124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</row>
    <row r="35" spans="1:44" s="63" customFormat="1" ht="12.6" customHeight="1">
      <c r="A35" s="109"/>
      <c r="C35" s="122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</row>
    <row r="36" spans="1:44" s="63" customFormat="1" ht="12.6" customHeight="1">
      <c r="A36" s="109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</row>
    <row r="37" spans="1:44" s="63" customFormat="1" ht="12.6" customHeight="1"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</row>
    <row r="38" spans="1:44" s="63" customFormat="1" ht="12.6" customHeight="1"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</row>
    <row r="39" spans="1:44" s="63" customFormat="1" ht="12.6" customHeight="1"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</row>
    <row r="40" spans="1:44">
      <c r="A40" s="7"/>
      <c r="B40" s="72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44">
      <c r="B41" s="73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 spans="1:44">
      <c r="B42" s="74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44">
      <c r="B43" s="75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 spans="1:44" s="58" customFormat="1"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 spans="1:44" s="58" customFormat="1" ht="12.6" customHeight="1">
      <c r="B45" s="67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</row>
    <row r="46" spans="1:44" s="58" customFormat="1" ht="12.6" customHeight="1">
      <c r="B46" s="67"/>
      <c r="D46" s="81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 spans="1:44"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6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 spans="1:44" s="58" customFormat="1">
      <c r="A48" s="57"/>
      <c r="B48" s="77"/>
      <c r="C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78"/>
      <c r="S48" s="68"/>
      <c r="T48" s="68"/>
      <c r="U48" s="68"/>
      <c r="V48" s="68"/>
      <c r="W48" s="68"/>
      <c r="X48" s="68"/>
      <c r="Y48" s="68"/>
      <c r="Z48" s="68"/>
      <c r="AA48" s="68"/>
    </row>
    <row r="49" spans="2:28" s="58" customFormat="1" ht="12.6" customHeight="1">
      <c r="B49" s="66"/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</row>
    <row r="50" spans="2:28" s="58" customFormat="1" ht="12.6" customHeight="1">
      <c r="B50" s="79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 spans="2:28" s="58" customFormat="1" ht="12.6" customHeight="1">
      <c r="B51" s="80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</row>
    <row r="52" spans="2:28" s="58" customFormat="1" ht="12.6" customHeight="1">
      <c r="B52" s="59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2:28" s="58" customFormat="1" ht="12.6" customHeight="1">
      <c r="B53" s="67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</row>
    <row r="54" spans="2:28" s="58" customFormat="1" ht="12.6" customHeight="1">
      <c r="B54" s="67"/>
      <c r="D54" s="81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</row>
    <row r="55" spans="2:28" s="58" customFormat="1" ht="12.6" customHeight="1">
      <c r="B55" s="67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 spans="2:28" ht="12.6" customHeight="1">
      <c r="B56" s="51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2:28" ht="12.6" customHeight="1"/>
    <row r="58" spans="2:28" ht="12.6" customHeight="1"/>
    <row r="59" spans="2:28" ht="12.6" customHeight="1"/>
    <row r="60" spans="2:28" ht="12.6" customHeight="1"/>
    <row r="61" spans="2:28" ht="12.6" customHeight="1"/>
    <row r="62" spans="2:28" ht="12.6" customHeight="1"/>
    <row r="63" spans="2:28" ht="12.6" customHeight="1"/>
    <row r="64" spans="2:28" ht="12.6" customHeight="1"/>
    <row r="65" ht="12.6" customHeight="1"/>
    <row r="66" ht="12.6" customHeight="1"/>
    <row r="67" ht="12.6" customHeight="1"/>
    <row r="68" ht="12.6" customHeight="1"/>
    <row r="69" ht="12.6" customHeight="1"/>
    <row r="70" ht="12.6" customHeight="1"/>
    <row r="71" ht="12.6" customHeight="1"/>
    <row r="72" ht="12.6" customHeight="1"/>
    <row r="73" ht="12.6" customHeight="1"/>
    <row r="74" ht="12.6" customHeight="1"/>
    <row r="75" ht="12.6" customHeight="1"/>
    <row r="76" ht="12.6" customHeight="1"/>
    <row r="77" ht="12.6" customHeight="1"/>
    <row r="78" ht="12.6" customHeight="1"/>
    <row r="79" ht="12.6" customHeight="1"/>
    <row r="80" ht="12.6" customHeight="1"/>
    <row r="81" ht="12.6" customHeight="1"/>
    <row r="82" ht="12.6" customHeight="1"/>
    <row r="83" ht="12.6" customHeight="1"/>
    <row r="84" ht="12.6" customHeight="1"/>
    <row r="85" ht="12.6" customHeight="1"/>
    <row r="86" ht="12.6" customHeight="1"/>
    <row r="87" ht="12.6" customHeight="1"/>
    <row r="88" ht="12.6" customHeight="1"/>
    <row r="89" ht="12.6" customHeight="1"/>
    <row r="90" ht="12.6" customHeight="1"/>
    <row r="91" ht="12.6" customHeight="1"/>
    <row r="92" ht="12.6" customHeight="1"/>
    <row r="93" ht="12.6" customHeight="1"/>
    <row r="94" ht="12.6" customHeight="1"/>
    <row r="95" ht="12.6" customHeight="1"/>
    <row r="96" ht="12.6" customHeight="1"/>
    <row r="97" ht="12.6" customHeight="1"/>
    <row r="98" ht="12.6" customHeight="1"/>
    <row r="99" ht="12.6" customHeight="1"/>
    <row r="100" ht="12.6" customHeight="1"/>
    <row r="101" ht="12.6" customHeight="1"/>
    <row r="102" ht="12.6" customHeight="1"/>
    <row r="103" ht="12.6" customHeight="1"/>
    <row r="104" ht="12.6" customHeight="1"/>
    <row r="105" ht="12.6" customHeight="1"/>
    <row r="106" ht="12.6" customHeight="1"/>
    <row r="107" ht="12.6" customHeight="1"/>
    <row r="108" ht="12.6" customHeight="1"/>
    <row r="109" ht="12.6" customHeight="1"/>
    <row r="110" ht="12.6" customHeight="1"/>
    <row r="111" ht="12.6" customHeight="1"/>
    <row r="112" ht="12.6" customHeight="1"/>
    <row r="113" ht="12.6" customHeight="1"/>
    <row r="114" ht="12.6" customHeight="1"/>
    <row r="115" ht="12.6" customHeight="1"/>
    <row r="116" ht="12.6" customHeight="1"/>
    <row r="117" ht="12.6" customHeight="1"/>
    <row r="118" ht="12.6" customHeight="1"/>
    <row r="119" ht="12.6" customHeight="1"/>
    <row r="120" ht="12.6" customHeight="1"/>
    <row r="121" ht="12.6" customHeight="1"/>
    <row r="122" ht="12.6" customHeight="1"/>
    <row r="123" ht="12.6" customHeight="1"/>
    <row r="124" ht="12.6" customHeight="1"/>
    <row r="125" ht="12.6" customHeight="1"/>
    <row r="126" ht="12.6" customHeight="1"/>
    <row r="127" ht="12.6" customHeight="1"/>
    <row r="128" ht="12.6" customHeight="1"/>
    <row r="129" ht="12.6" customHeight="1"/>
    <row r="130" ht="12.6" customHeight="1"/>
    <row r="131" ht="12.6" customHeight="1"/>
    <row r="132" ht="12.6" customHeight="1"/>
    <row r="133" ht="12.6" customHeight="1"/>
    <row r="134" ht="12.6" customHeight="1"/>
    <row r="135" ht="12.6" customHeight="1"/>
    <row r="136" ht="12.6" customHeight="1"/>
    <row r="137" ht="12.6" customHeight="1"/>
    <row r="138" ht="12.6" customHeight="1"/>
    <row r="139" ht="12.6" customHeight="1"/>
    <row r="140" ht="12.6" customHeight="1"/>
    <row r="141" ht="12.6" customHeight="1"/>
    <row r="142" ht="12.6" customHeight="1"/>
    <row r="143" ht="12.6" customHeight="1"/>
    <row r="144" ht="12.6" customHeight="1"/>
    <row r="145" ht="12.6" customHeight="1"/>
    <row r="146" ht="12.6" customHeight="1"/>
    <row r="147" ht="12.6" customHeight="1"/>
    <row r="148" ht="12.6" customHeight="1"/>
    <row r="149" ht="12.6" customHeight="1"/>
    <row r="150" ht="12.6" customHeight="1"/>
    <row r="151" ht="12.6" customHeight="1"/>
    <row r="152" ht="12.6" customHeight="1"/>
    <row r="153" ht="12.6" customHeight="1"/>
    <row r="154" ht="12.6" customHeight="1"/>
    <row r="155" ht="12.6" customHeight="1"/>
    <row r="156" ht="12.6" customHeight="1"/>
    <row r="157" ht="12.6" customHeight="1"/>
    <row r="158" ht="12.6" customHeight="1"/>
    <row r="159" ht="12.6" customHeight="1"/>
    <row r="160" ht="12.6" customHeight="1"/>
    <row r="161" ht="12.6" customHeight="1"/>
    <row r="162" ht="12.6" customHeight="1"/>
    <row r="163" ht="12.6" customHeight="1"/>
    <row r="164" ht="12.6" customHeight="1"/>
    <row r="165" ht="12.6" customHeight="1"/>
    <row r="166" ht="12.6" customHeight="1"/>
    <row r="167" ht="12.6" customHeight="1"/>
    <row r="168" ht="12.6" customHeight="1"/>
    <row r="169" ht="12.6" customHeight="1"/>
    <row r="170" ht="12.6" customHeight="1"/>
    <row r="171" ht="12.6" customHeight="1"/>
    <row r="172" ht="12.6" customHeight="1"/>
    <row r="173" ht="12.6" customHeight="1"/>
    <row r="174" ht="12.6" customHeight="1"/>
    <row r="175" ht="12.6" customHeight="1"/>
    <row r="176" ht="12.6" customHeight="1"/>
    <row r="177" ht="12.6" customHeight="1"/>
    <row r="178" ht="12.6" customHeight="1"/>
    <row r="179" ht="12.6" customHeight="1"/>
    <row r="180" ht="12.6" customHeight="1"/>
    <row r="181" ht="12.6" customHeight="1"/>
    <row r="182" ht="12.6" customHeight="1"/>
    <row r="183" ht="12.6" customHeight="1"/>
    <row r="184" ht="12.6" customHeight="1"/>
    <row r="185" ht="12.6" customHeight="1"/>
    <row r="186" ht="12.6" customHeight="1"/>
    <row r="187" ht="12.6" customHeight="1"/>
    <row r="188" ht="12.6" customHeight="1"/>
    <row r="189" ht="12.6" customHeight="1"/>
    <row r="190" ht="12.6" customHeight="1"/>
    <row r="191" ht="12.6" customHeight="1"/>
    <row r="192" ht="12.6" customHeight="1"/>
    <row r="193" ht="12.6" customHeight="1"/>
    <row r="194" ht="12.6" customHeight="1"/>
    <row r="195" ht="12.6" customHeight="1"/>
    <row r="196" ht="12.6" customHeight="1"/>
    <row r="197" ht="12.6" customHeight="1"/>
    <row r="198" ht="12.6" customHeight="1"/>
    <row r="199" ht="12.6" customHeight="1"/>
    <row r="200" ht="12.6" customHeight="1"/>
    <row r="201" ht="12.6" customHeight="1"/>
    <row r="202" ht="12.6" customHeight="1"/>
    <row r="203" ht="12.6" customHeight="1"/>
    <row r="204" ht="12.6" customHeight="1"/>
    <row r="205" ht="12.6" customHeight="1"/>
    <row r="206" ht="12.6" customHeight="1"/>
    <row r="207" ht="12.6" customHeight="1"/>
    <row r="208" ht="12.6" customHeight="1"/>
    <row r="209" ht="12.6" customHeight="1"/>
    <row r="210" ht="12.6" customHeight="1"/>
  </sheetData>
  <customSheetViews>
    <customSheetView guid="{9D7575BF-255B-11D2-8267-00A0D1027254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1"/>
      <headerFooter alignWithMargins="0"/>
    </customSheetView>
    <customSheetView guid="{14FB3146-3CEF-11D2-B9CE-0060080D6A65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2"/>
      <headerFooter alignWithMargins="0"/>
    </customSheetView>
  </customSheetViews>
  <printOptions horizontalCentered="1" verticalCentered="1"/>
  <pageMargins left="0.75" right="0.75" top="1" bottom="4.87" header="0.5" footer="0.5"/>
  <pageSetup scale="46" fitToWidth="2" orientation="landscape" r:id="rId3"/>
  <headerFooter alignWithMargins="0">
    <oddFooter>&amp;L&amp;D   &amp;T&amp;R&amp;A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237"/>
  <sheetViews>
    <sheetView topLeftCell="A2" zoomScale="75" zoomScaleNormal="75" zoomScaleSheetLayoutView="25" workbookViewId="0">
      <selection activeCell="C19" sqref="C19"/>
    </sheetView>
  </sheetViews>
  <sheetFormatPr defaultColWidth="9.28515625" defaultRowHeight="12.6" customHeight="1"/>
  <cols>
    <col min="1" max="1" width="43.140625" style="3" bestFit="1" customWidth="1"/>
    <col min="2" max="2" width="7.42578125" style="3" customWidth="1"/>
    <col min="3" max="17" width="11.42578125" style="1" bestFit="1" customWidth="1"/>
    <col min="18" max="18" width="12" style="1" bestFit="1" customWidth="1"/>
    <col min="19" max="27" width="9.7109375" customWidth="1"/>
    <col min="28" max="29" width="9.28515625" style="1" bestFit="1" customWidth="1"/>
    <col min="30" max="30" width="9.7109375" customWidth="1"/>
    <col min="31" max="31" width="10.7109375" style="1" customWidth="1"/>
    <col min="32" max="32" width="9.28515625" style="1" bestFit="1" customWidth="1"/>
    <col min="33" max="16384" width="9.28515625" style="1"/>
  </cols>
  <sheetData>
    <row r="1" spans="1:52" ht="26.25">
      <c r="A1" s="127" t="s">
        <v>74</v>
      </c>
      <c r="B1"/>
      <c r="AC1" s="6"/>
    </row>
    <row r="2" spans="1:52" s="63" customFormat="1" ht="15.6" customHeight="1">
      <c r="A2" s="128" t="s">
        <v>136</v>
      </c>
      <c r="B2" s="59"/>
      <c r="C2" s="64"/>
      <c r="D2" s="64"/>
      <c r="E2" s="64"/>
      <c r="F2" s="64"/>
      <c r="G2" s="64"/>
      <c r="H2" s="64"/>
      <c r="I2" s="64"/>
      <c r="J2" s="113"/>
      <c r="K2" s="113"/>
      <c r="L2" s="113"/>
      <c r="M2" s="113"/>
      <c r="N2" s="113"/>
      <c r="O2" s="113"/>
      <c r="P2" s="113"/>
      <c r="Q2" s="113"/>
      <c r="R2" s="113"/>
      <c r="S2"/>
      <c r="T2"/>
      <c r="U2"/>
      <c r="V2"/>
      <c r="W2"/>
      <c r="X2"/>
      <c r="Y2"/>
      <c r="Z2"/>
      <c r="AA2"/>
      <c r="AC2" s="108"/>
      <c r="AD2" s="59"/>
    </row>
    <row r="3" spans="1:52" s="256" customFormat="1" ht="15.75">
      <c r="A3" s="17"/>
      <c r="B3" s="296"/>
      <c r="C3" s="256">
        <v>1</v>
      </c>
      <c r="D3" s="256">
        <v>2</v>
      </c>
      <c r="E3" s="256">
        <v>3</v>
      </c>
      <c r="F3" s="256">
        <v>4</v>
      </c>
      <c r="G3" s="256">
        <v>5</v>
      </c>
      <c r="H3" s="256">
        <v>6</v>
      </c>
      <c r="I3" s="257">
        <v>7</v>
      </c>
      <c r="J3" s="256">
        <v>8</v>
      </c>
      <c r="K3" s="256">
        <v>9</v>
      </c>
      <c r="L3" s="256">
        <v>10</v>
      </c>
      <c r="M3" s="256">
        <v>11</v>
      </c>
      <c r="N3" s="256">
        <v>12</v>
      </c>
      <c r="O3" s="257">
        <v>13</v>
      </c>
      <c r="P3" s="256">
        <v>14</v>
      </c>
      <c r="Q3" s="256">
        <v>15</v>
      </c>
      <c r="R3" s="256">
        <v>16</v>
      </c>
      <c r="S3" s="255"/>
      <c r="T3" s="255"/>
      <c r="U3" s="255"/>
      <c r="V3" s="255"/>
      <c r="W3" s="255"/>
      <c r="X3" s="255"/>
      <c r="Y3" s="255"/>
      <c r="Z3" s="255"/>
      <c r="AA3" s="255"/>
      <c r="AC3" s="291"/>
      <c r="AD3" s="255"/>
    </row>
    <row r="4" spans="1:52" s="256" customFormat="1" ht="15.75">
      <c r="A4" s="129"/>
      <c r="C4" s="258">
        <v>2000</v>
      </c>
      <c r="D4" s="258">
        <v>2001</v>
      </c>
      <c r="E4" s="258">
        <v>2002</v>
      </c>
      <c r="F4" s="258">
        <v>2003</v>
      </c>
      <c r="G4" s="258">
        <v>2004</v>
      </c>
      <c r="H4" s="258">
        <v>2005</v>
      </c>
      <c r="I4" s="258">
        <v>2006</v>
      </c>
      <c r="J4" s="258">
        <v>2007</v>
      </c>
      <c r="K4" s="258">
        <v>2008</v>
      </c>
      <c r="L4" s="258">
        <v>2009</v>
      </c>
      <c r="M4" s="258">
        <v>2010</v>
      </c>
      <c r="N4" s="258">
        <v>2011</v>
      </c>
      <c r="O4" s="258">
        <v>2012</v>
      </c>
      <c r="P4" s="258">
        <v>2013</v>
      </c>
      <c r="Q4" s="258">
        <v>2014</v>
      </c>
      <c r="R4" s="258">
        <v>2015</v>
      </c>
      <c r="S4" s="255"/>
      <c r="T4" s="255"/>
      <c r="U4" s="255"/>
      <c r="V4" s="255"/>
      <c r="W4" s="255"/>
      <c r="X4" s="255"/>
      <c r="Y4" s="255"/>
      <c r="Z4" s="255"/>
      <c r="AA4" s="255"/>
      <c r="AB4" s="258"/>
      <c r="AC4" s="258"/>
      <c r="AD4" s="255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</row>
    <row r="5" spans="1:52" s="256" customFormat="1" ht="15.75">
      <c r="A5" s="129" t="s">
        <v>56</v>
      </c>
      <c r="C5" s="260">
        <v>6.55</v>
      </c>
      <c r="D5" s="261">
        <v>12</v>
      </c>
      <c r="E5" s="261">
        <v>12</v>
      </c>
      <c r="F5" s="261">
        <v>12</v>
      </c>
      <c r="G5" s="261">
        <v>12</v>
      </c>
      <c r="H5" s="261">
        <v>12</v>
      </c>
      <c r="I5" s="261">
        <v>12</v>
      </c>
      <c r="J5" s="261">
        <v>12</v>
      </c>
      <c r="K5" s="261">
        <v>12</v>
      </c>
      <c r="L5" s="261">
        <v>12</v>
      </c>
      <c r="M5" s="261">
        <v>12</v>
      </c>
      <c r="N5" s="261">
        <v>12</v>
      </c>
      <c r="O5" s="261">
        <v>12</v>
      </c>
      <c r="P5" s="261">
        <v>12</v>
      </c>
      <c r="Q5" s="261">
        <v>12</v>
      </c>
      <c r="R5" s="261">
        <v>6.5</v>
      </c>
      <c r="S5" s="255"/>
      <c r="T5" s="255"/>
      <c r="U5" s="255"/>
      <c r="V5" s="255"/>
      <c r="W5" s="255"/>
      <c r="X5" s="255"/>
      <c r="Y5" s="255"/>
      <c r="Z5" s="255"/>
      <c r="AA5" s="255"/>
      <c r="AB5" s="258"/>
      <c r="AC5" s="258"/>
      <c r="AD5" s="255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</row>
    <row r="6" spans="1:52" s="256" customFormat="1" ht="15.75">
      <c r="A6" s="17" t="s">
        <v>1</v>
      </c>
      <c r="S6" s="255"/>
      <c r="T6" s="255"/>
      <c r="U6" s="255"/>
      <c r="V6" s="255"/>
      <c r="W6" s="255"/>
      <c r="X6" s="255"/>
      <c r="Y6" s="255"/>
      <c r="Z6" s="255"/>
      <c r="AA6" s="255"/>
      <c r="AD6" s="255"/>
    </row>
    <row r="7" spans="1:52" s="256" customFormat="1" ht="15">
      <c r="A7" s="292" t="s">
        <v>67</v>
      </c>
      <c r="C7" s="296">
        <f>'Operations Summary'!C9*'Operations Summary'!C22*'Operations Summary'!C5</f>
        <v>6765.3095420175459</v>
      </c>
      <c r="D7" s="296">
        <f>'Operations Summary'!D9*'Operations Summary'!D22*'Operations Summary'!D5</f>
        <v>12394.460229650467</v>
      </c>
      <c r="E7" s="296">
        <f>'Operations Summary'!E9*'Operations Summary'!E22*'Operations Summary'!E5</f>
        <v>12394.460229650467</v>
      </c>
      <c r="F7" s="296">
        <f>'Operations Summary'!F9*'Operations Summary'!F22*'Operations Summary'!F5</f>
        <v>12394.460229650467</v>
      </c>
      <c r="G7" s="296">
        <f>'Operations Summary'!G9*'Operations Summary'!G22*'Operations Summary'!G5</f>
        <v>12394.460229650467</v>
      </c>
      <c r="H7" s="296">
        <f>'Operations Summary'!H9*'Operations Summary'!H22*'Operations Summary'!H5</f>
        <v>12394.460229650467</v>
      </c>
      <c r="I7" s="296">
        <f>'Operations Summary'!I9*'Operations Summary'!I22*'Operations Summary'!I5</f>
        <v>12394.460229650467</v>
      </c>
      <c r="J7" s="296">
        <f>'Operations Summary'!J9*'Operations Summary'!J22*'Operations Summary'!J5</f>
        <v>12394.460229650467</v>
      </c>
      <c r="K7" s="296">
        <f>'Operations Summary'!K9*'Operations Summary'!K22*'Operations Summary'!K5</f>
        <v>12394.460229650467</v>
      </c>
      <c r="L7" s="296">
        <f>'Operations Summary'!L9*'Operations Summary'!L22*'Operations Summary'!L5</f>
        <v>12394.460229650467</v>
      </c>
      <c r="M7" s="296">
        <f>'Operations Summary'!M9*'Operations Summary'!M22*'Operations Summary'!M5</f>
        <v>12394.460229650467</v>
      </c>
      <c r="N7" s="296">
        <f>'Operations Summary'!N9*'Operations Summary'!N22*'Operations Summary'!N5</f>
        <v>12394.460229650467</v>
      </c>
      <c r="O7" s="296">
        <f>'Operations Summary'!O9*'Operations Summary'!O22*'Operations Summary'!O5</f>
        <v>12394.460229650467</v>
      </c>
      <c r="P7" s="296">
        <f>'Operations Summary'!P9*'Operations Summary'!P22*'Operations Summary'!P5</f>
        <v>12394.460229650467</v>
      </c>
      <c r="Q7" s="296">
        <f>'Operations Summary'!Q9*'Operations Summary'!Q22*'Operations Summary'!Q5</f>
        <v>12394.460229650467</v>
      </c>
      <c r="R7" s="296">
        <f>'Operations Summary'!R9*'Operations Summary'!R22*'Operations Summary'!R5</f>
        <v>6713.6659577273358</v>
      </c>
      <c r="S7" s="255"/>
      <c r="T7" s="255"/>
      <c r="U7" s="255"/>
      <c r="V7" s="255"/>
      <c r="W7" s="255"/>
      <c r="X7" s="255"/>
      <c r="Y7" s="255"/>
      <c r="Z7" s="255"/>
      <c r="AA7" s="255"/>
      <c r="AD7" s="255"/>
    </row>
    <row r="8" spans="1:52" s="256" customFormat="1" ht="15">
      <c r="A8" s="292" t="s">
        <v>68</v>
      </c>
      <c r="C8" s="296">
        <f>'Operations Summary'!C9*'Operations Summary'!C23*'Operations Summary'!C5</f>
        <v>198.05627999999999</v>
      </c>
      <c r="D8" s="296">
        <f>'Operations Summary'!D9*'Operations Summary'!D23*'Operations Summary'!D5</f>
        <v>370.10822399999995</v>
      </c>
      <c r="E8" s="296">
        <f>'Operations Summary'!E9*'Operations Summary'!E23*'Operations Summary'!E5</f>
        <v>377.51038848000002</v>
      </c>
      <c r="F8" s="296">
        <f>'Operations Summary'!F9*'Operations Summary'!F23*'Operations Summary'!F5</f>
        <v>385.06059624960005</v>
      </c>
      <c r="G8" s="296">
        <f>'Operations Summary'!G9*'Operations Summary'!G23*'Operations Summary'!G5</f>
        <v>392.76180817459203</v>
      </c>
      <c r="H8" s="296">
        <f>'Operations Summary'!H9*'Operations Summary'!H23*'Operations Summary'!H5</f>
        <v>400.61704433808393</v>
      </c>
      <c r="I8" s="296">
        <f>'Operations Summary'!I9*'Operations Summary'!I23*'Operations Summary'!I5</f>
        <v>408.62938522484558</v>
      </c>
      <c r="J8" s="296">
        <f>'Operations Summary'!J9*'Operations Summary'!J23*'Operations Summary'!J5</f>
        <v>416.80197292934247</v>
      </c>
      <c r="K8" s="296">
        <f>'Operations Summary'!K9*'Operations Summary'!K23*'Operations Summary'!K5</f>
        <v>425.13801238792928</v>
      </c>
      <c r="L8" s="296">
        <f>'Operations Summary'!L9*'Operations Summary'!L23*'Operations Summary'!L5</f>
        <v>433.64077263568788</v>
      </c>
      <c r="M8" s="296">
        <f>'Operations Summary'!M9*'Operations Summary'!M23*'Operations Summary'!M5</f>
        <v>442.31358808840167</v>
      </c>
      <c r="N8" s="296">
        <f>'Operations Summary'!N9*'Operations Summary'!N23*'Operations Summary'!N5</f>
        <v>451.15985985016971</v>
      </c>
      <c r="O8" s="296">
        <f>'Operations Summary'!O9*'Operations Summary'!O23*'Operations Summary'!O5</f>
        <v>460.18305704717318</v>
      </c>
      <c r="P8" s="296">
        <f>'Operations Summary'!P9*'Operations Summary'!P23*'Operations Summary'!P5</f>
        <v>469.38671818811656</v>
      </c>
      <c r="Q8" s="296">
        <f>'Operations Summary'!Q9*'Operations Summary'!Q23*'Operations Summary'!Q5</f>
        <v>478.77445255187888</v>
      </c>
      <c r="R8" s="296">
        <f>'Operations Summary'!R9*'Operations Summary'!R23*'Operations Summary'!R5</f>
        <v>264.52288503491309</v>
      </c>
      <c r="S8" s="255"/>
      <c r="T8" s="255"/>
      <c r="U8" s="255"/>
      <c r="V8" s="255"/>
      <c r="W8" s="255"/>
      <c r="X8" s="255"/>
      <c r="Y8" s="255"/>
      <c r="Z8" s="255"/>
      <c r="AA8" s="255"/>
      <c r="AD8" s="255"/>
    </row>
    <row r="9" spans="1:52" s="256" customFormat="1" ht="15">
      <c r="A9" s="292" t="s">
        <v>156</v>
      </c>
      <c r="C9" s="296">
        <f>C19+C22</f>
        <v>1028</v>
      </c>
      <c r="D9" s="296">
        <f t="shared" ref="D9:R9" si="0">D19+D22</f>
        <v>2279</v>
      </c>
      <c r="E9" s="296">
        <f t="shared" si="0"/>
        <v>2324.58</v>
      </c>
      <c r="F9" s="296">
        <f t="shared" si="0"/>
        <v>2371.0716000000002</v>
      </c>
      <c r="G9" s="296">
        <f t="shared" si="0"/>
        <v>2418.4930319999999</v>
      </c>
      <c r="H9" s="296">
        <f t="shared" si="0"/>
        <v>2466.8628926399997</v>
      </c>
      <c r="I9" s="296">
        <f t="shared" si="0"/>
        <v>2516.2001504927998</v>
      </c>
      <c r="J9" s="296">
        <f t="shared" si="0"/>
        <v>2566.5241535026562</v>
      </c>
      <c r="K9" s="296">
        <f t="shared" si="0"/>
        <v>2617.8546365727093</v>
      </c>
      <c r="L9" s="296">
        <f t="shared" si="0"/>
        <v>2670.2117293041638</v>
      </c>
      <c r="M9" s="296">
        <f t="shared" si="0"/>
        <v>2723.6159638902473</v>
      </c>
      <c r="N9" s="296">
        <f t="shared" si="0"/>
        <v>2778.0882831680519</v>
      </c>
      <c r="O9" s="296">
        <f t="shared" si="0"/>
        <v>2833.6500488314132</v>
      </c>
      <c r="P9" s="296">
        <f t="shared" si="0"/>
        <v>2890.3230498080416</v>
      </c>
      <c r="Q9" s="296">
        <f t="shared" si="0"/>
        <v>2948.1295108042027</v>
      </c>
      <c r="R9" s="296">
        <f t="shared" si="0"/>
        <v>3007.0921010202865</v>
      </c>
      <c r="S9" s="255"/>
      <c r="T9" s="255"/>
      <c r="U9" s="255"/>
      <c r="V9" s="255"/>
      <c r="W9" s="255"/>
      <c r="X9" s="255"/>
      <c r="Y9" s="255"/>
      <c r="Z9" s="255"/>
      <c r="AA9" s="255"/>
      <c r="AD9" s="255"/>
    </row>
    <row r="10" spans="1:52" s="256" customFormat="1" ht="15">
      <c r="A10" s="292" t="s">
        <v>66</v>
      </c>
      <c r="C10" s="296">
        <f>C15+C17</f>
        <v>20087.901999999998</v>
      </c>
      <c r="D10" s="296">
        <f t="shared" ref="D10:R10" si="1">D15+D17</f>
        <v>19345.237200000003</v>
      </c>
      <c r="E10" s="296">
        <f t="shared" si="1"/>
        <v>19550.480772000003</v>
      </c>
      <c r="F10" s="296">
        <f t="shared" si="1"/>
        <v>19758.012603720003</v>
      </c>
      <c r="G10" s="296">
        <f t="shared" si="1"/>
        <v>19967.860294237202</v>
      </c>
      <c r="H10" s="296">
        <f t="shared" si="1"/>
        <v>20180.051812949176</v>
      </c>
      <c r="I10" s="296">
        <f t="shared" si="1"/>
        <v>20394.61550516366</v>
      </c>
      <c r="J10" s="296">
        <f t="shared" si="1"/>
        <v>20611.580097781989</v>
      </c>
      <c r="K10" s="296">
        <f t="shared" si="1"/>
        <v>20830.974705077831</v>
      </c>
      <c r="L10" s="296">
        <f t="shared" si="1"/>
        <v>21052.828834572996</v>
      </c>
      <c r="M10" s="296">
        <f t="shared" si="1"/>
        <v>21277.172393012002</v>
      </c>
      <c r="N10" s="296">
        <f t="shared" si="1"/>
        <v>21504.035692437261</v>
      </c>
      <c r="O10" s="296">
        <f t="shared" si="1"/>
        <v>21733.449456366678</v>
      </c>
      <c r="P10" s="296">
        <f t="shared" si="1"/>
        <v>21965.444826075483</v>
      </c>
      <c r="Q10" s="296">
        <f t="shared" si="1"/>
        <v>22200.053366984284</v>
      </c>
      <c r="R10" s="296">
        <f t="shared" si="1"/>
        <v>16172.862092339401</v>
      </c>
      <c r="S10" s="255"/>
      <c r="T10" s="255"/>
      <c r="U10" s="255"/>
      <c r="V10" s="255"/>
      <c r="W10" s="255"/>
      <c r="X10" s="255"/>
      <c r="Y10" s="255"/>
      <c r="Z10" s="255"/>
      <c r="AA10" s="255"/>
      <c r="AD10" s="255"/>
    </row>
    <row r="11" spans="1:52" s="256" customFormat="1" ht="17.25">
      <c r="A11" s="292" t="s">
        <v>69</v>
      </c>
      <c r="C11" s="312">
        <v>0</v>
      </c>
      <c r="D11" s="312">
        <v>0</v>
      </c>
      <c r="E11" s="312">
        <v>0</v>
      </c>
      <c r="F11" s="312">
        <v>0</v>
      </c>
      <c r="G11" s="312">
        <v>0</v>
      </c>
      <c r="H11" s="312">
        <v>0</v>
      </c>
      <c r="I11" s="312">
        <v>0</v>
      </c>
      <c r="J11" s="312">
        <v>0</v>
      </c>
      <c r="K11" s="312">
        <v>0</v>
      </c>
      <c r="L11" s="312">
        <v>0</v>
      </c>
      <c r="M11" s="312">
        <v>0</v>
      </c>
      <c r="N11" s="312">
        <v>0</v>
      </c>
      <c r="O11" s="312">
        <v>0</v>
      </c>
      <c r="P11" s="312">
        <v>0</v>
      </c>
      <c r="Q11" s="312">
        <v>0</v>
      </c>
      <c r="R11" s="312">
        <v>10000</v>
      </c>
      <c r="S11" s="255"/>
      <c r="T11" s="255"/>
      <c r="U11" s="255"/>
      <c r="V11" s="255"/>
      <c r="W11" s="255"/>
      <c r="X11" s="255"/>
      <c r="Y11" s="255"/>
      <c r="Z11" s="255"/>
      <c r="AA11" s="255"/>
      <c r="AD11" s="255"/>
    </row>
    <row r="12" spans="1:52" s="256" customFormat="1" ht="15.75">
      <c r="A12" s="17" t="s">
        <v>15</v>
      </c>
      <c r="C12" s="296">
        <f>SUM(C7:C11)</f>
        <v>28079.267822017544</v>
      </c>
      <c r="D12" s="296">
        <f t="shared" ref="D12:R12" si="2">SUM(D7:D11)</f>
        <v>34388.805653650474</v>
      </c>
      <c r="E12" s="296">
        <f t="shared" si="2"/>
        <v>34647.031390130469</v>
      </c>
      <c r="F12" s="296">
        <f t="shared" si="2"/>
        <v>34908.60502962007</v>
      </c>
      <c r="G12" s="296">
        <f t="shared" si="2"/>
        <v>35173.575364062257</v>
      </c>
      <c r="H12" s="296">
        <f t="shared" si="2"/>
        <v>35441.991979577724</v>
      </c>
      <c r="I12" s="296">
        <f t="shared" si="2"/>
        <v>35713.905270531774</v>
      </c>
      <c r="J12" s="296">
        <f t="shared" si="2"/>
        <v>35989.366453864452</v>
      </c>
      <c r="K12" s="296">
        <f t="shared" si="2"/>
        <v>36268.427583688936</v>
      </c>
      <c r="L12" s="296">
        <f t="shared" si="2"/>
        <v>36551.141566163315</v>
      </c>
      <c r="M12" s="296">
        <f t="shared" si="2"/>
        <v>36837.56217464112</v>
      </c>
      <c r="N12" s="296">
        <f t="shared" si="2"/>
        <v>37127.744065105951</v>
      </c>
      <c r="O12" s="296">
        <f t="shared" si="2"/>
        <v>37421.742791895733</v>
      </c>
      <c r="P12" s="296">
        <f t="shared" si="2"/>
        <v>37719.614823722106</v>
      </c>
      <c r="Q12" s="296">
        <f t="shared" si="2"/>
        <v>38021.417559990834</v>
      </c>
      <c r="R12" s="296">
        <f t="shared" si="2"/>
        <v>36158.143036121939</v>
      </c>
      <c r="S12" s="255"/>
      <c r="T12" s="255"/>
      <c r="U12" s="255"/>
      <c r="V12" s="255"/>
      <c r="W12" s="255"/>
      <c r="X12" s="255"/>
      <c r="Y12" s="255"/>
      <c r="Z12" s="255"/>
      <c r="AA12" s="255"/>
      <c r="AD12" s="255"/>
    </row>
    <row r="13" spans="1:52" s="256" customFormat="1" ht="15">
      <c r="A13" s="292"/>
      <c r="B13" s="256" t="s">
        <v>30</v>
      </c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  <c r="S13" s="255"/>
      <c r="T13" s="255"/>
      <c r="U13" s="255"/>
      <c r="V13" s="255"/>
      <c r="W13" s="255"/>
      <c r="X13" s="255"/>
      <c r="Y13" s="255"/>
      <c r="Z13" s="255"/>
      <c r="AA13" s="255"/>
      <c r="AD13" s="255"/>
    </row>
    <row r="14" spans="1:52" s="256" customFormat="1" ht="15.75">
      <c r="A14" s="17" t="s">
        <v>70</v>
      </c>
      <c r="C14" s="308"/>
      <c r="D14" s="306"/>
      <c r="E14" s="309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255"/>
      <c r="T14" s="255"/>
      <c r="U14" s="255"/>
      <c r="V14" s="255"/>
      <c r="W14" s="255"/>
      <c r="X14" s="255"/>
      <c r="Y14" s="255"/>
      <c r="Z14" s="255"/>
      <c r="AA14" s="255"/>
      <c r="AD14" s="255"/>
    </row>
    <row r="15" spans="1:52" s="256" customFormat="1" ht="15">
      <c r="A15" s="292" t="s">
        <v>28</v>
      </c>
      <c r="C15" s="296">
        <f>'Operations Summary'!C18</f>
        <v>18931.901999999998</v>
      </c>
      <c r="D15" s="296">
        <f>'Operations Summary'!D18</f>
        <v>18166.117200000004</v>
      </c>
      <c r="E15" s="296">
        <f>'Operations Summary'!E18</f>
        <v>18347.778372000001</v>
      </c>
      <c r="F15" s="296">
        <f>'Operations Summary'!F18</f>
        <v>18531.256155720002</v>
      </c>
      <c r="G15" s="296">
        <f>'Operations Summary'!G18</f>
        <v>18716.568717277201</v>
      </c>
      <c r="H15" s="296">
        <f>'Operations Summary'!H18</f>
        <v>18903.734404449977</v>
      </c>
      <c r="I15" s="296">
        <f>'Operations Summary'!I18</f>
        <v>19092.771748494477</v>
      </c>
      <c r="J15" s="296">
        <f>'Operations Summary'!J18</f>
        <v>19283.699465979422</v>
      </c>
      <c r="K15" s="296">
        <f>'Operations Summary'!K18</f>
        <v>19476.536460639214</v>
      </c>
      <c r="L15" s="296">
        <f>'Operations Summary'!L18</f>
        <v>19671.301825245606</v>
      </c>
      <c r="M15" s="296">
        <f>'Operations Summary'!M18</f>
        <v>19868.014843498062</v>
      </c>
      <c r="N15" s="296">
        <f>'Operations Summary'!N18</f>
        <v>20066.694991933044</v>
      </c>
      <c r="O15" s="296">
        <f>'Operations Summary'!O18</f>
        <v>20267.361941852374</v>
      </c>
      <c r="P15" s="296">
        <f>'Operations Summary'!P18</f>
        <v>20470.035561270895</v>
      </c>
      <c r="Q15" s="296">
        <f>'Operations Summary'!Q18</f>
        <v>20674.735916883605</v>
      </c>
      <c r="R15" s="296">
        <f>'Operations Summary'!R18</f>
        <v>14617.038293236707</v>
      </c>
      <c r="S15" s="255"/>
      <c r="T15" s="255"/>
      <c r="U15" s="255"/>
      <c r="V15" s="255"/>
      <c r="W15" s="255"/>
      <c r="X15" s="255"/>
      <c r="Y15" s="255"/>
      <c r="Z15" s="255"/>
      <c r="AA15" s="255"/>
      <c r="AD15" s="255"/>
    </row>
    <row r="16" spans="1:52" s="256" customFormat="1" ht="15">
      <c r="A16" s="292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55"/>
      <c r="T16" s="255"/>
      <c r="U16" s="255"/>
      <c r="V16" s="255"/>
      <c r="W16" s="255"/>
      <c r="X16" s="255"/>
      <c r="Y16" s="255"/>
      <c r="Z16" s="255"/>
      <c r="AA16" s="255"/>
      <c r="AD16" s="255"/>
    </row>
    <row r="17" spans="1:30" s="256" customFormat="1" ht="15">
      <c r="A17" s="310" t="s">
        <v>75</v>
      </c>
      <c r="C17" s="295">
        <v>1156</v>
      </c>
      <c r="D17" s="295">
        <f>C17*(1+'Project Assumptions'!$J$12)</f>
        <v>1179.1200000000001</v>
      </c>
      <c r="E17" s="295">
        <f>D17*(1+'Project Assumptions'!$J$12)</f>
        <v>1202.7024000000001</v>
      </c>
      <c r="F17" s="295">
        <f>E17*(1+'Project Assumptions'!$J$12)</f>
        <v>1226.7564480000001</v>
      </c>
      <c r="G17" s="295">
        <f>F17*(1+'Project Assumptions'!$J$12)</f>
        <v>1251.2915769600002</v>
      </c>
      <c r="H17" s="295">
        <f>G17*(1+'Project Assumptions'!$J$12)</f>
        <v>1276.3174084992002</v>
      </c>
      <c r="I17" s="295">
        <f>H17*(1+'Project Assumptions'!$J$12)</f>
        <v>1301.8437566691841</v>
      </c>
      <c r="J17" s="295">
        <f>I17*(1+'Project Assumptions'!$J$12)</f>
        <v>1327.8806318025679</v>
      </c>
      <c r="K17" s="295">
        <f>J17*(1+'Project Assumptions'!$J$12)</f>
        <v>1354.4382444386192</v>
      </c>
      <c r="L17" s="295">
        <f>K17*(1+'Project Assumptions'!$J$12)</f>
        <v>1381.5270093273916</v>
      </c>
      <c r="M17" s="295">
        <f>L17*(1+'Project Assumptions'!$J$12)</f>
        <v>1409.1575495139396</v>
      </c>
      <c r="N17" s="295">
        <f>M17*(1+'Project Assumptions'!$J$12)</f>
        <v>1437.3407005042184</v>
      </c>
      <c r="O17" s="295">
        <f>N17*(1+'Project Assumptions'!$J$12)</f>
        <v>1466.0875145143027</v>
      </c>
      <c r="P17" s="295">
        <f>O17*(1+'Project Assumptions'!$J$12)</f>
        <v>1495.4092648045887</v>
      </c>
      <c r="Q17" s="295">
        <f>P17*(1+'Project Assumptions'!$J$12)</f>
        <v>1525.3174501006804</v>
      </c>
      <c r="R17" s="295">
        <f>Q17*(1+'Project Assumptions'!$J$12)</f>
        <v>1555.823799102694</v>
      </c>
      <c r="S17" s="255"/>
      <c r="T17" s="255"/>
      <c r="U17" s="255"/>
      <c r="V17" s="255"/>
      <c r="W17" s="255"/>
      <c r="X17" s="255"/>
      <c r="Y17" s="255"/>
      <c r="Z17" s="255"/>
      <c r="AA17" s="255"/>
      <c r="AD17" s="255"/>
    </row>
    <row r="18" spans="1:30" s="256" customFormat="1" ht="15">
      <c r="A18" s="292"/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55"/>
      <c r="T18" s="255"/>
      <c r="U18" s="255"/>
      <c r="V18" s="255"/>
      <c r="W18" s="255"/>
      <c r="X18" s="255"/>
      <c r="Y18" s="255"/>
      <c r="Z18" s="255"/>
      <c r="AA18" s="255"/>
      <c r="AD18" s="255"/>
    </row>
    <row r="19" spans="1:30" s="256" customFormat="1" ht="15">
      <c r="A19" s="310" t="s">
        <v>76</v>
      </c>
      <c r="C19" s="296">
        <f>766+126</f>
        <v>892</v>
      </c>
      <c r="D19" s="296">
        <v>1995</v>
      </c>
      <c r="E19" s="296">
        <f>D19*(1+'Project Assumptions'!$J$12)</f>
        <v>2034.9</v>
      </c>
      <c r="F19" s="296">
        <f>E19*(1+'Project Assumptions'!$J$12)</f>
        <v>2075.598</v>
      </c>
      <c r="G19" s="296">
        <f>F19*(1+'Project Assumptions'!$J$12)</f>
        <v>2117.1099599999998</v>
      </c>
      <c r="H19" s="296">
        <f>G19*(1+'Project Assumptions'!$J$12)</f>
        <v>2159.4521591999996</v>
      </c>
      <c r="I19" s="296">
        <f>H19*(1+'Project Assumptions'!$J$12)</f>
        <v>2202.6412023839998</v>
      </c>
      <c r="J19" s="296">
        <f>I19*(1+'Project Assumptions'!$J$12)</f>
        <v>2246.69402643168</v>
      </c>
      <c r="K19" s="296">
        <f>J19*(1+'Project Assumptions'!$J$12)</f>
        <v>2291.6279069603138</v>
      </c>
      <c r="L19" s="296">
        <f>K19*(1+'Project Assumptions'!$J$12)</f>
        <v>2337.4604650995202</v>
      </c>
      <c r="M19" s="296">
        <f>L19*(1+'Project Assumptions'!$J$12)</f>
        <v>2384.2096744015107</v>
      </c>
      <c r="N19" s="296">
        <f>M19*(1+'Project Assumptions'!$J$12)</f>
        <v>2431.8938678895411</v>
      </c>
      <c r="O19" s="296">
        <f>N19*(1+'Project Assumptions'!$J$12)</f>
        <v>2480.5317452473319</v>
      </c>
      <c r="P19" s="296">
        <f>O19*(1+'Project Assumptions'!$J$12)</f>
        <v>2530.1423801522787</v>
      </c>
      <c r="Q19" s="296">
        <f>P19*(1+'Project Assumptions'!$J$12)</f>
        <v>2580.7452277553243</v>
      </c>
      <c r="R19" s="296">
        <f>Q19*(1+'Project Assumptions'!$J$12)</f>
        <v>2632.3601323104308</v>
      </c>
      <c r="S19" s="255"/>
      <c r="T19" s="255"/>
      <c r="U19" s="255"/>
      <c r="V19" s="255"/>
      <c r="W19" s="255"/>
      <c r="X19" s="255"/>
      <c r="Y19" s="255"/>
      <c r="Z19" s="255"/>
      <c r="AA19" s="255"/>
      <c r="AD19" s="255"/>
    </row>
    <row r="20" spans="1:30" s="256" customFormat="1" ht="15">
      <c r="A20" s="292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255"/>
      <c r="T20" s="255"/>
      <c r="U20" s="255"/>
      <c r="V20" s="255"/>
      <c r="W20" s="255"/>
      <c r="X20" s="255"/>
      <c r="Y20" s="255"/>
      <c r="Z20" s="255"/>
      <c r="AA20" s="255"/>
      <c r="AD20" s="255"/>
    </row>
    <row r="21" spans="1:30" s="256" customFormat="1" ht="15.75">
      <c r="A21" s="17" t="s">
        <v>71</v>
      </c>
      <c r="B21" s="257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255"/>
      <c r="T21" s="255"/>
      <c r="U21" s="255"/>
      <c r="V21" s="255"/>
      <c r="W21" s="255"/>
      <c r="X21" s="255"/>
      <c r="Y21" s="255"/>
      <c r="Z21" s="255"/>
      <c r="AA21" s="255"/>
      <c r="AD21" s="255"/>
    </row>
    <row r="22" spans="1:30" s="256" customFormat="1" ht="15">
      <c r="A22" s="292" t="s">
        <v>72</v>
      </c>
      <c r="B22" s="257"/>
      <c r="C22" s="296">
        <v>136</v>
      </c>
      <c r="D22" s="296">
        <v>284</v>
      </c>
      <c r="E22" s="296">
        <f>D22*(1+'Project Assumptions'!$J$12)</f>
        <v>289.68</v>
      </c>
      <c r="F22" s="296">
        <f>E22*(1+'Project Assumptions'!$J$12)</f>
        <v>295.47360000000003</v>
      </c>
      <c r="G22" s="296">
        <f>F22*(1+'Project Assumptions'!$J$12)</f>
        <v>301.38307200000003</v>
      </c>
      <c r="H22" s="296">
        <f>G22*(1+'Project Assumptions'!$J$12)</f>
        <v>307.41073344000006</v>
      </c>
      <c r="I22" s="296">
        <f>H22*(1+'Project Assumptions'!$J$12)</f>
        <v>313.55894810880005</v>
      </c>
      <c r="J22" s="296">
        <f>I22*(1+'Project Assumptions'!$J$12)</f>
        <v>319.83012707097606</v>
      </c>
      <c r="K22" s="296">
        <f>J22*(1+'Project Assumptions'!$J$12)</f>
        <v>326.22672961239562</v>
      </c>
      <c r="L22" s="296">
        <f>K22*(1+'Project Assumptions'!$J$12)</f>
        <v>332.75126420464352</v>
      </c>
      <c r="M22" s="296">
        <f>L22*(1+'Project Assumptions'!$J$12)</f>
        <v>339.40628948873638</v>
      </c>
      <c r="N22" s="296">
        <f>M22*(1+'Project Assumptions'!$J$12)</f>
        <v>346.19441527851109</v>
      </c>
      <c r="O22" s="296">
        <f>N22*(1+'Project Assumptions'!$J$12)</f>
        <v>353.11830358408133</v>
      </c>
      <c r="P22" s="296">
        <f>O22*(1+'Project Assumptions'!$J$12)</f>
        <v>360.18066965576298</v>
      </c>
      <c r="Q22" s="296">
        <f>P22*(1+'Project Assumptions'!$J$12)</f>
        <v>367.38428304887827</v>
      </c>
      <c r="R22" s="296">
        <f>Q22*(1+'Project Assumptions'!$J$12)</f>
        <v>374.73196870985583</v>
      </c>
      <c r="S22" s="255"/>
      <c r="T22" s="255"/>
      <c r="U22" s="255"/>
      <c r="V22" s="255"/>
      <c r="W22" s="255"/>
      <c r="X22" s="255"/>
      <c r="Y22" s="255"/>
      <c r="Z22" s="255"/>
      <c r="AA22" s="255"/>
      <c r="AD22" s="255"/>
    </row>
    <row r="23" spans="1:30" s="256" customFormat="1" ht="17.25">
      <c r="A23" s="292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55"/>
      <c r="T23" s="255"/>
      <c r="U23" s="255"/>
      <c r="V23" s="255"/>
      <c r="W23" s="255"/>
      <c r="X23" s="255"/>
      <c r="Y23" s="255"/>
      <c r="Z23" s="255"/>
      <c r="AA23" s="255"/>
      <c r="AD23" s="255"/>
    </row>
    <row r="24" spans="1:30" s="256" customFormat="1" ht="17.25">
      <c r="A24" s="17" t="s">
        <v>73</v>
      </c>
      <c r="C24" s="312">
        <f>C22+C19+C17+C15</f>
        <v>21115.901999999998</v>
      </c>
      <c r="D24" s="312">
        <f t="shared" ref="D24:R24" si="3">D22+D19+D17+D15</f>
        <v>21624.237200000003</v>
      </c>
      <c r="E24" s="312">
        <f t="shared" si="3"/>
        <v>21875.060772000001</v>
      </c>
      <c r="F24" s="312">
        <f t="shared" si="3"/>
        <v>22129.084203720002</v>
      </c>
      <c r="G24" s="312">
        <f t="shared" si="3"/>
        <v>22386.3533262372</v>
      </c>
      <c r="H24" s="312">
        <f t="shared" si="3"/>
        <v>22646.914705589177</v>
      </c>
      <c r="I24" s="312">
        <f t="shared" si="3"/>
        <v>22910.815655656461</v>
      </c>
      <c r="J24" s="312">
        <f t="shared" si="3"/>
        <v>23178.104251284647</v>
      </c>
      <c r="K24" s="312">
        <f t="shared" si="3"/>
        <v>23448.829341650544</v>
      </c>
      <c r="L24" s="312">
        <f t="shared" si="3"/>
        <v>23723.040563877163</v>
      </c>
      <c r="M24" s="312">
        <f t="shared" si="3"/>
        <v>24000.788356902249</v>
      </c>
      <c r="N24" s="312">
        <f t="shared" si="3"/>
        <v>24282.123975605315</v>
      </c>
      <c r="O24" s="312">
        <f t="shared" si="3"/>
        <v>24567.09950519809</v>
      </c>
      <c r="P24" s="312">
        <f t="shared" si="3"/>
        <v>24855.767875883525</v>
      </c>
      <c r="Q24" s="312">
        <f t="shared" si="3"/>
        <v>25148.182877788488</v>
      </c>
      <c r="R24" s="312">
        <f t="shared" si="3"/>
        <v>19179.954193359685</v>
      </c>
      <c r="S24" s="255"/>
      <c r="T24" s="255"/>
      <c r="U24" s="255"/>
      <c r="V24" s="255"/>
      <c r="W24" s="255"/>
      <c r="X24" s="255"/>
      <c r="Y24" s="255"/>
      <c r="Z24" s="255"/>
      <c r="AA24" s="255"/>
      <c r="AD24" s="255"/>
    </row>
    <row r="25" spans="1:30" s="256" customFormat="1" ht="15.75">
      <c r="A25" s="17"/>
      <c r="R25" s="306"/>
      <c r="S25" s="255"/>
      <c r="T25" s="255"/>
      <c r="U25" s="255"/>
      <c r="V25" s="255"/>
      <c r="W25" s="255"/>
      <c r="X25" s="255"/>
      <c r="Y25" s="255"/>
      <c r="Z25" s="255"/>
      <c r="AA25" s="255"/>
      <c r="AD25" s="255"/>
    </row>
    <row r="26" spans="1:30" s="256" customFormat="1" ht="15.75">
      <c r="A26" s="17" t="s">
        <v>2</v>
      </c>
      <c r="C26" s="296">
        <f>C12-C24</f>
        <v>6963.3658220175457</v>
      </c>
      <c r="D26" s="296">
        <f t="shared" ref="D26:R26" si="4">D12-D24</f>
        <v>12764.56845365047</v>
      </c>
      <c r="E26" s="296">
        <f t="shared" si="4"/>
        <v>12771.970618130468</v>
      </c>
      <c r="F26" s="296">
        <f t="shared" si="4"/>
        <v>12779.520825900068</v>
      </c>
      <c r="G26" s="296">
        <f t="shared" si="4"/>
        <v>12787.222037825057</v>
      </c>
      <c r="H26" s="296">
        <f t="shared" si="4"/>
        <v>12795.077273988547</v>
      </c>
      <c r="I26" s="296">
        <f t="shared" si="4"/>
        <v>12803.089614875313</v>
      </c>
      <c r="J26" s="296">
        <f t="shared" si="4"/>
        <v>12811.262202579805</v>
      </c>
      <c r="K26" s="296">
        <f t="shared" si="4"/>
        <v>12819.598242038392</v>
      </c>
      <c r="L26" s="296">
        <f t="shared" si="4"/>
        <v>12828.101002286152</v>
      </c>
      <c r="M26" s="296">
        <f t="shared" si="4"/>
        <v>12836.773817738871</v>
      </c>
      <c r="N26" s="296">
        <f t="shared" si="4"/>
        <v>12845.620089500637</v>
      </c>
      <c r="O26" s="296">
        <f t="shared" si="4"/>
        <v>12854.643286697643</v>
      </c>
      <c r="P26" s="296">
        <f t="shared" si="4"/>
        <v>12863.846947838581</v>
      </c>
      <c r="Q26" s="296">
        <f t="shared" si="4"/>
        <v>12873.234682202346</v>
      </c>
      <c r="R26" s="296">
        <f t="shared" si="4"/>
        <v>16978.188842762254</v>
      </c>
      <c r="S26" s="255"/>
      <c r="T26" s="255"/>
      <c r="U26" s="255"/>
      <c r="V26" s="255"/>
      <c r="W26" s="255"/>
      <c r="X26" s="255"/>
      <c r="Y26" s="255"/>
      <c r="Z26" s="255"/>
      <c r="AA26" s="255"/>
      <c r="AD26" s="255"/>
    </row>
    <row r="27" spans="1:30" s="256" customFormat="1" ht="15">
      <c r="A27" s="292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55"/>
      <c r="T27" s="255"/>
      <c r="U27" s="255"/>
      <c r="V27" s="255"/>
      <c r="W27" s="255"/>
      <c r="X27" s="255"/>
      <c r="Y27" s="255"/>
      <c r="Z27" s="255"/>
      <c r="AA27" s="255"/>
      <c r="AD27" s="255"/>
    </row>
    <row r="28" spans="1:30" s="256" customFormat="1" ht="17.25">
      <c r="A28" s="292" t="s">
        <v>16</v>
      </c>
      <c r="C28" s="312">
        <v>2514.3538127249503</v>
      </c>
      <c r="D28" s="312">
        <v>4603.3714641873839</v>
      </c>
      <c r="E28" s="312">
        <v>4603.3714641873839</v>
      </c>
      <c r="F28" s="312">
        <v>4603.3714641873839</v>
      </c>
      <c r="G28" s="312">
        <v>4603.3714641873839</v>
      </c>
      <c r="H28" s="312">
        <v>4401.1555169243256</v>
      </c>
      <c r="I28" s="312">
        <v>4233.1470683512471</v>
      </c>
      <c r="J28" s="312">
        <v>4233.1470683512471</v>
      </c>
      <c r="K28" s="312">
        <v>4233.1470683512471</v>
      </c>
      <c r="L28" s="312">
        <v>4233.1470683512471</v>
      </c>
      <c r="M28" s="312">
        <v>4233.1470683512471</v>
      </c>
      <c r="N28" s="312">
        <v>4233.1470683512471</v>
      </c>
      <c r="O28" s="312">
        <v>4233.1470683512471</v>
      </c>
      <c r="P28" s="312">
        <v>4233.1470683512471</v>
      </c>
      <c r="Q28" s="312">
        <v>4233.1470683512471</v>
      </c>
      <c r="R28" s="312">
        <v>2292.9546620235919</v>
      </c>
      <c r="S28" s="255"/>
      <c r="T28" s="255"/>
      <c r="U28" s="255"/>
      <c r="V28" s="255"/>
      <c r="W28" s="255"/>
      <c r="X28" s="255"/>
      <c r="Y28" s="255"/>
      <c r="Z28" s="255"/>
      <c r="AA28" s="255"/>
      <c r="AD28" s="255"/>
    </row>
    <row r="29" spans="1:30" s="256" customFormat="1" ht="15.75">
      <c r="A29" s="17" t="s">
        <v>3</v>
      </c>
      <c r="C29" s="296">
        <f>C26-C28</f>
        <v>4449.0120092925954</v>
      </c>
      <c r="D29" s="296">
        <f t="shared" ref="D29:R29" si="5">D26-D28</f>
        <v>8161.1969894630865</v>
      </c>
      <c r="E29" s="296">
        <f t="shared" si="5"/>
        <v>8168.5991539430843</v>
      </c>
      <c r="F29" s="296">
        <f t="shared" si="5"/>
        <v>8176.1493617126844</v>
      </c>
      <c r="G29" s="296">
        <f t="shared" si="5"/>
        <v>8183.8505736376728</v>
      </c>
      <c r="H29" s="296">
        <f t="shared" si="5"/>
        <v>8393.9217570642213</v>
      </c>
      <c r="I29" s="296">
        <f t="shared" si="5"/>
        <v>8569.9425465240656</v>
      </c>
      <c r="J29" s="296">
        <f t="shared" si="5"/>
        <v>8578.1151342285575</v>
      </c>
      <c r="K29" s="296">
        <f t="shared" si="5"/>
        <v>8586.4511736871445</v>
      </c>
      <c r="L29" s="296">
        <f t="shared" si="5"/>
        <v>8594.9539339349049</v>
      </c>
      <c r="M29" s="296">
        <f t="shared" si="5"/>
        <v>8603.6267493876239</v>
      </c>
      <c r="N29" s="296">
        <f t="shared" si="5"/>
        <v>8612.4730211493898</v>
      </c>
      <c r="O29" s="296">
        <f t="shared" si="5"/>
        <v>8621.4962183463958</v>
      </c>
      <c r="P29" s="296">
        <f t="shared" si="5"/>
        <v>8630.6998794873343</v>
      </c>
      <c r="Q29" s="296">
        <f t="shared" si="5"/>
        <v>8640.0876138510994</v>
      </c>
      <c r="R29" s="296">
        <f t="shared" si="5"/>
        <v>14685.234180738662</v>
      </c>
      <c r="S29" s="255"/>
      <c r="T29" s="255"/>
      <c r="U29" s="255"/>
      <c r="V29" s="255"/>
      <c r="W29" s="255"/>
      <c r="X29" s="255"/>
      <c r="Y29" s="255"/>
      <c r="Z29" s="255"/>
      <c r="AA29" s="255"/>
      <c r="AD29" s="255"/>
    </row>
    <row r="30" spans="1:30" s="256" customFormat="1" ht="15">
      <c r="S30" s="255"/>
      <c r="T30" s="255"/>
      <c r="U30" s="255"/>
      <c r="V30" s="255"/>
      <c r="W30" s="255"/>
      <c r="X30" s="255"/>
      <c r="Y30" s="255"/>
      <c r="Z30" s="255"/>
      <c r="AA30" s="255"/>
      <c r="AD30" s="255"/>
    </row>
    <row r="31" spans="1:30" s="256" customFormat="1" ht="15">
      <c r="A31" s="292" t="s">
        <v>17</v>
      </c>
      <c r="C31" s="296">
        <v>3125.163086175131</v>
      </c>
      <c r="D31" s="296">
        <v>6799.4100630617713</v>
      </c>
      <c r="E31" s="296">
        <v>6484.8274663037755</v>
      </c>
      <c r="F31" s="296">
        <v>6087.8080610985207</v>
      </c>
      <c r="G31" s="296">
        <v>5796.566001324094</v>
      </c>
      <c r="H31" s="296">
        <v>5420.4453322146792</v>
      </c>
      <c r="I31" s="296">
        <v>5021.2445633852585</v>
      </c>
      <c r="J31" s="296">
        <v>4597.547417968236</v>
      </c>
      <c r="K31" s="296">
        <v>4147.8507113187488</v>
      </c>
      <c r="L31" s="296">
        <v>3670.5590180448785</v>
      </c>
      <c r="M31" s="296">
        <v>3163.9790117879061</v>
      </c>
      <c r="N31" s="296">
        <v>2626.3134576713719</v>
      </c>
      <c r="O31" s="296">
        <v>2055.6548361054893</v>
      </c>
      <c r="P31" s="296">
        <v>1449.9785753255546</v>
      </c>
      <c r="Q31" s="296">
        <v>807.13586865489287</v>
      </c>
      <c r="R31" s="296">
        <v>159.84611706114805</v>
      </c>
      <c r="S31" s="255"/>
      <c r="T31" s="255"/>
      <c r="U31" s="255"/>
      <c r="V31" s="255"/>
      <c r="W31" s="255"/>
      <c r="X31" s="255"/>
      <c r="Y31" s="255"/>
      <c r="Z31" s="255"/>
      <c r="AA31" s="255"/>
      <c r="AB31" s="293"/>
      <c r="AD31" s="255"/>
    </row>
    <row r="32" spans="1:30" s="256" customFormat="1" ht="15">
      <c r="A32" s="292" t="s">
        <v>18</v>
      </c>
      <c r="C32" s="295">
        <v>51.321513599999989</v>
      </c>
      <c r="D32" s="295">
        <v>92.451022492838405</v>
      </c>
      <c r="E32" s="295">
        <v>95.352953057265609</v>
      </c>
      <c r="F32" s="295">
        <v>95.463936810244846</v>
      </c>
      <c r="G32" s="295">
        <v>95.86142836660224</v>
      </c>
      <c r="H32" s="295">
        <v>95.947521235182052</v>
      </c>
      <c r="I32" s="295">
        <v>96.03479238918635</v>
      </c>
      <c r="J32" s="295">
        <v>96.367872770506082</v>
      </c>
      <c r="K32" s="295">
        <v>96.430393066445475</v>
      </c>
      <c r="L32" s="295">
        <v>96.49416376830365</v>
      </c>
      <c r="M32" s="295">
        <v>96.559209884198992</v>
      </c>
      <c r="N32" s="295">
        <v>96.625556922412272</v>
      </c>
      <c r="O32" s="295">
        <v>96.693230901389811</v>
      </c>
      <c r="P32" s="295">
        <v>96.762258359946884</v>
      </c>
      <c r="Q32" s="295">
        <v>96.832666367675088</v>
      </c>
      <c r="R32" s="295">
        <v>128.86018232333782</v>
      </c>
      <c r="S32" s="255"/>
      <c r="T32" s="255"/>
      <c r="U32" s="255"/>
      <c r="V32" s="255"/>
      <c r="W32" s="255"/>
      <c r="X32" s="255"/>
      <c r="Y32" s="255"/>
      <c r="Z32" s="255"/>
      <c r="AA32" s="255"/>
      <c r="AD32" s="255"/>
    </row>
    <row r="33" spans="1:30" s="256" customFormat="1" ht="17.25">
      <c r="A33" s="292" t="s">
        <v>19</v>
      </c>
      <c r="C33" s="294">
        <f>C31-C32</f>
        <v>3073.8415725751311</v>
      </c>
      <c r="D33" s="294">
        <f t="shared" ref="D33:R33" si="6">D31-D32</f>
        <v>6706.9590405689332</v>
      </c>
      <c r="E33" s="294">
        <f t="shared" si="6"/>
        <v>6389.4745132465096</v>
      </c>
      <c r="F33" s="294">
        <f t="shared" si="6"/>
        <v>5992.3441242882755</v>
      </c>
      <c r="G33" s="294">
        <f t="shared" si="6"/>
        <v>5700.704572957492</v>
      </c>
      <c r="H33" s="294">
        <f t="shared" si="6"/>
        <v>5324.4978109794974</v>
      </c>
      <c r="I33" s="294">
        <f t="shared" si="6"/>
        <v>4925.2097709960726</v>
      </c>
      <c r="J33" s="294">
        <f t="shared" si="6"/>
        <v>4501.1795451977296</v>
      </c>
      <c r="K33" s="294">
        <f t="shared" si="6"/>
        <v>4051.4203182523033</v>
      </c>
      <c r="L33" s="294">
        <f t="shared" si="6"/>
        <v>3574.0648542765748</v>
      </c>
      <c r="M33" s="294">
        <f t="shared" si="6"/>
        <v>3067.4198019037071</v>
      </c>
      <c r="N33" s="294">
        <f t="shared" si="6"/>
        <v>2529.6879007489597</v>
      </c>
      <c r="O33" s="294">
        <f t="shared" si="6"/>
        <v>1958.9616052040994</v>
      </c>
      <c r="P33" s="294">
        <f t="shared" si="6"/>
        <v>1353.2163169656078</v>
      </c>
      <c r="Q33" s="294">
        <f t="shared" si="6"/>
        <v>710.3032022872178</v>
      </c>
      <c r="R33" s="294">
        <f t="shared" si="6"/>
        <v>30.985934737810226</v>
      </c>
      <c r="S33" s="255"/>
      <c r="T33" s="255"/>
      <c r="U33" s="255"/>
      <c r="V33" s="255"/>
      <c r="W33" s="255"/>
      <c r="X33" s="255"/>
      <c r="Y33" s="255"/>
      <c r="Z33" s="255"/>
      <c r="AA33" s="255"/>
      <c r="AD33" s="255"/>
    </row>
    <row r="34" spans="1:30" s="256" customFormat="1" ht="15.75">
      <c r="A34" s="17" t="s">
        <v>137</v>
      </c>
      <c r="C34" s="296">
        <f>C29-C33</f>
        <v>1375.1704367174643</v>
      </c>
      <c r="D34" s="296">
        <f t="shared" ref="D34:R34" si="7">D29-D33</f>
        <v>1454.2379488941533</v>
      </c>
      <c r="E34" s="296">
        <f t="shared" si="7"/>
        <v>1779.1246406965747</v>
      </c>
      <c r="F34" s="296">
        <f t="shared" si="7"/>
        <v>2183.8052374244089</v>
      </c>
      <c r="G34" s="296">
        <f t="shared" si="7"/>
        <v>2483.1460006801808</v>
      </c>
      <c r="H34" s="296">
        <f t="shared" si="7"/>
        <v>3069.4239460847239</v>
      </c>
      <c r="I34" s="296">
        <f t="shared" si="7"/>
        <v>3644.732775527993</v>
      </c>
      <c r="J34" s="296">
        <f t="shared" si="7"/>
        <v>4076.9355890308279</v>
      </c>
      <c r="K34" s="296">
        <f t="shared" si="7"/>
        <v>4535.0308554348412</v>
      </c>
      <c r="L34" s="296">
        <f t="shared" si="7"/>
        <v>5020.88907965833</v>
      </c>
      <c r="M34" s="296">
        <f t="shared" si="7"/>
        <v>5536.2069474839172</v>
      </c>
      <c r="N34" s="296">
        <f t="shared" si="7"/>
        <v>6082.7851204004301</v>
      </c>
      <c r="O34" s="296">
        <f t="shared" si="7"/>
        <v>6662.5346131422966</v>
      </c>
      <c r="P34" s="296">
        <f t="shared" si="7"/>
        <v>7277.4835625217265</v>
      </c>
      <c r="Q34" s="296">
        <f t="shared" si="7"/>
        <v>7929.7844115638818</v>
      </c>
      <c r="R34" s="296">
        <f t="shared" si="7"/>
        <v>14654.248246000852</v>
      </c>
      <c r="S34" s="255"/>
      <c r="T34" s="255"/>
      <c r="U34" s="255"/>
      <c r="V34" s="255"/>
      <c r="W34" s="255"/>
      <c r="X34" s="255"/>
      <c r="Y34" s="255"/>
      <c r="Z34" s="255"/>
      <c r="AA34" s="255"/>
      <c r="AD34" s="255"/>
    </row>
    <row r="35" spans="1:30" s="256" customFormat="1" ht="15.75">
      <c r="A35" s="17"/>
      <c r="C35" s="296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296"/>
      <c r="S35" s="255"/>
      <c r="T35" s="255"/>
      <c r="U35" s="255"/>
      <c r="V35" s="255"/>
      <c r="W35" s="255"/>
      <c r="X35" s="255"/>
      <c r="Y35" s="255"/>
      <c r="Z35" s="255"/>
      <c r="AA35" s="255"/>
      <c r="AD35" s="255"/>
    </row>
    <row r="36" spans="1:30" s="256" customFormat="1" ht="17.25">
      <c r="A36" s="292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55"/>
      <c r="T36" s="255"/>
      <c r="U36" s="255"/>
      <c r="V36" s="255"/>
      <c r="W36" s="255"/>
      <c r="X36" s="255"/>
      <c r="Y36" s="255"/>
      <c r="Z36" s="255"/>
      <c r="AA36" s="255"/>
      <c r="AD36" s="255"/>
    </row>
    <row r="37" spans="1:30" s="256" customFormat="1" ht="17.25">
      <c r="A37" s="17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4"/>
      <c r="Q37" s="314"/>
      <c r="R37" s="314"/>
      <c r="S37" s="255"/>
      <c r="T37" s="255"/>
      <c r="U37" s="255"/>
      <c r="V37" s="255"/>
      <c r="W37" s="255"/>
      <c r="X37" s="255"/>
      <c r="Y37" s="255"/>
      <c r="Z37" s="255"/>
      <c r="AA37" s="255"/>
      <c r="AD37" s="255"/>
    </row>
    <row r="38" spans="1:30" s="63" customFormat="1" ht="12.75" customHeight="1">
      <c r="A38" s="109"/>
      <c r="B38" s="107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/>
      <c r="T38"/>
      <c r="U38"/>
      <c r="V38"/>
      <c r="W38"/>
      <c r="X38"/>
      <c r="Y38"/>
      <c r="Z38"/>
      <c r="AA38"/>
      <c r="AD38" s="59"/>
    </row>
    <row r="39" spans="1:30" s="59" customFormat="1" ht="12.6" customHeight="1">
      <c r="S39"/>
      <c r="T39"/>
      <c r="U39"/>
      <c r="V39"/>
      <c r="W39"/>
      <c r="X39"/>
      <c r="Y39"/>
      <c r="Z39"/>
      <c r="AA39"/>
    </row>
    <row r="40" spans="1:30" s="63" customFormat="1" ht="12.6" customHeight="1">
      <c r="A40" s="65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/>
      <c r="T40"/>
      <c r="U40"/>
      <c r="V40"/>
      <c r="W40"/>
      <c r="X40"/>
      <c r="Y40"/>
      <c r="Z40"/>
      <c r="AA40"/>
      <c r="AD40" s="59"/>
    </row>
    <row r="41" spans="1:30" s="63" customFormat="1" ht="12.6" customHeight="1">
      <c r="A41" s="65"/>
      <c r="B41" s="59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/>
      <c r="T41"/>
      <c r="U41"/>
      <c r="V41"/>
      <c r="W41"/>
      <c r="X41"/>
      <c r="Y41"/>
      <c r="Z41"/>
      <c r="AA41"/>
      <c r="AD41" s="59"/>
    </row>
    <row r="42" spans="1:30" s="63" customFormat="1" ht="12.6" customHeight="1">
      <c r="S42"/>
      <c r="T42"/>
      <c r="U42"/>
      <c r="V42"/>
      <c r="W42"/>
      <c r="X42"/>
      <c r="Y42"/>
      <c r="Z42"/>
      <c r="AA42"/>
      <c r="AD42" s="59"/>
    </row>
    <row r="43" spans="1:30" s="63" customFormat="1" ht="12.6" customHeight="1">
      <c r="A43" s="65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/>
      <c r="T43"/>
      <c r="U43"/>
      <c r="V43"/>
      <c r="W43"/>
      <c r="X43"/>
      <c r="Y43"/>
      <c r="Z43"/>
      <c r="AA43"/>
      <c r="AD43" s="59"/>
    </row>
    <row r="44" spans="1:30" s="59" customFormat="1" ht="12.6" customHeight="1"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/>
      <c r="T44"/>
      <c r="U44"/>
      <c r="V44"/>
      <c r="W44"/>
      <c r="X44"/>
      <c r="Y44"/>
      <c r="Z44"/>
      <c r="AA44"/>
    </row>
    <row r="45" spans="1:30" s="59" customFormat="1" ht="12.6" customHeight="1">
      <c r="C45" s="103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S45"/>
      <c r="T45"/>
      <c r="U45"/>
      <c r="V45"/>
      <c r="W45"/>
      <c r="X45"/>
      <c r="Y45"/>
      <c r="Z45"/>
      <c r="AA45"/>
    </row>
    <row r="46" spans="1:30" s="59" customFormat="1" ht="12.6" customHeight="1">
      <c r="A46" s="7"/>
      <c r="S46"/>
      <c r="T46"/>
      <c r="U46"/>
      <c r="V46"/>
      <c r="W46"/>
      <c r="X46"/>
      <c r="Y46"/>
      <c r="Z46"/>
      <c r="AA46"/>
    </row>
    <row r="47" spans="1:30" s="63" customFormat="1" ht="12.6" customHeight="1">
      <c r="A47" s="65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/>
      <c r="T47"/>
      <c r="U47"/>
      <c r="V47"/>
      <c r="W47"/>
      <c r="X47"/>
      <c r="Y47"/>
      <c r="Z47"/>
      <c r="AA47"/>
      <c r="AD47" s="59"/>
    </row>
    <row r="48" spans="1:30" s="63" customFormat="1" ht="12.6" customHeight="1">
      <c r="A48" s="65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/>
      <c r="T48"/>
      <c r="U48"/>
      <c r="V48"/>
      <c r="W48"/>
      <c r="X48"/>
      <c r="Y48"/>
      <c r="Z48"/>
      <c r="AA48"/>
      <c r="AD48" s="59"/>
    </row>
    <row r="49" spans="1:30" s="63" customFormat="1" ht="12.6" customHeight="1">
      <c r="A49" s="65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5"/>
      <c r="S49"/>
      <c r="T49"/>
      <c r="U49"/>
      <c r="V49"/>
      <c r="W49"/>
      <c r="X49"/>
      <c r="Y49"/>
      <c r="Z49"/>
      <c r="AA49"/>
      <c r="AD49" s="59"/>
    </row>
    <row r="50" spans="1:30" s="63" customFormat="1" ht="12.6" customHeight="1">
      <c r="A50" s="65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/>
      <c r="T50"/>
      <c r="U50"/>
      <c r="V50"/>
      <c r="W50"/>
      <c r="X50"/>
      <c r="Y50"/>
      <c r="Z50"/>
      <c r="AA50"/>
      <c r="AD50" s="59"/>
    </row>
    <row r="51" spans="1:30" s="63" customFormat="1" ht="12.6" customHeight="1">
      <c r="A51" s="65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/>
      <c r="T51"/>
      <c r="U51"/>
      <c r="V51"/>
      <c r="W51"/>
      <c r="X51"/>
      <c r="Y51"/>
      <c r="Z51"/>
      <c r="AA51"/>
      <c r="AD51" s="59"/>
    </row>
    <row r="52" spans="1:30" s="63" customFormat="1" ht="12.6" customHeight="1">
      <c r="A52" s="65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/>
      <c r="T52"/>
      <c r="U52"/>
      <c r="V52"/>
      <c r="W52"/>
      <c r="X52"/>
      <c r="Y52"/>
      <c r="Z52"/>
      <c r="AA52"/>
      <c r="AD52" s="59"/>
    </row>
    <row r="53" spans="1:30" s="63" customFormat="1" ht="12.6" customHeight="1">
      <c r="A53" s="65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/>
      <c r="T53"/>
      <c r="U53"/>
      <c r="V53"/>
      <c r="W53"/>
      <c r="X53"/>
      <c r="Y53"/>
      <c r="Z53"/>
      <c r="AA53"/>
      <c r="AD53" s="59"/>
    </row>
    <row r="54" spans="1:30" s="59" customFormat="1" ht="12.6" customHeight="1">
      <c r="A54" s="65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S54"/>
      <c r="T54"/>
      <c r="U54"/>
      <c r="V54"/>
      <c r="W54"/>
      <c r="X54"/>
      <c r="Y54"/>
      <c r="Z54"/>
      <c r="AA54"/>
    </row>
    <row r="55" spans="1:30" s="59" customFormat="1" ht="12.6" customHeight="1">
      <c r="A55" s="65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S55"/>
      <c r="T55"/>
      <c r="U55"/>
      <c r="V55"/>
      <c r="W55"/>
      <c r="X55"/>
      <c r="Y55"/>
      <c r="Z55"/>
      <c r="AA55"/>
    </row>
    <row r="56" spans="1:30" s="59" customFormat="1" ht="12.6" customHeight="1">
      <c r="A56" s="65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S56"/>
      <c r="T56"/>
      <c r="U56"/>
      <c r="V56"/>
      <c r="W56"/>
      <c r="X56"/>
      <c r="Y56"/>
      <c r="Z56"/>
      <c r="AA56"/>
    </row>
    <row r="57" spans="1:30" s="63" customFormat="1" ht="12.6" customHeight="1">
      <c r="A57" s="65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106"/>
      <c r="S57"/>
      <c r="T57"/>
      <c r="U57"/>
      <c r="V57"/>
      <c r="W57"/>
      <c r="X57"/>
      <c r="Y57"/>
      <c r="Z57"/>
      <c r="AA57"/>
      <c r="AD57" s="59"/>
    </row>
    <row r="58" spans="1:30" s="63" customFormat="1" ht="12.6" customHeight="1">
      <c r="A58" s="6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0"/>
      <c r="S58"/>
      <c r="T58"/>
      <c r="U58"/>
      <c r="V58"/>
      <c r="W58"/>
      <c r="X58"/>
      <c r="Y58"/>
      <c r="Z58"/>
      <c r="AA58"/>
      <c r="AD58" s="59"/>
    </row>
    <row r="59" spans="1:30" s="63" customFormat="1" ht="12.6" customHeight="1">
      <c r="S59"/>
      <c r="T59"/>
      <c r="U59"/>
      <c r="V59"/>
      <c r="W59"/>
      <c r="X59"/>
      <c r="Y59"/>
      <c r="Z59"/>
      <c r="AA59"/>
      <c r="AD59" s="59"/>
    </row>
    <row r="60" spans="1:30" s="63" customFormat="1" ht="12.6" customHeight="1">
      <c r="S60"/>
      <c r="T60"/>
      <c r="U60"/>
      <c r="V60"/>
      <c r="W60"/>
      <c r="X60"/>
      <c r="Y60"/>
      <c r="Z60"/>
      <c r="AA60"/>
      <c r="AD60" s="59"/>
    </row>
    <row r="61" spans="1:30" s="63" customFormat="1" ht="12.6" customHeight="1">
      <c r="S61"/>
      <c r="T61"/>
      <c r="U61"/>
      <c r="V61"/>
      <c r="W61"/>
      <c r="X61"/>
      <c r="Y61"/>
      <c r="Z61"/>
      <c r="AA61"/>
      <c r="AD61" s="59"/>
    </row>
    <row r="62" spans="1:30" s="63" customFormat="1" ht="12.6" customHeight="1">
      <c r="S62"/>
      <c r="T62"/>
      <c r="U62"/>
      <c r="V62"/>
      <c r="W62"/>
      <c r="X62"/>
      <c r="Y62"/>
      <c r="Z62"/>
      <c r="AA62"/>
      <c r="AD62" s="59"/>
    </row>
    <row r="63" spans="1:30" s="63" customFormat="1" ht="12.6" customHeight="1">
      <c r="S63"/>
      <c r="T63"/>
      <c r="U63"/>
      <c r="V63"/>
      <c r="W63"/>
      <c r="X63"/>
      <c r="Y63"/>
      <c r="Z63"/>
      <c r="AA63"/>
      <c r="AD63" s="59"/>
    </row>
    <row r="64" spans="1:30" s="63" customFormat="1" ht="12.6" customHeight="1">
      <c r="S64"/>
      <c r="T64"/>
      <c r="U64"/>
      <c r="V64"/>
      <c r="W64"/>
      <c r="X64"/>
      <c r="Y64"/>
      <c r="Z64"/>
      <c r="AA64"/>
      <c r="AD64" s="59"/>
    </row>
    <row r="65" spans="19:30" s="63" customFormat="1" ht="12.6" customHeight="1">
      <c r="S65"/>
      <c r="T65"/>
      <c r="U65"/>
      <c r="V65"/>
      <c r="W65"/>
      <c r="X65"/>
      <c r="Y65"/>
      <c r="Z65"/>
      <c r="AA65"/>
      <c r="AD65" s="59"/>
    </row>
    <row r="66" spans="19:30" s="63" customFormat="1" ht="12.6" customHeight="1">
      <c r="S66"/>
      <c r="T66"/>
      <c r="U66"/>
      <c r="V66"/>
      <c r="W66"/>
      <c r="X66"/>
      <c r="Y66"/>
      <c r="Z66"/>
      <c r="AA66"/>
      <c r="AD66" s="59"/>
    </row>
    <row r="67" spans="19:30" s="59" customFormat="1" ht="12.6" customHeight="1">
      <c r="S67"/>
      <c r="T67"/>
      <c r="U67"/>
      <c r="V67"/>
      <c r="W67"/>
      <c r="X67"/>
      <c r="Y67"/>
      <c r="Z67"/>
      <c r="AA67"/>
    </row>
    <row r="68" spans="19:30" s="59" customFormat="1" ht="12.6" customHeight="1">
      <c r="S68"/>
      <c r="T68"/>
      <c r="U68"/>
      <c r="V68"/>
      <c r="W68"/>
      <c r="X68"/>
      <c r="Y68"/>
      <c r="Z68"/>
      <c r="AA68"/>
    </row>
    <row r="69" spans="19:30" s="59" customFormat="1" ht="12.6" customHeight="1">
      <c r="S69"/>
      <c r="T69"/>
      <c r="U69"/>
      <c r="V69"/>
      <c r="W69"/>
      <c r="X69"/>
      <c r="Y69"/>
      <c r="Z69"/>
      <c r="AA69"/>
    </row>
    <row r="70" spans="19:30" s="59" customFormat="1" ht="12.6" customHeight="1">
      <c r="S70"/>
      <c r="T70"/>
      <c r="U70"/>
      <c r="V70"/>
      <c r="W70"/>
      <c r="X70"/>
      <c r="Y70"/>
      <c r="Z70"/>
      <c r="AA70"/>
    </row>
    <row r="71" spans="19:30" s="59" customFormat="1" ht="12.6" customHeight="1">
      <c r="S71"/>
      <c r="T71"/>
      <c r="U71"/>
      <c r="V71"/>
      <c r="W71"/>
      <c r="X71"/>
      <c r="Y71"/>
      <c r="Z71"/>
      <c r="AA71"/>
    </row>
    <row r="72" spans="19:30" s="59" customFormat="1" ht="12.6" customHeight="1">
      <c r="S72"/>
      <c r="T72"/>
      <c r="U72"/>
      <c r="V72"/>
      <c r="W72"/>
      <c r="X72"/>
      <c r="Y72"/>
      <c r="Z72"/>
      <c r="AA72"/>
    </row>
    <row r="73" spans="19:30" s="59" customFormat="1" ht="12.6" customHeight="1">
      <c r="S73"/>
      <c r="T73"/>
      <c r="U73"/>
      <c r="V73"/>
      <c r="W73"/>
      <c r="X73"/>
      <c r="Y73"/>
      <c r="Z73"/>
      <c r="AA73"/>
    </row>
    <row r="74" spans="19:30" s="59" customFormat="1" ht="12.6" customHeight="1">
      <c r="S74"/>
      <c r="T74"/>
      <c r="U74"/>
      <c r="V74"/>
      <c r="W74"/>
      <c r="X74"/>
      <c r="Y74"/>
      <c r="Z74"/>
      <c r="AA74"/>
    </row>
    <row r="75" spans="19:30" s="59" customFormat="1" ht="12.6" customHeight="1">
      <c r="S75"/>
      <c r="T75"/>
      <c r="U75"/>
      <c r="V75"/>
      <c r="W75"/>
      <c r="X75"/>
      <c r="Y75"/>
      <c r="Z75"/>
      <c r="AA75"/>
    </row>
    <row r="76" spans="19:30" s="59" customFormat="1" ht="12.6" customHeight="1">
      <c r="S76"/>
      <c r="T76"/>
      <c r="U76"/>
      <c r="V76"/>
      <c r="W76"/>
      <c r="X76"/>
      <c r="Y76"/>
      <c r="Z76"/>
      <c r="AA76"/>
    </row>
    <row r="77" spans="19:30" s="59" customFormat="1" ht="12.6" customHeight="1">
      <c r="S77"/>
      <c r="T77"/>
      <c r="U77"/>
      <c r="V77"/>
      <c r="W77"/>
      <c r="X77"/>
      <c r="Y77"/>
      <c r="Z77"/>
      <c r="AA77"/>
    </row>
    <row r="78" spans="19:30" s="59" customFormat="1" ht="12.6" customHeight="1">
      <c r="S78"/>
      <c r="T78"/>
      <c r="U78"/>
      <c r="V78"/>
      <c r="W78"/>
      <c r="X78"/>
      <c r="Y78"/>
      <c r="Z78"/>
      <c r="AA78"/>
    </row>
    <row r="79" spans="19:30" s="59" customFormat="1" ht="12.6" customHeight="1">
      <c r="S79"/>
      <c r="T79"/>
      <c r="U79"/>
      <c r="V79"/>
      <c r="W79"/>
      <c r="X79"/>
      <c r="Y79"/>
      <c r="Z79"/>
      <c r="AA79"/>
    </row>
    <row r="80" spans="19:30" s="59" customFormat="1" ht="12.6" customHeight="1">
      <c r="S80"/>
      <c r="T80"/>
      <c r="U80"/>
      <c r="V80"/>
      <c r="W80"/>
      <c r="X80"/>
      <c r="Y80"/>
      <c r="Z80"/>
      <c r="AA80"/>
    </row>
    <row r="81" spans="19:27" s="59" customFormat="1" ht="12.6" customHeight="1">
      <c r="S81"/>
      <c r="T81"/>
      <c r="U81"/>
      <c r="V81"/>
      <c r="W81"/>
      <c r="X81"/>
      <c r="Y81"/>
      <c r="Z81"/>
      <c r="AA81"/>
    </row>
    <row r="82" spans="19:27" customFormat="1" ht="12.6" customHeight="1"/>
    <row r="83" spans="19:27" customFormat="1" ht="12.6" customHeight="1"/>
    <row r="84" spans="19:27" customFormat="1" ht="12.6" customHeight="1"/>
    <row r="85" spans="19:27" customFormat="1" ht="12.6" customHeight="1"/>
    <row r="86" spans="19:27" customFormat="1" ht="12.6" customHeight="1"/>
    <row r="87" spans="19:27" customFormat="1" ht="12.6" customHeight="1"/>
    <row r="88" spans="19:27" customFormat="1" ht="12.6" customHeight="1"/>
    <row r="89" spans="19:27" customFormat="1" ht="12.6" customHeight="1"/>
    <row r="90" spans="19:27" customFormat="1" ht="12.6" customHeight="1"/>
    <row r="91" spans="19:27" customFormat="1" ht="12.6" customHeight="1"/>
    <row r="92" spans="19:27" customFormat="1" ht="12.6" customHeight="1"/>
    <row r="186" spans="3:18" ht="12.6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3:18" ht="12.6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3:18" ht="12.6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3:18" ht="12.6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3:18" ht="12.6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3:18" ht="12.6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3:18" ht="12.6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3:18" ht="12.6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3:18" ht="12.6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3:18" ht="12.6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3:18" ht="12.6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3:18" ht="12.6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3:18" ht="12.6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3:18" ht="12.6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3:18" ht="12.6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3:18" customFormat="1" ht="12.6" customHeight="1"/>
    <row r="202" spans="3:18" customFormat="1" ht="12.6" customHeight="1"/>
    <row r="203" spans="3:18" ht="12.6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3:18" ht="12.6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3:18" ht="12.6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3:18" ht="12.6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3:18" ht="12.6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3:18" ht="12.6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3:18" ht="12.6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3:18" ht="12.6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3:18" ht="12.6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3:18" ht="12.6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3:18" ht="12.6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3:18" ht="12.6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3:18" ht="12.6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3:18" ht="12.6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3:18" ht="12.6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3:18" ht="12.6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3:18" ht="12.6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3:18" ht="12.6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3:18" ht="12.6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3:18" ht="12.6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3:18" ht="12.6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3:18" ht="12.6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3:18" ht="12.6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3:18" ht="12.6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3:18" ht="12.6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3:18" ht="12.6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3:18" ht="12.6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3:18" ht="12.6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3:18" ht="12.6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3:18" ht="12.6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3:18" ht="12.6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3:18" ht="12.6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3:18" ht="12.6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3:18" ht="12.6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3:18" ht="12.6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</sheetData>
  <customSheetViews>
    <customSheetView guid="{9D7575BF-255B-11D2-8267-00A0D1027254}" showRuler="0">
      <selection activeCell="A22" sqref="A22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1"/>
      <headerFooter alignWithMargins="0">
        <oddFooter>&amp;L&amp;D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40" man="1"/>
      </colBreaks>
      <pageMargins left="0.46" right="0.31" top="0.5" bottom="0.5" header="0.5" footer="0.5"/>
      <pageSetup scale="75" fitToHeight="2" orientation="landscape" verticalDpi="300" r:id="rId2"/>
      <headerFooter alignWithMargins="0">
        <oddFooter>&amp;L&amp;D   &amp;T&amp;RO:\Naes\GenSvcs\Tva\Tva\Models\&amp;F
&amp;A   &amp;P</oddFooter>
      </headerFooter>
    </customSheetView>
    <customSheetView guid="{14FB3146-3CEF-11D2-B9CE-0060080D6A65}" showRuler="0" topLeftCell="A40">
      <selection activeCell="C60" sqref="C60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3"/>
      <headerFooter alignWithMargins="0">
        <oddFooter>&amp;L&amp;D &amp;T&amp;RO:\Naes\GenSvcs\TVA\TVA Model\&amp;F
&amp;A &amp;P</oddFooter>
      </headerFooter>
    </customSheetView>
  </customSheetViews>
  <printOptions horizontalCentered="1" verticalCentered="1"/>
  <pageMargins left="0.25" right="0.25" top="0.5" bottom="0.5" header="0.5" footer="0.25"/>
  <pageSetup scale="58" orientation="landscape" verticalDpi="300" r:id="rId4"/>
  <headerFooter alignWithMargins="0">
    <oddFooter>&amp;L&amp;D &amp;T&amp;R&amp;A &amp;P</oddFooter>
  </headerFooter>
  <colBreaks count="1" manualBreakCount="1">
    <brk id="14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T52"/>
  <sheetViews>
    <sheetView zoomScale="75" zoomScaleNormal="75" zoomScaleSheetLayoutView="75" workbookViewId="0">
      <selection activeCell="C10" sqref="C10"/>
    </sheetView>
  </sheetViews>
  <sheetFormatPr defaultRowHeight="12.75"/>
  <cols>
    <col min="1" max="1" width="54.5703125" bestFit="1" customWidth="1"/>
    <col min="2" max="2" width="11" customWidth="1"/>
    <col min="3" max="18" width="11.42578125" bestFit="1" customWidth="1"/>
    <col min="19" max="19" width="10.42578125" bestFit="1" customWidth="1"/>
  </cols>
  <sheetData>
    <row r="1" spans="1:228" ht="26.25">
      <c r="A1" s="127" t="s">
        <v>74</v>
      </c>
    </row>
    <row r="2" spans="1:228" ht="18">
      <c r="A2" s="128" t="s">
        <v>144</v>
      </c>
    </row>
    <row r="3" spans="1:228" s="256" customFormat="1" ht="15.75">
      <c r="A3" s="17"/>
      <c r="B3" s="255"/>
      <c r="C3" s="256">
        <v>1</v>
      </c>
      <c r="D3" s="256">
        <v>2</v>
      </c>
      <c r="E3" s="256">
        <v>3</v>
      </c>
      <c r="F3" s="256">
        <v>4</v>
      </c>
      <c r="G3" s="256">
        <v>5</v>
      </c>
      <c r="H3" s="256">
        <v>6</v>
      </c>
      <c r="I3" s="257">
        <v>7</v>
      </c>
      <c r="J3" s="256">
        <v>8</v>
      </c>
      <c r="K3" s="256">
        <v>9</v>
      </c>
      <c r="L3" s="256">
        <v>10</v>
      </c>
      <c r="M3" s="256">
        <v>11</v>
      </c>
      <c r="N3" s="256">
        <v>12</v>
      </c>
      <c r="O3" s="257">
        <v>13</v>
      </c>
      <c r="P3" s="256">
        <v>14</v>
      </c>
      <c r="Q3" s="256">
        <v>15</v>
      </c>
      <c r="R3" s="256">
        <v>16</v>
      </c>
      <c r="S3" s="255"/>
      <c r="T3" s="255"/>
      <c r="U3" s="255"/>
      <c r="V3" s="255"/>
      <c r="W3" s="255"/>
      <c r="X3" s="255"/>
      <c r="Y3" s="255"/>
      <c r="Z3" s="255"/>
      <c r="AA3" s="255"/>
      <c r="AC3" s="291"/>
      <c r="AD3" s="255"/>
    </row>
    <row r="4" spans="1:228" s="256" customFormat="1" ht="15.75">
      <c r="A4" s="129"/>
      <c r="C4" s="258">
        <v>2000</v>
      </c>
      <c r="D4" s="258">
        <v>2001</v>
      </c>
      <c r="E4" s="258">
        <v>2002</v>
      </c>
      <c r="F4" s="258">
        <v>2003</v>
      </c>
      <c r="G4" s="258">
        <v>2004</v>
      </c>
      <c r="H4" s="258">
        <v>2005</v>
      </c>
      <c r="I4" s="258">
        <v>2006</v>
      </c>
      <c r="J4" s="258">
        <v>2007</v>
      </c>
      <c r="K4" s="258">
        <v>2008</v>
      </c>
      <c r="L4" s="258">
        <v>2009</v>
      </c>
      <c r="M4" s="258">
        <v>2010</v>
      </c>
      <c r="N4" s="258">
        <v>2011</v>
      </c>
      <c r="O4" s="258">
        <v>2012</v>
      </c>
      <c r="P4" s="258">
        <v>2013</v>
      </c>
      <c r="Q4" s="258">
        <v>2014</v>
      </c>
      <c r="R4" s="258">
        <v>2015</v>
      </c>
      <c r="S4" s="255"/>
      <c r="T4" s="255"/>
      <c r="U4" s="255"/>
      <c r="V4" s="255"/>
      <c r="W4" s="255"/>
      <c r="X4" s="255"/>
      <c r="Y4" s="255"/>
      <c r="Z4" s="255"/>
      <c r="AA4" s="255"/>
      <c r="AB4" s="258"/>
      <c r="AC4" s="258"/>
      <c r="AD4" s="255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</row>
    <row r="5" spans="1:228" s="256" customFormat="1" ht="20.25">
      <c r="A5" s="330"/>
      <c r="C5" s="260">
        <v>6.55</v>
      </c>
      <c r="D5" s="261">
        <v>12</v>
      </c>
      <c r="E5" s="261">
        <v>12</v>
      </c>
      <c r="F5" s="261">
        <v>12</v>
      </c>
      <c r="G5" s="261">
        <v>12</v>
      </c>
      <c r="H5" s="261">
        <v>12</v>
      </c>
      <c r="I5" s="261">
        <v>12</v>
      </c>
      <c r="J5" s="261">
        <v>12</v>
      </c>
      <c r="K5" s="261">
        <v>12</v>
      </c>
      <c r="L5" s="261">
        <v>12</v>
      </c>
      <c r="M5" s="261">
        <v>12</v>
      </c>
      <c r="N5" s="261">
        <v>12</v>
      </c>
      <c r="O5" s="261">
        <v>12</v>
      </c>
      <c r="P5" s="261">
        <v>12</v>
      </c>
      <c r="Q5" s="261">
        <v>12</v>
      </c>
      <c r="R5" s="261">
        <v>6.5</v>
      </c>
      <c r="S5" s="255"/>
      <c r="T5" s="255"/>
      <c r="U5" s="255"/>
      <c r="V5" s="255"/>
      <c r="W5" s="255"/>
      <c r="X5" s="255"/>
      <c r="Y5" s="255"/>
      <c r="Z5" s="255"/>
      <c r="AA5" s="255"/>
      <c r="AB5" s="258"/>
      <c r="AC5" s="258"/>
      <c r="AD5" s="255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</row>
    <row r="6" spans="1:228" s="273" customFormat="1" ht="15.75">
      <c r="A6" s="55" t="s">
        <v>33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55"/>
      <c r="T6" s="255"/>
      <c r="U6" s="255"/>
      <c r="V6" s="255"/>
      <c r="W6" s="255"/>
      <c r="X6" s="255"/>
      <c r="Y6" s="255"/>
      <c r="Z6" s="255"/>
      <c r="AA6" s="255"/>
    </row>
    <row r="7" spans="1:228" s="256" customFormat="1" ht="15">
      <c r="A7" s="292" t="s">
        <v>65</v>
      </c>
      <c r="C7" s="293">
        <f>'Project Assumptions'!E14</f>
        <v>351.6</v>
      </c>
      <c r="D7" s="293">
        <f>C7</f>
        <v>351.6</v>
      </c>
      <c r="E7" s="293">
        <f t="shared" ref="E7:R7" si="0">D7</f>
        <v>351.6</v>
      </c>
      <c r="F7" s="293">
        <f t="shared" si="0"/>
        <v>351.6</v>
      </c>
      <c r="G7" s="293">
        <f t="shared" si="0"/>
        <v>351.6</v>
      </c>
      <c r="H7" s="293">
        <f t="shared" si="0"/>
        <v>351.6</v>
      </c>
      <c r="I7" s="293">
        <f t="shared" si="0"/>
        <v>351.6</v>
      </c>
      <c r="J7" s="293">
        <f t="shared" si="0"/>
        <v>351.6</v>
      </c>
      <c r="K7" s="293">
        <f t="shared" si="0"/>
        <v>351.6</v>
      </c>
      <c r="L7" s="293">
        <f t="shared" si="0"/>
        <v>351.6</v>
      </c>
      <c r="M7" s="293">
        <f t="shared" si="0"/>
        <v>351.6</v>
      </c>
      <c r="N7" s="293">
        <f t="shared" si="0"/>
        <v>351.6</v>
      </c>
      <c r="O7" s="293">
        <f t="shared" si="0"/>
        <v>351.6</v>
      </c>
      <c r="P7" s="293">
        <f t="shared" si="0"/>
        <v>351.6</v>
      </c>
      <c r="Q7" s="293">
        <f t="shared" si="0"/>
        <v>351.6</v>
      </c>
      <c r="R7" s="293">
        <f t="shared" si="0"/>
        <v>351.6</v>
      </c>
      <c r="S7" s="255"/>
      <c r="T7" s="255"/>
      <c r="U7" s="255"/>
      <c r="V7" s="255"/>
      <c r="W7" s="255"/>
      <c r="X7" s="255"/>
      <c r="Y7" s="255"/>
      <c r="Z7" s="255"/>
      <c r="AA7" s="255"/>
    </row>
    <row r="8" spans="1:228" s="256" customFormat="1" ht="15">
      <c r="A8" s="292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55"/>
      <c r="T8" s="255"/>
      <c r="U8" s="255"/>
      <c r="V8" s="255"/>
      <c r="W8" s="255"/>
      <c r="X8" s="255"/>
      <c r="Y8" s="255"/>
      <c r="Z8" s="255"/>
      <c r="AA8" s="255"/>
    </row>
    <row r="9" spans="1:228" s="256" customFormat="1" ht="15">
      <c r="A9" s="292" t="s">
        <v>65</v>
      </c>
      <c r="C9" s="293">
        <f>C7</f>
        <v>351.6</v>
      </c>
      <c r="D9" s="293">
        <f>D7</f>
        <v>351.6</v>
      </c>
      <c r="E9" s="293">
        <f t="shared" ref="E9:R9" si="1">E7</f>
        <v>351.6</v>
      </c>
      <c r="F9" s="293">
        <f t="shared" si="1"/>
        <v>351.6</v>
      </c>
      <c r="G9" s="293">
        <f t="shared" si="1"/>
        <v>351.6</v>
      </c>
      <c r="H9" s="293">
        <f t="shared" si="1"/>
        <v>351.6</v>
      </c>
      <c r="I9" s="293">
        <f t="shared" si="1"/>
        <v>351.6</v>
      </c>
      <c r="J9" s="293">
        <f t="shared" si="1"/>
        <v>351.6</v>
      </c>
      <c r="K9" s="293">
        <f t="shared" si="1"/>
        <v>351.6</v>
      </c>
      <c r="L9" s="293">
        <f t="shared" si="1"/>
        <v>351.6</v>
      </c>
      <c r="M9" s="293">
        <f t="shared" si="1"/>
        <v>351.6</v>
      </c>
      <c r="N9" s="293">
        <f t="shared" si="1"/>
        <v>351.6</v>
      </c>
      <c r="O9" s="293">
        <f t="shared" si="1"/>
        <v>351.6</v>
      </c>
      <c r="P9" s="293">
        <f t="shared" si="1"/>
        <v>351.6</v>
      </c>
      <c r="Q9" s="293">
        <f t="shared" si="1"/>
        <v>351.6</v>
      </c>
      <c r="R9" s="293">
        <f t="shared" si="1"/>
        <v>351.6</v>
      </c>
      <c r="S9" s="255"/>
      <c r="T9" s="255"/>
      <c r="U9" s="255"/>
      <c r="V9" s="255"/>
      <c r="W9" s="255"/>
      <c r="X9" s="255"/>
      <c r="Y9" s="255"/>
      <c r="Z9" s="255"/>
      <c r="AA9" s="255"/>
      <c r="AB9" s="293"/>
      <c r="AC9" s="293"/>
      <c r="AD9" s="293"/>
      <c r="AE9" s="293"/>
      <c r="AF9" s="293"/>
      <c r="AG9" s="293"/>
      <c r="AH9" s="293"/>
      <c r="AI9" s="293"/>
      <c r="AJ9" s="293"/>
      <c r="AK9" s="293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3"/>
      <c r="AX9" s="293"/>
      <c r="AY9" s="293"/>
      <c r="AZ9" s="293"/>
      <c r="BA9" s="293"/>
      <c r="BB9" s="293"/>
      <c r="BC9" s="293"/>
      <c r="BD9" s="293"/>
      <c r="BE9" s="293"/>
      <c r="BF9" s="293"/>
      <c r="BG9" s="293"/>
      <c r="BH9" s="293"/>
      <c r="BI9" s="293"/>
      <c r="BJ9" s="293"/>
      <c r="BK9" s="293"/>
      <c r="BL9" s="293"/>
      <c r="BM9" s="293"/>
      <c r="BN9" s="293"/>
      <c r="BO9" s="293"/>
      <c r="BP9" s="293"/>
      <c r="BQ9" s="293"/>
      <c r="BR9" s="293"/>
      <c r="BS9" s="293"/>
      <c r="BT9" s="293"/>
      <c r="BU9" s="293"/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3"/>
      <c r="CK9" s="293"/>
      <c r="CL9" s="293"/>
      <c r="CM9" s="293"/>
      <c r="CN9" s="293"/>
      <c r="CO9" s="293"/>
      <c r="CP9" s="293"/>
      <c r="CQ9" s="293"/>
      <c r="CR9" s="293"/>
      <c r="CS9" s="293"/>
      <c r="CT9" s="293"/>
      <c r="CU9" s="293"/>
      <c r="CV9" s="293"/>
      <c r="CW9" s="293"/>
      <c r="CX9" s="293"/>
      <c r="CY9" s="293"/>
      <c r="CZ9" s="293"/>
      <c r="DA9" s="293"/>
      <c r="DB9" s="293"/>
      <c r="DC9" s="293"/>
      <c r="DD9" s="293"/>
      <c r="DE9" s="293"/>
      <c r="DF9" s="293"/>
      <c r="DG9" s="293"/>
      <c r="DH9" s="293"/>
      <c r="DI9" s="293"/>
      <c r="DJ9" s="293"/>
      <c r="DK9" s="293"/>
      <c r="DL9" s="293"/>
      <c r="DM9" s="293"/>
      <c r="DN9" s="293"/>
      <c r="DO9" s="293"/>
      <c r="DP9" s="293"/>
      <c r="DQ9" s="293"/>
      <c r="DR9" s="293"/>
      <c r="DS9" s="293"/>
      <c r="DT9" s="293"/>
      <c r="DU9" s="293"/>
      <c r="DV9" s="293"/>
      <c r="DW9" s="293"/>
      <c r="DX9" s="293"/>
      <c r="DY9" s="293"/>
      <c r="DZ9" s="293"/>
      <c r="EA9" s="293"/>
      <c r="EB9" s="293"/>
      <c r="EC9" s="293"/>
      <c r="ED9" s="293"/>
      <c r="EE9" s="293"/>
      <c r="EF9" s="293"/>
      <c r="EG9" s="293"/>
      <c r="EH9" s="293"/>
      <c r="EI9" s="293"/>
      <c r="EJ9" s="293"/>
      <c r="EK9" s="293"/>
      <c r="EL9" s="293"/>
      <c r="EM9" s="293"/>
      <c r="EN9" s="293"/>
      <c r="EO9" s="293"/>
      <c r="EP9" s="293"/>
      <c r="EQ9" s="293"/>
      <c r="ER9" s="293"/>
      <c r="ES9" s="293"/>
      <c r="ET9" s="293"/>
      <c r="EU9" s="293"/>
      <c r="EV9" s="293"/>
      <c r="EW9" s="293"/>
      <c r="EX9" s="293"/>
      <c r="EY9" s="293"/>
      <c r="EZ9" s="293"/>
      <c r="FA9" s="293"/>
      <c r="FB9" s="293"/>
      <c r="FC9" s="293"/>
      <c r="FD9" s="293"/>
      <c r="FE9" s="293"/>
      <c r="FF9" s="293"/>
      <c r="FG9" s="293"/>
      <c r="FH9" s="293"/>
      <c r="FI9" s="293"/>
      <c r="FJ9" s="293"/>
      <c r="FK9" s="293"/>
      <c r="FL9" s="293"/>
      <c r="FM9" s="293"/>
      <c r="FN9" s="293"/>
      <c r="FO9" s="293"/>
      <c r="FP9" s="293"/>
      <c r="FQ9" s="293"/>
      <c r="FR9" s="293"/>
      <c r="FS9" s="293"/>
      <c r="FT9" s="293"/>
      <c r="FU9" s="293"/>
      <c r="FV9" s="293"/>
      <c r="FW9" s="293"/>
      <c r="FX9" s="293"/>
      <c r="FY9" s="293"/>
      <c r="FZ9" s="293"/>
      <c r="GA9" s="293"/>
      <c r="GB9" s="293"/>
      <c r="GC9" s="293"/>
      <c r="GD9" s="293"/>
      <c r="GE9" s="293"/>
      <c r="GF9" s="293"/>
      <c r="GG9" s="293"/>
      <c r="GH9" s="293"/>
      <c r="GI9" s="293"/>
      <c r="GJ9" s="293"/>
      <c r="GK9" s="293"/>
      <c r="GL9" s="293"/>
      <c r="GM9" s="293"/>
      <c r="GN9" s="293"/>
      <c r="GO9" s="293"/>
      <c r="GP9" s="293"/>
      <c r="GQ9" s="293"/>
      <c r="GR9" s="293"/>
      <c r="GS9" s="293"/>
      <c r="GT9" s="293"/>
      <c r="GU9" s="293"/>
      <c r="GV9" s="293"/>
      <c r="GW9" s="293"/>
      <c r="GX9" s="293"/>
      <c r="GY9" s="293"/>
      <c r="GZ9" s="293"/>
      <c r="HA9" s="293"/>
      <c r="HB9" s="293"/>
      <c r="HC9" s="293"/>
      <c r="HD9" s="293"/>
      <c r="HE9" s="293"/>
      <c r="HF9" s="293"/>
      <c r="HG9" s="293"/>
      <c r="HH9" s="293"/>
      <c r="HI9" s="293"/>
      <c r="HJ9" s="293"/>
      <c r="HK9" s="293"/>
      <c r="HL9" s="293"/>
      <c r="HM9" s="293"/>
      <c r="HN9" s="293"/>
      <c r="HO9" s="293"/>
      <c r="HP9" s="293"/>
      <c r="HQ9" s="293"/>
      <c r="HR9" s="293"/>
      <c r="HS9" s="293"/>
      <c r="HT9" s="293"/>
    </row>
    <row r="10" spans="1:228" s="256" customFormat="1" ht="17.25">
      <c r="A10" s="292" t="s">
        <v>64</v>
      </c>
      <c r="C10" s="294">
        <v>1000</v>
      </c>
      <c r="D10" s="294">
        <v>1400</v>
      </c>
      <c r="E10" s="294">
        <v>1400</v>
      </c>
      <c r="F10" s="294">
        <v>1400</v>
      </c>
      <c r="G10" s="294">
        <v>1400</v>
      </c>
      <c r="H10" s="294">
        <v>1400</v>
      </c>
      <c r="I10" s="294">
        <v>1400</v>
      </c>
      <c r="J10" s="294">
        <v>1400</v>
      </c>
      <c r="K10" s="294">
        <v>1400</v>
      </c>
      <c r="L10" s="294">
        <v>1400</v>
      </c>
      <c r="M10" s="294">
        <v>1400</v>
      </c>
      <c r="N10" s="294">
        <v>1400</v>
      </c>
      <c r="O10" s="294">
        <v>1400</v>
      </c>
      <c r="P10" s="294">
        <v>1400</v>
      </c>
      <c r="Q10" s="294">
        <v>1400</v>
      </c>
      <c r="R10" s="294">
        <f>0.7*Q10</f>
        <v>979.99999999999989</v>
      </c>
      <c r="S10" s="255"/>
      <c r="T10" s="255"/>
      <c r="U10" s="255"/>
      <c r="V10" s="255"/>
      <c r="W10" s="255"/>
      <c r="X10" s="255"/>
      <c r="Y10" s="255"/>
      <c r="Z10" s="255"/>
      <c r="AA10" s="255"/>
    </row>
    <row r="11" spans="1:228" s="256" customFormat="1" ht="15">
      <c r="A11" s="292" t="s">
        <v>29</v>
      </c>
      <c r="C11" s="295">
        <f>C10*C9</f>
        <v>351600</v>
      </c>
      <c r="D11" s="295">
        <f t="shared" ref="D11:R11" si="2">D10*D9</f>
        <v>492240.00000000006</v>
      </c>
      <c r="E11" s="295">
        <f t="shared" si="2"/>
        <v>492240.00000000006</v>
      </c>
      <c r="F11" s="295">
        <f t="shared" si="2"/>
        <v>492240.00000000006</v>
      </c>
      <c r="G11" s="295">
        <f t="shared" si="2"/>
        <v>492240.00000000006</v>
      </c>
      <c r="H11" s="295">
        <f t="shared" si="2"/>
        <v>492240.00000000006</v>
      </c>
      <c r="I11" s="295">
        <f t="shared" si="2"/>
        <v>492240.00000000006</v>
      </c>
      <c r="J11" s="295">
        <f t="shared" si="2"/>
        <v>492240.00000000006</v>
      </c>
      <c r="K11" s="295">
        <f t="shared" si="2"/>
        <v>492240.00000000006</v>
      </c>
      <c r="L11" s="295">
        <f t="shared" si="2"/>
        <v>492240.00000000006</v>
      </c>
      <c r="M11" s="295">
        <f t="shared" si="2"/>
        <v>492240.00000000006</v>
      </c>
      <c r="N11" s="295">
        <f t="shared" si="2"/>
        <v>492240.00000000006</v>
      </c>
      <c r="O11" s="295">
        <f t="shared" si="2"/>
        <v>492240.00000000006</v>
      </c>
      <c r="P11" s="295">
        <f t="shared" si="2"/>
        <v>492240.00000000006</v>
      </c>
      <c r="Q11" s="295">
        <f t="shared" si="2"/>
        <v>492240.00000000006</v>
      </c>
      <c r="R11" s="295">
        <f t="shared" si="2"/>
        <v>344568</v>
      </c>
      <c r="S11" s="255"/>
      <c r="T11" s="255"/>
      <c r="U11" s="255"/>
      <c r="V11" s="255"/>
      <c r="W11" s="255"/>
      <c r="X11" s="255"/>
      <c r="Y11" s="255"/>
      <c r="Z11" s="255"/>
      <c r="AA11" s="255"/>
    </row>
    <row r="12" spans="1:228" s="256" customFormat="1" ht="15">
      <c r="A12" s="292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55"/>
      <c r="T12" s="255"/>
      <c r="U12" s="255"/>
      <c r="V12" s="255"/>
      <c r="W12" s="255"/>
      <c r="X12" s="255"/>
      <c r="Y12" s="255"/>
      <c r="Z12" s="255"/>
      <c r="AA12" s="255"/>
    </row>
    <row r="13" spans="1:228" s="256" customFormat="1" ht="15.75">
      <c r="A13" s="55" t="s">
        <v>63</v>
      </c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55"/>
      <c r="T13" s="255"/>
      <c r="U13" s="255"/>
      <c r="V13" s="255"/>
      <c r="W13" s="255"/>
      <c r="X13" s="255"/>
      <c r="Y13" s="255"/>
      <c r="Z13" s="255"/>
      <c r="AA13" s="255"/>
    </row>
    <row r="14" spans="1:228" s="255" customFormat="1" ht="15">
      <c r="A14" s="292" t="s">
        <v>62</v>
      </c>
      <c r="C14" s="297">
        <f>C11</f>
        <v>351600</v>
      </c>
      <c r="D14" s="297">
        <f t="shared" ref="D14:R14" si="3">D11</f>
        <v>492240.00000000006</v>
      </c>
      <c r="E14" s="297">
        <f t="shared" si="3"/>
        <v>492240.00000000006</v>
      </c>
      <c r="F14" s="297">
        <f t="shared" si="3"/>
        <v>492240.00000000006</v>
      </c>
      <c r="G14" s="297">
        <f t="shared" si="3"/>
        <v>492240.00000000006</v>
      </c>
      <c r="H14" s="297">
        <f t="shared" si="3"/>
        <v>492240.00000000006</v>
      </c>
      <c r="I14" s="297">
        <f t="shared" si="3"/>
        <v>492240.00000000006</v>
      </c>
      <c r="J14" s="297">
        <f t="shared" si="3"/>
        <v>492240.00000000006</v>
      </c>
      <c r="K14" s="297">
        <f t="shared" si="3"/>
        <v>492240.00000000006</v>
      </c>
      <c r="L14" s="297">
        <f t="shared" si="3"/>
        <v>492240.00000000006</v>
      </c>
      <c r="M14" s="297">
        <f t="shared" si="3"/>
        <v>492240.00000000006</v>
      </c>
      <c r="N14" s="297">
        <f t="shared" si="3"/>
        <v>492240.00000000006</v>
      </c>
      <c r="O14" s="297">
        <f t="shared" si="3"/>
        <v>492240.00000000006</v>
      </c>
      <c r="P14" s="297">
        <f t="shared" si="3"/>
        <v>492240.00000000006</v>
      </c>
      <c r="Q14" s="297">
        <f t="shared" si="3"/>
        <v>492240.00000000006</v>
      </c>
      <c r="R14" s="297">
        <f t="shared" si="3"/>
        <v>344568</v>
      </c>
    </row>
    <row r="15" spans="1:228" s="256" customFormat="1" ht="15">
      <c r="A15" s="292" t="s">
        <v>31</v>
      </c>
      <c r="C15" s="298">
        <v>12100</v>
      </c>
      <c r="D15" s="298">
        <v>12100</v>
      </c>
      <c r="E15" s="298">
        <v>12100</v>
      </c>
      <c r="F15" s="298">
        <v>12100</v>
      </c>
      <c r="G15" s="298">
        <v>12100</v>
      </c>
      <c r="H15" s="298">
        <v>12100</v>
      </c>
      <c r="I15" s="298">
        <v>12100</v>
      </c>
      <c r="J15" s="298">
        <v>12100</v>
      </c>
      <c r="K15" s="298">
        <v>12100</v>
      </c>
      <c r="L15" s="298">
        <v>12100</v>
      </c>
      <c r="M15" s="298">
        <v>12100</v>
      </c>
      <c r="N15" s="298">
        <v>12100</v>
      </c>
      <c r="O15" s="298">
        <v>12100</v>
      </c>
      <c r="P15" s="298">
        <v>12100</v>
      </c>
      <c r="Q15" s="298">
        <v>12100</v>
      </c>
      <c r="R15" s="298">
        <f>Q15</f>
        <v>12100</v>
      </c>
      <c r="S15" s="255"/>
      <c r="T15" s="255"/>
      <c r="U15" s="255"/>
      <c r="V15" s="255"/>
      <c r="W15" s="255"/>
      <c r="X15" s="255"/>
      <c r="Y15" s="255"/>
      <c r="Z15" s="255"/>
      <c r="AA15" s="255"/>
    </row>
    <row r="16" spans="1:228" s="256" customFormat="1" ht="15">
      <c r="A16" s="292" t="s">
        <v>20</v>
      </c>
      <c r="C16" s="295">
        <f>C15*C14/1000000</f>
        <v>4254.3599999999997</v>
      </c>
      <c r="D16" s="295">
        <f t="shared" ref="D16:R16" si="4">D15*D14/1000000</f>
        <v>5956.1040000000012</v>
      </c>
      <c r="E16" s="295">
        <f t="shared" si="4"/>
        <v>5956.1040000000012</v>
      </c>
      <c r="F16" s="295">
        <f t="shared" si="4"/>
        <v>5956.1040000000012</v>
      </c>
      <c r="G16" s="295">
        <f t="shared" si="4"/>
        <v>5956.1040000000012</v>
      </c>
      <c r="H16" s="295">
        <f t="shared" si="4"/>
        <v>5956.1040000000012</v>
      </c>
      <c r="I16" s="295">
        <f t="shared" si="4"/>
        <v>5956.1040000000012</v>
      </c>
      <c r="J16" s="295">
        <f t="shared" si="4"/>
        <v>5956.1040000000012</v>
      </c>
      <c r="K16" s="295">
        <f t="shared" si="4"/>
        <v>5956.1040000000012</v>
      </c>
      <c r="L16" s="295">
        <f t="shared" si="4"/>
        <v>5956.1040000000012</v>
      </c>
      <c r="M16" s="295">
        <f t="shared" si="4"/>
        <v>5956.1040000000012</v>
      </c>
      <c r="N16" s="295">
        <f t="shared" si="4"/>
        <v>5956.1040000000012</v>
      </c>
      <c r="O16" s="295">
        <f t="shared" si="4"/>
        <v>5956.1040000000012</v>
      </c>
      <c r="P16" s="295">
        <f t="shared" si="4"/>
        <v>5956.1040000000012</v>
      </c>
      <c r="Q16" s="295">
        <f t="shared" si="4"/>
        <v>5956.1040000000012</v>
      </c>
      <c r="R16" s="295">
        <f t="shared" si="4"/>
        <v>4169.2727999999997</v>
      </c>
      <c r="S16" s="255"/>
      <c r="T16" s="255"/>
      <c r="U16" s="255"/>
      <c r="V16" s="255"/>
      <c r="W16" s="255"/>
      <c r="X16" s="255"/>
      <c r="Y16" s="255"/>
      <c r="Z16" s="255"/>
      <c r="AA16" s="255"/>
    </row>
    <row r="17" spans="1:52" s="256" customFormat="1" ht="15">
      <c r="A17" s="292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55"/>
      <c r="T17" s="255"/>
      <c r="U17" s="255"/>
      <c r="V17" s="255"/>
      <c r="W17" s="255"/>
      <c r="X17" s="255"/>
      <c r="Y17" s="255"/>
      <c r="Z17" s="255"/>
      <c r="AA17" s="255"/>
      <c r="AB17" s="293"/>
    </row>
    <row r="18" spans="1:52" s="256" customFormat="1" ht="15">
      <c r="A18" s="292" t="s">
        <v>32</v>
      </c>
      <c r="C18" s="296">
        <f>C16*C27</f>
        <v>18931.901999999998</v>
      </c>
      <c r="D18" s="296">
        <f t="shared" ref="D18:R18" si="5">D16*D27</f>
        <v>18166.117200000004</v>
      </c>
      <c r="E18" s="296">
        <f t="shared" si="5"/>
        <v>18347.778372000001</v>
      </c>
      <c r="F18" s="296">
        <f t="shared" si="5"/>
        <v>18531.256155720002</v>
      </c>
      <c r="G18" s="296">
        <f t="shared" si="5"/>
        <v>18716.568717277201</v>
      </c>
      <c r="H18" s="296">
        <f t="shared" si="5"/>
        <v>18903.734404449977</v>
      </c>
      <c r="I18" s="296">
        <f t="shared" si="5"/>
        <v>19092.771748494477</v>
      </c>
      <c r="J18" s="296">
        <f t="shared" si="5"/>
        <v>19283.699465979422</v>
      </c>
      <c r="K18" s="296">
        <f t="shared" si="5"/>
        <v>19476.536460639214</v>
      </c>
      <c r="L18" s="296">
        <f t="shared" si="5"/>
        <v>19671.301825245606</v>
      </c>
      <c r="M18" s="296">
        <f t="shared" si="5"/>
        <v>19868.014843498062</v>
      </c>
      <c r="N18" s="296">
        <f t="shared" si="5"/>
        <v>20066.694991933044</v>
      </c>
      <c r="O18" s="296">
        <f t="shared" si="5"/>
        <v>20267.361941852374</v>
      </c>
      <c r="P18" s="296">
        <f t="shared" si="5"/>
        <v>20470.035561270895</v>
      </c>
      <c r="Q18" s="296">
        <f t="shared" si="5"/>
        <v>20674.735916883605</v>
      </c>
      <c r="R18" s="296">
        <f t="shared" si="5"/>
        <v>14617.038293236707</v>
      </c>
      <c r="S18" s="255"/>
      <c r="T18" s="255"/>
      <c r="U18" s="255"/>
      <c r="V18" s="255"/>
      <c r="W18" s="255"/>
      <c r="X18" s="255"/>
      <c r="Y18" s="255"/>
      <c r="Z18" s="255"/>
      <c r="AA18" s="255"/>
    </row>
    <row r="19" spans="1:52" s="48" customFormat="1" ht="12.6" customHeight="1">
      <c r="S19"/>
      <c r="T19"/>
      <c r="U19"/>
      <c r="V19"/>
      <c r="W19"/>
      <c r="X19"/>
      <c r="Y19"/>
      <c r="Z19"/>
      <c r="AA19"/>
    </row>
    <row r="20" spans="1:52" s="256" customFormat="1" ht="20.25">
      <c r="A20" s="33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 s="255"/>
      <c r="T20" s="255"/>
      <c r="U20" s="255"/>
      <c r="V20" s="255"/>
      <c r="W20" s="255"/>
      <c r="X20" s="255"/>
      <c r="Y20" s="255"/>
      <c r="Z20" s="255"/>
      <c r="AA20" s="255"/>
      <c r="AB20" s="258"/>
      <c r="AC20" s="258"/>
      <c r="AD20" s="255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</row>
    <row r="21" spans="1:52" s="273" customFormat="1" ht="15.75">
      <c r="A21" s="55" t="s">
        <v>77</v>
      </c>
      <c r="S21" s="255"/>
      <c r="T21" s="255"/>
      <c r="U21" s="255"/>
      <c r="V21" s="255"/>
      <c r="W21" s="255"/>
      <c r="X21" s="255"/>
      <c r="Y21" s="255"/>
      <c r="Z21" s="255"/>
      <c r="AA21" s="255"/>
    </row>
    <row r="22" spans="1:52" s="299" customFormat="1" ht="15">
      <c r="A22" s="299" t="s">
        <v>79</v>
      </c>
      <c r="C22" s="300">
        <f>'Project Assumptions'!E22</f>
        <v>2.9376327810130989</v>
      </c>
      <c r="D22" s="300">
        <v>2.9376327810130989</v>
      </c>
      <c r="E22" s="300">
        <v>2.9376327810130989</v>
      </c>
      <c r="F22" s="300">
        <v>2.9376327810130989</v>
      </c>
      <c r="G22" s="300">
        <v>2.9376327810130989</v>
      </c>
      <c r="H22" s="300">
        <v>2.9376327810130989</v>
      </c>
      <c r="I22" s="300">
        <v>2.9376327810130989</v>
      </c>
      <c r="J22" s="300">
        <v>2.9376327810130989</v>
      </c>
      <c r="K22" s="300">
        <v>2.9376327810130989</v>
      </c>
      <c r="L22" s="300">
        <v>2.9376327810130989</v>
      </c>
      <c r="M22" s="300">
        <v>2.9376327810130989</v>
      </c>
      <c r="N22" s="300">
        <v>2.9376327810130989</v>
      </c>
      <c r="O22" s="300">
        <v>2.9376327810130989</v>
      </c>
      <c r="P22" s="300">
        <v>2.9376327810130989</v>
      </c>
      <c r="Q22" s="300">
        <v>2.9376327810130989</v>
      </c>
      <c r="R22" s="300">
        <v>2.9376327810130989</v>
      </c>
      <c r="S22" s="255"/>
      <c r="T22" s="255"/>
      <c r="U22" s="255"/>
      <c r="V22" s="255"/>
      <c r="W22" s="255"/>
      <c r="X22" s="255"/>
      <c r="Y22" s="255"/>
      <c r="Z22" s="255"/>
      <c r="AA22" s="255"/>
    </row>
    <row r="23" spans="1:52" s="299" customFormat="1" ht="17.25">
      <c r="A23" s="299" t="s">
        <v>80</v>
      </c>
      <c r="C23" s="301">
        <f>'Project Assumptions'!E25</f>
        <v>8.5999999999999993E-2</v>
      </c>
      <c r="D23" s="301">
        <f>C23*(1+'Project Assumptions'!$E$26)</f>
        <v>8.7719999999999992E-2</v>
      </c>
      <c r="E23" s="301">
        <f>D23*(1+'Project Assumptions'!$E$26)</f>
        <v>8.9474399999999996E-2</v>
      </c>
      <c r="F23" s="301">
        <f>E23*(1+'Project Assumptions'!$E$26)</f>
        <v>9.1263888000000001E-2</v>
      </c>
      <c r="G23" s="301">
        <f>F23*(1+'Project Assumptions'!$E$26)</f>
        <v>9.3089165760000009E-2</v>
      </c>
      <c r="H23" s="301">
        <f>G23*(1+'Project Assumptions'!$E$26)</f>
        <v>9.4950949075200006E-2</v>
      </c>
      <c r="I23" s="301">
        <f>H23*(1+'Project Assumptions'!$E$26)</f>
        <v>9.6849968056704011E-2</v>
      </c>
      <c r="J23" s="301">
        <f>I23*(1+'Project Assumptions'!$E$26)</f>
        <v>9.8786967417838087E-2</v>
      </c>
      <c r="K23" s="301">
        <f>J23*(1+'Project Assumptions'!$E$26)</f>
        <v>0.10076270676619485</v>
      </c>
      <c r="L23" s="301">
        <f>K23*(1+'Project Assumptions'!$E$26)</f>
        <v>0.10277796090151875</v>
      </c>
      <c r="M23" s="301">
        <f>L23*(1+'Project Assumptions'!$E$26)</f>
        <v>0.10483352011954912</v>
      </c>
      <c r="N23" s="301">
        <f>M23*(1+'Project Assumptions'!$E$26)</f>
        <v>0.10693019052194011</v>
      </c>
      <c r="O23" s="301">
        <f>N23*(1+'Project Assumptions'!$E$26)</f>
        <v>0.10906879433237891</v>
      </c>
      <c r="P23" s="301">
        <f>O23*(1+'Project Assumptions'!$E$26)</f>
        <v>0.11125017021902649</v>
      </c>
      <c r="Q23" s="301">
        <f>P23*(1+'Project Assumptions'!$E$26)</f>
        <v>0.11347517362340702</v>
      </c>
      <c r="R23" s="301">
        <f>Q23*(1+'Project Assumptions'!$E$26)</f>
        <v>0.11574467709587516</v>
      </c>
      <c r="S23" s="255"/>
      <c r="T23" s="255"/>
      <c r="U23" s="255"/>
      <c r="V23" s="255"/>
      <c r="W23" s="255"/>
      <c r="X23" s="255"/>
      <c r="Y23" s="255"/>
      <c r="Z23" s="255"/>
      <c r="AA23" s="255"/>
    </row>
    <row r="24" spans="1:52" s="299" customFormat="1" ht="15">
      <c r="A24" s="299" t="s">
        <v>81</v>
      </c>
      <c r="C24" s="302">
        <f>C23+C22</f>
        <v>3.0236327810130987</v>
      </c>
      <c r="D24" s="302">
        <v>3.0236327810130987</v>
      </c>
      <c r="E24" s="302">
        <v>3.0236327810130987</v>
      </c>
      <c r="F24" s="302">
        <v>3.0236327810130987</v>
      </c>
      <c r="G24" s="302">
        <v>3.0236327810130987</v>
      </c>
      <c r="H24" s="302">
        <v>3.0236327810130987</v>
      </c>
      <c r="I24" s="302">
        <v>3.0236327810130987</v>
      </c>
      <c r="J24" s="302">
        <v>3.0236327810130987</v>
      </c>
      <c r="K24" s="302">
        <v>3.0236327810130987</v>
      </c>
      <c r="L24" s="302">
        <v>3.0236327810130987</v>
      </c>
      <c r="M24" s="302">
        <v>3.0236327810130987</v>
      </c>
      <c r="N24" s="302">
        <v>3.0236327810130987</v>
      </c>
      <c r="O24" s="302">
        <v>3.0236327810130987</v>
      </c>
      <c r="P24" s="302">
        <v>3.0236327810130987</v>
      </c>
      <c r="Q24" s="302">
        <v>3.0236327810130987</v>
      </c>
      <c r="R24" s="302">
        <v>3.0236327810130987</v>
      </c>
      <c r="S24" s="255"/>
      <c r="T24" s="255"/>
      <c r="U24" s="255"/>
      <c r="V24" s="255"/>
      <c r="W24" s="255"/>
      <c r="X24" s="255"/>
      <c r="Y24" s="255"/>
      <c r="Z24" s="255"/>
      <c r="AA24" s="255"/>
    </row>
    <row r="25" spans="1:52" s="299" customFormat="1" ht="15"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255"/>
      <c r="T25" s="255"/>
      <c r="U25" s="255"/>
      <c r="V25" s="255"/>
      <c r="W25" s="255"/>
      <c r="X25" s="255"/>
      <c r="Y25" s="255"/>
      <c r="Z25" s="255"/>
      <c r="AA25" s="255"/>
    </row>
    <row r="26" spans="1:52" s="303" customFormat="1" ht="15.75">
      <c r="A26" s="55" t="s">
        <v>78</v>
      </c>
      <c r="S26" s="255"/>
      <c r="T26" s="255"/>
      <c r="U26" s="255"/>
      <c r="V26" s="255"/>
      <c r="W26" s="255"/>
      <c r="X26" s="255"/>
      <c r="Y26" s="255"/>
      <c r="Z26" s="255"/>
      <c r="AA26" s="255"/>
    </row>
    <row r="27" spans="1:52" s="255" customFormat="1" ht="15">
      <c r="A27" s="304" t="s">
        <v>150</v>
      </c>
      <c r="C27" s="305">
        <v>4.45</v>
      </c>
      <c r="D27" s="305">
        <v>3.05</v>
      </c>
      <c r="E27" s="305">
        <f>D27*1.01</f>
        <v>3.0804999999999998</v>
      </c>
      <c r="F27" s="305">
        <f t="shared" ref="F27:R27" si="6">E27*1.01</f>
        <v>3.1113049999999998</v>
      </c>
      <c r="G27" s="305">
        <f t="shared" si="6"/>
        <v>3.1424180499999999</v>
      </c>
      <c r="H27" s="305">
        <f t="shared" si="6"/>
        <v>3.1738422305</v>
      </c>
      <c r="I27" s="305">
        <f t="shared" si="6"/>
        <v>3.2055806528050002</v>
      </c>
      <c r="J27" s="305">
        <f t="shared" si="6"/>
        <v>3.23763645933305</v>
      </c>
      <c r="K27" s="305">
        <f t="shared" si="6"/>
        <v>3.2700128239263804</v>
      </c>
      <c r="L27" s="305">
        <f t="shared" si="6"/>
        <v>3.3027129521656442</v>
      </c>
      <c r="M27" s="305">
        <f t="shared" si="6"/>
        <v>3.3357400816873009</v>
      </c>
      <c r="N27" s="305">
        <f t="shared" si="6"/>
        <v>3.369097482504174</v>
      </c>
      <c r="O27" s="305">
        <f t="shared" si="6"/>
        <v>3.4027884573292155</v>
      </c>
      <c r="P27" s="305">
        <f t="shared" si="6"/>
        <v>3.4368163419025075</v>
      </c>
      <c r="Q27" s="305">
        <f t="shared" si="6"/>
        <v>3.4711845053215327</v>
      </c>
      <c r="R27" s="305">
        <f t="shared" si="6"/>
        <v>3.5058963503747482</v>
      </c>
    </row>
    <row r="28" spans="1:52" ht="12.6" customHeight="1"/>
    <row r="32" spans="1:52" ht="12.6" customHeight="1"/>
    <row r="33" spans="1:52" ht="12.6" customHeight="1"/>
    <row r="36" spans="1:52" s="59" customFormat="1" ht="12.6" customHeight="1"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/>
      <c r="T36"/>
      <c r="U36"/>
      <c r="V36"/>
      <c r="W36"/>
      <c r="X36"/>
      <c r="Y36"/>
      <c r="Z36"/>
      <c r="AA36"/>
    </row>
    <row r="37" spans="1:52" s="59" customFormat="1" ht="12.6" customHeight="1"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/>
      <c r="T37"/>
      <c r="U37"/>
      <c r="V37"/>
      <c r="W37"/>
      <c r="X37"/>
      <c r="Y37"/>
      <c r="Z37"/>
      <c r="AA37"/>
    </row>
    <row r="38" spans="1:52" s="59" customFormat="1" ht="12.6" customHeight="1"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/>
      <c r="T38"/>
      <c r="U38"/>
      <c r="V38"/>
      <c r="W38"/>
      <c r="X38"/>
      <c r="Y38"/>
      <c r="Z38"/>
      <c r="AA38"/>
    </row>
    <row r="39" spans="1:52" s="63" customFormat="1" ht="12.6" customHeight="1">
      <c r="A39" s="65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/>
      <c r="T39"/>
      <c r="U39"/>
      <c r="V39"/>
      <c r="W39"/>
      <c r="X39"/>
      <c r="Y39"/>
      <c r="Z39"/>
      <c r="AA39"/>
    </row>
    <row r="40" spans="1:52" s="59" customFormat="1" ht="12" customHeight="1"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/>
      <c r="T40"/>
      <c r="U40"/>
      <c r="V40"/>
      <c r="W40"/>
      <c r="X40"/>
      <c r="Y40"/>
      <c r="Z40"/>
      <c r="AA40"/>
    </row>
    <row r="41" spans="1:52" s="59" customFormat="1" ht="12.6" customHeight="1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/>
      <c r="T41"/>
      <c r="U41"/>
      <c r="V41"/>
      <c r="W41"/>
      <c r="X41"/>
      <c r="Y41"/>
      <c r="Z41"/>
      <c r="AA41"/>
    </row>
    <row r="42" spans="1:52" s="48" customFormat="1" ht="12.6" customHeight="1"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/>
      <c r="T42"/>
      <c r="U42"/>
      <c r="V42"/>
      <c r="W42"/>
      <c r="X42"/>
      <c r="Y42"/>
      <c r="Z42"/>
      <c r="AA42"/>
    </row>
    <row r="44" spans="1:52" s="63" customFormat="1" ht="12.6" customHeight="1">
      <c r="A44" s="62"/>
      <c r="B44" s="59"/>
      <c r="S44"/>
      <c r="T44"/>
      <c r="U44"/>
      <c r="V44"/>
      <c r="W44"/>
      <c r="X44"/>
      <c r="Y44"/>
      <c r="Z44"/>
      <c r="AA44"/>
      <c r="AC44" s="108"/>
      <c r="AD44" s="59"/>
    </row>
    <row r="45" spans="1:52" s="63" customFormat="1" ht="12.6" customHeight="1">
      <c r="A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/>
      <c r="T45"/>
      <c r="U45"/>
      <c r="V45"/>
      <c r="W45"/>
      <c r="X45"/>
      <c r="Y45"/>
      <c r="Z45"/>
      <c r="AA45"/>
      <c r="AB45" s="110"/>
      <c r="AC45" s="110"/>
      <c r="AD45" s="59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</row>
    <row r="46" spans="1:52" s="59" customFormat="1"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/>
      <c r="T46"/>
      <c r="U46"/>
      <c r="V46"/>
      <c r="W46"/>
      <c r="X46"/>
      <c r="Y46"/>
      <c r="Z46"/>
      <c r="AA46"/>
    </row>
    <row r="47" spans="1:52" s="59" customFormat="1"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/>
      <c r="T47"/>
      <c r="U47"/>
      <c r="V47"/>
      <c r="W47"/>
      <c r="X47"/>
      <c r="Y47"/>
      <c r="Z47"/>
      <c r="AA47"/>
    </row>
    <row r="48" spans="1:52" s="59" customFormat="1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/>
      <c r="T48"/>
      <c r="U48"/>
      <c r="V48"/>
      <c r="W48"/>
      <c r="X48"/>
      <c r="Y48"/>
      <c r="Z48"/>
      <c r="AA48"/>
    </row>
    <row r="49" spans="3:27" s="59" customFormat="1" ht="15"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/>
      <c r="T49"/>
      <c r="U49"/>
      <c r="V49"/>
      <c r="W49"/>
      <c r="X49"/>
      <c r="Y49"/>
      <c r="Z49"/>
      <c r="AA49"/>
    </row>
    <row r="50" spans="3:27" s="59" customFormat="1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/>
      <c r="T50"/>
      <c r="U50"/>
      <c r="V50"/>
      <c r="W50"/>
      <c r="X50"/>
      <c r="Y50"/>
      <c r="Z50"/>
      <c r="AA50"/>
    </row>
    <row r="51" spans="3:27" s="59" customFormat="1">
      <c r="S51"/>
      <c r="T51"/>
      <c r="U51"/>
      <c r="V51"/>
      <c r="W51"/>
      <c r="X51"/>
      <c r="Y51"/>
      <c r="Z51"/>
      <c r="AA51"/>
    </row>
    <row r="52" spans="3:27" s="59" customFormat="1"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/>
      <c r="T52"/>
      <c r="U52"/>
      <c r="V52"/>
      <c r="W52"/>
      <c r="X52"/>
      <c r="Y52"/>
      <c r="Z52"/>
      <c r="AA52"/>
    </row>
  </sheetData>
  <customSheetViews>
    <customSheetView guid="{9D7575BF-255B-11D2-8267-00A0D1027254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1"/>
      <headerFooter alignWithMargins="0">
        <oddFooter>&amp;L&amp;D   &amp;T&amp;RO:\Naes\GenSvcs\TVA\TVA Model\&amp;F
&amp;A &amp;P</oddFooter>
      </headerFooter>
    </customSheetView>
    <customSheetView guid="{14FB3146-3CEF-11D2-B9CE-0060080D6A65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2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75" right="0.75" top="1" bottom="1" header="0.5" footer="0.5"/>
  <pageSetup scale="49" orientation="landscape" r:id="rId3"/>
  <headerFooter alignWithMargins="0">
    <oddFooter>&amp;L&amp;D   &amp;T&amp;RO:\Naes\GenSvcs\TVA\TVA Model\&amp;F
&amp;A &amp;P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IV109"/>
  <sheetViews>
    <sheetView showZeros="0" topLeftCell="A8" zoomScale="75" zoomScaleNormal="75" workbookViewId="0">
      <selection activeCell="D12" sqref="D12"/>
    </sheetView>
  </sheetViews>
  <sheetFormatPr defaultColWidth="9.28515625" defaultRowHeight="12.75"/>
  <cols>
    <col min="1" max="1" width="31.5703125" style="9" customWidth="1"/>
    <col min="2" max="19" width="9.28515625" style="9" customWidth="1"/>
    <col min="20" max="28" width="9.28515625" customWidth="1"/>
    <col min="29" max="16384" width="9.28515625" style="9"/>
  </cols>
  <sheetData>
    <row r="1" spans="1:31" s="20" customFormat="1" ht="26.25">
      <c r="A1" s="127" t="s">
        <v>74</v>
      </c>
      <c r="C1" s="22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/>
      <c r="U1"/>
      <c r="V1"/>
      <c r="W1"/>
      <c r="X1"/>
      <c r="Y1"/>
      <c r="Z1"/>
      <c r="AA1"/>
      <c r="AB1"/>
    </row>
    <row r="2" spans="1:31" s="20" customFormat="1" ht="18">
      <c r="A2" s="128" t="s">
        <v>10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/>
      <c r="U2"/>
      <c r="V2"/>
      <c r="W2"/>
      <c r="X2"/>
      <c r="Y2"/>
      <c r="Z2"/>
      <c r="AA2"/>
      <c r="AB2"/>
    </row>
    <row r="3" spans="1:31" ht="15.6" customHeight="1"/>
    <row r="4" spans="1:31" ht="15" customHeight="1">
      <c r="D4" s="3">
        <v>1</v>
      </c>
      <c r="E4" s="3">
        <v>2</v>
      </c>
      <c r="F4" s="1">
        <v>3</v>
      </c>
      <c r="G4" s="1">
        <v>4</v>
      </c>
      <c r="H4" s="1">
        <v>5</v>
      </c>
      <c r="I4" s="53">
        <v>6</v>
      </c>
      <c r="J4" s="1">
        <v>7</v>
      </c>
      <c r="K4" s="2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2">
        <v>14</v>
      </c>
      <c r="R4" s="1">
        <v>15</v>
      </c>
      <c r="S4" s="1">
        <v>16</v>
      </c>
    </row>
    <row r="5" spans="1:31" ht="15" customHeight="1">
      <c r="A5" s="37" t="s">
        <v>37</v>
      </c>
      <c r="C5" s="23"/>
      <c r="D5" s="36">
        <v>2000</v>
      </c>
      <c r="E5" s="36">
        <v>2001</v>
      </c>
      <c r="F5" s="36">
        <v>2002</v>
      </c>
      <c r="G5" s="36">
        <v>2003</v>
      </c>
      <c r="H5" s="36">
        <v>2004</v>
      </c>
      <c r="I5" s="36">
        <v>2005</v>
      </c>
      <c r="J5" s="36">
        <v>2006</v>
      </c>
      <c r="K5" s="36">
        <v>2007</v>
      </c>
      <c r="L5" s="36">
        <v>2008</v>
      </c>
      <c r="M5" s="36">
        <v>2009</v>
      </c>
      <c r="N5" s="36">
        <v>2010</v>
      </c>
      <c r="O5" s="36">
        <v>2011</v>
      </c>
      <c r="P5" s="36">
        <v>2012</v>
      </c>
      <c r="Q5" s="36">
        <v>2013</v>
      </c>
      <c r="R5" s="36">
        <v>2014</v>
      </c>
      <c r="S5" s="36">
        <v>2015</v>
      </c>
      <c r="AC5" s="23"/>
      <c r="AD5" s="23"/>
    </row>
    <row r="6" spans="1:31" ht="15" customHeight="1">
      <c r="B6" s="10" t="s">
        <v>0</v>
      </c>
      <c r="D6" s="114">
        <v>6.55</v>
      </c>
      <c r="E6" s="115">
        <v>12</v>
      </c>
      <c r="F6" s="115">
        <v>12</v>
      </c>
      <c r="G6" s="115">
        <v>12</v>
      </c>
      <c r="H6" s="115">
        <v>12</v>
      </c>
      <c r="I6" s="115">
        <v>12</v>
      </c>
      <c r="J6" s="115">
        <v>12</v>
      </c>
      <c r="K6" s="115">
        <v>12</v>
      </c>
      <c r="L6" s="115">
        <v>12</v>
      </c>
      <c r="M6" s="115">
        <v>12</v>
      </c>
      <c r="N6" s="115">
        <v>12</v>
      </c>
      <c r="O6" s="115">
        <v>12</v>
      </c>
      <c r="P6" s="115">
        <v>12</v>
      </c>
      <c r="Q6" s="115">
        <v>12</v>
      </c>
      <c r="R6" s="115">
        <v>12</v>
      </c>
      <c r="S6" s="115">
        <v>7</v>
      </c>
      <c r="AE6" s="25"/>
    </row>
    <row r="7" spans="1:31" ht="15" customHeight="1">
      <c r="A7" s="8" t="s">
        <v>38</v>
      </c>
      <c r="B7" s="26">
        <v>15</v>
      </c>
      <c r="C7" s="12"/>
      <c r="D7" s="47">
        <v>0.05</v>
      </c>
      <c r="E7" s="47">
        <v>9.5000000000000001E-2</v>
      </c>
      <c r="F7" s="47">
        <v>8.5500000000000007E-2</v>
      </c>
      <c r="G7" s="47">
        <v>7.6999999999999999E-2</v>
      </c>
      <c r="H7" s="47">
        <v>6.93E-2</v>
      </c>
      <c r="I7" s="47">
        <v>6.2300000000000001E-2</v>
      </c>
      <c r="J7" s="47">
        <v>5.8999999999999997E-2</v>
      </c>
      <c r="K7" s="47">
        <v>5.8999999999999997E-2</v>
      </c>
      <c r="L7" s="47">
        <v>5.91E-2</v>
      </c>
      <c r="M7" s="47">
        <v>5.8999999999999997E-2</v>
      </c>
      <c r="N7" s="47">
        <v>5.91E-2</v>
      </c>
      <c r="O7" s="47">
        <v>5.8999999999999997E-2</v>
      </c>
      <c r="P7" s="47">
        <v>5.91E-2</v>
      </c>
      <c r="Q7" s="47">
        <v>5.8999999999999997E-2</v>
      </c>
      <c r="R7" s="47">
        <v>5.91E-2</v>
      </c>
      <c r="S7" s="47">
        <v>2.9499999999999998E-2</v>
      </c>
      <c r="AC7" s="27"/>
      <c r="AD7" s="27"/>
      <c r="AE7" s="28"/>
    </row>
    <row r="8" spans="1:31" ht="15" customHeight="1">
      <c r="A8" s="8" t="s">
        <v>39</v>
      </c>
      <c r="B8" s="26">
        <v>5</v>
      </c>
      <c r="C8" s="29"/>
      <c r="D8" s="47">
        <v>0.1</v>
      </c>
      <c r="E8" s="47">
        <v>0.2</v>
      </c>
      <c r="F8" s="47">
        <v>0.2</v>
      </c>
      <c r="G8" s="47">
        <v>0.2</v>
      </c>
      <c r="H8" s="47">
        <v>0.2</v>
      </c>
      <c r="I8" s="47">
        <v>0.1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AC8" s="27"/>
      <c r="AD8" s="27"/>
      <c r="AE8" s="28"/>
    </row>
    <row r="9" spans="1:31" ht="15" customHeight="1">
      <c r="A9" s="8" t="s">
        <v>21</v>
      </c>
      <c r="B9" s="29">
        <v>15</v>
      </c>
      <c r="C9" s="30"/>
      <c r="D9" s="47">
        <v>3.3300000000000003E-2</v>
      </c>
      <c r="E9" s="47">
        <v>6.6666666666666666E-2</v>
      </c>
      <c r="F9" s="47">
        <v>6.6666666666666666E-2</v>
      </c>
      <c r="G9" s="47">
        <v>6.6666666666666666E-2</v>
      </c>
      <c r="H9" s="47">
        <v>6.6666666666666666E-2</v>
      </c>
      <c r="I9" s="47">
        <v>6.6666666666666666E-2</v>
      </c>
      <c r="J9" s="47">
        <v>6.6666666666666666E-2</v>
      </c>
      <c r="K9" s="47">
        <v>6.6666666666666666E-2</v>
      </c>
      <c r="L9" s="47">
        <v>6.6666666666666666E-2</v>
      </c>
      <c r="M9" s="47">
        <v>6.6666666666666666E-2</v>
      </c>
      <c r="N9" s="47">
        <v>6.6666666666666666E-2</v>
      </c>
      <c r="O9" s="47">
        <v>6.6666666666666666E-2</v>
      </c>
      <c r="P9" s="47">
        <v>6.6666666666666666E-2</v>
      </c>
      <c r="Q9" s="47">
        <v>6.6666666666666666E-2</v>
      </c>
      <c r="R9" s="47">
        <v>6.6666666666666666E-2</v>
      </c>
      <c r="S9" s="47">
        <v>3.3366666666666663E-2</v>
      </c>
      <c r="AC9" s="27"/>
      <c r="AD9" s="27"/>
      <c r="AE9" s="28"/>
    </row>
    <row r="10" spans="1:31" ht="15" customHeight="1">
      <c r="B10" s="29"/>
      <c r="D10" s="24"/>
    </row>
    <row r="11" spans="1:31" ht="15" customHeight="1">
      <c r="A11" s="8" t="s">
        <v>40</v>
      </c>
      <c r="B11" s="31">
        <v>111051.16932897887</v>
      </c>
      <c r="C11" s="12"/>
      <c r="D11" s="31">
        <v>5552.5584664489434</v>
      </c>
      <c r="E11" s="31">
        <v>10549.861086252993</v>
      </c>
      <c r="F11" s="31">
        <v>9494.8749776276945</v>
      </c>
      <c r="G11" s="31">
        <v>8550.9400383313732</v>
      </c>
      <c r="H11" s="31">
        <v>7695.8460344982359</v>
      </c>
      <c r="I11" s="31">
        <v>6918.4878491953832</v>
      </c>
      <c r="J11" s="31">
        <v>6552.0189904097524</v>
      </c>
      <c r="K11" s="31">
        <v>6552.0189904097524</v>
      </c>
      <c r="L11" s="31">
        <v>6563.1241073426509</v>
      </c>
      <c r="M11" s="31">
        <v>6552.0189904097524</v>
      </c>
      <c r="N11" s="31">
        <v>6563.1241073426509</v>
      </c>
      <c r="O11" s="31">
        <v>6552.0189904097524</v>
      </c>
      <c r="P11" s="31">
        <v>6563.1241073426509</v>
      </c>
      <c r="Q11" s="31">
        <v>6552.0189904097524</v>
      </c>
      <c r="R11" s="31">
        <v>6563.1241073426509</v>
      </c>
      <c r="S11" s="31">
        <v>3276.0094952048762</v>
      </c>
      <c r="AC11" s="12"/>
      <c r="AD11" s="12"/>
      <c r="AE11" s="12"/>
    </row>
    <row r="12" spans="1:31" ht="15" customHeight="1">
      <c r="A12" s="8" t="s">
        <v>41</v>
      </c>
      <c r="B12" s="16">
        <v>4171.7269999999999</v>
      </c>
      <c r="C12" s="12"/>
      <c r="D12" s="16">
        <v>417.17270000000002</v>
      </c>
      <c r="E12" s="16">
        <v>834.34540000000004</v>
      </c>
      <c r="F12" s="16">
        <v>834.34540000000004</v>
      </c>
      <c r="G12" s="16">
        <v>834.34540000000004</v>
      </c>
      <c r="H12" s="16">
        <v>834.34540000000004</v>
      </c>
      <c r="I12" s="16">
        <v>417.17270000000002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AC12" s="12"/>
      <c r="AD12" s="12"/>
      <c r="AE12" s="32"/>
    </row>
    <row r="13" spans="1:31" ht="15" customHeight="1">
      <c r="A13" s="8" t="s">
        <v>42</v>
      </c>
      <c r="B13" s="87">
        <v>1157</v>
      </c>
      <c r="C13" s="12"/>
      <c r="D13" s="87">
        <v>38.528100000000002</v>
      </c>
      <c r="E13" s="87">
        <v>77.133333333333326</v>
      </c>
      <c r="F13" s="87">
        <v>77.133333333333326</v>
      </c>
      <c r="G13" s="87">
        <v>77.133333333333326</v>
      </c>
      <c r="H13" s="87">
        <v>77.133333333333326</v>
      </c>
      <c r="I13" s="87">
        <v>77.133333333333326</v>
      </c>
      <c r="J13" s="87">
        <v>77.133333333333326</v>
      </c>
      <c r="K13" s="87">
        <v>77.133333333333326</v>
      </c>
      <c r="L13" s="87">
        <v>77.133333333333326</v>
      </c>
      <c r="M13" s="87">
        <v>77.133333333333326</v>
      </c>
      <c r="N13" s="87">
        <v>77.133333333333326</v>
      </c>
      <c r="O13" s="87">
        <v>77.133333333333326</v>
      </c>
      <c r="P13" s="87">
        <v>77.133333333333326</v>
      </c>
      <c r="Q13" s="87">
        <v>77.133333333333326</v>
      </c>
      <c r="R13" s="87">
        <v>77.133333333333326</v>
      </c>
      <c r="S13" s="87">
        <v>38.605233333333331</v>
      </c>
      <c r="AC13" s="12"/>
      <c r="AD13" s="12"/>
      <c r="AE13" s="32"/>
    </row>
    <row r="14" spans="1:31" ht="15" customHeight="1">
      <c r="A14" s="8" t="s">
        <v>43</v>
      </c>
      <c r="B14" s="31">
        <v>116379.89632897887</v>
      </c>
      <c r="C14" s="12"/>
      <c r="D14" s="31">
        <v>6008.2592664489439</v>
      </c>
      <c r="E14" s="31">
        <v>11461.339819586326</v>
      </c>
      <c r="F14" s="31">
        <v>10406.353710961028</v>
      </c>
      <c r="G14" s="31">
        <v>9462.4187716647066</v>
      </c>
      <c r="H14" s="31">
        <v>8607.3247678315693</v>
      </c>
      <c r="I14" s="31">
        <v>7412.7938825287165</v>
      </c>
      <c r="J14" s="31">
        <v>6629.1523237430856</v>
      </c>
      <c r="K14" s="31">
        <v>6629.1523237430856</v>
      </c>
      <c r="L14" s="31">
        <v>6640.2574406759841</v>
      </c>
      <c r="M14" s="31">
        <v>6629.1523237430856</v>
      </c>
      <c r="N14" s="31">
        <v>6640.2574406759841</v>
      </c>
      <c r="O14" s="31">
        <v>6629.1523237430856</v>
      </c>
      <c r="P14" s="31">
        <v>6640.2574406759841</v>
      </c>
      <c r="Q14" s="31">
        <v>6629.1523237430856</v>
      </c>
      <c r="R14" s="31">
        <v>6640.2574406759841</v>
      </c>
      <c r="S14" s="31">
        <v>3314.6147285382094</v>
      </c>
      <c r="AC14" s="12"/>
      <c r="AD14" s="12"/>
      <c r="AE14" s="12"/>
    </row>
    <row r="15" spans="1:31" ht="15" customHeight="1">
      <c r="A15" s="8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AC15" s="12"/>
      <c r="AD15" s="12"/>
      <c r="AE15" s="32"/>
    </row>
    <row r="16" spans="1:31" ht="15" customHeight="1">
      <c r="A16" s="37" t="s">
        <v>44</v>
      </c>
      <c r="AE16" s="25"/>
    </row>
    <row r="17" spans="1:31" ht="15" customHeight="1">
      <c r="A17" s="37"/>
      <c r="B17" s="10" t="s">
        <v>0</v>
      </c>
      <c r="AE17" s="25"/>
    </row>
    <row r="18" spans="1:31" ht="15" customHeight="1">
      <c r="A18" s="8" t="s">
        <v>38</v>
      </c>
      <c r="B18" s="26">
        <v>15</v>
      </c>
      <c r="C18" s="27"/>
      <c r="D18" s="47">
        <v>0.05</v>
      </c>
      <c r="E18" s="47">
        <v>9.5000000000000001E-2</v>
      </c>
      <c r="F18" s="47">
        <v>8.5500000000000007E-2</v>
      </c>
      <c r="G18" s="47">
        <v>7.6999999999999999E-2</v>
      </c>
      <c r="H18" s="47">
        <v>6.93E-2</v>
      </c>
      <c r="I18" s="47">
        <v>6.2300000000000001E-2</v>
      </c>
      <c r="J18" s="47">
        <v>5.8999999999999997E-2</v>
      </c>
      <c r="K18" s="47">
        <v>5.8999999999999997E-2</v>
      </c>
      <c r="L18" s="47">
        <v>5.91E-2</v>
      </c>
      <c r="M18" s="47">
        <v>5.8999999999999997E-2</v>
      </c>
      <c r="N18" s="47">
        <v>5.91E-2</v>
      </c>
      <c r="O18" s="47">
        <v>5.8999999999999997E-2</v>
      </c>
      <c r="P18" s="47">
        <v>5.91E-2</v>
      </c>
      <c r="Q18" s="47">
        <v>5.8999999999999997E-2</v>
      </c>
      <c r="R18" s="47">
        <v>5.91E-2</v>
      </c>
      <c r="S18" s="47">
        <v>2.9499999999999998E-2</v>
      </c>
      <c r="AC18" s="27"/>
      <c r="AD18" s="27"/>
      <c r="AE18" s="28"/>
    </row>
    <row r="19" spans="1:31" ht="15" customHeight="1">
      <c r="A19" s="8" t="s">
        <v>39</v>
      </c>
      <c r="B19" s="26">
        <v>5</v>
      </c>
      <c r="D19" s="47">
        <v>0.1</v>
      </c>
      <c r="E19" s="47">
        <v>0.2</v>
      </c>
      <c r="F19" s="47">
        <v>0.2</v>
      </c>
      <c r="G19" s="47">
        <v>0.2</v>
      </c>
      <c r="H19" s="47">
        <v>0.2</v>
      </c>
      <c r="I19" s="47">
        <v>0.1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AC19" s="27"/>
      <c r="AD19" s="27"/>
      <c r="AE19" s="28"/>
    </row>
    <row r="20" spans="1:31" ht="15" customHeight="1">
      <c r="A20" s="8" t="s">
        <v>21</v>
      </c>
      <c r="B20" s="29">
        <v>15</v>
      </c>
      <c r="D20" s="47">
        <v>3.3300000000000003E-2</v>
      </c>
      <c r="E20" s="47">
        <v>6.6666666666666666E-2</v>
      </c>
      <c r="F20" s="47">
        <v>6.6666666666666666E-2</v>
      </c>
      <c r="G20" s="47">
        <v>6.6666666666666666E-2</v>
      </c>
      <c r="H20" s="47">
        <v>6.6666666666666666E-2</v>
      </c>
      <c r="I20" s="47">
        <v>6.6666666666666666E-2</v>
      </c>
      <c r="J20" s="47">
        <v>6.6666666666666666E-2</v>
      </c>
      <c r="K20" s="47">
        <v>6.6666666666666666E-2</v>
      </c>
      <c r="L20" s="47">
        <v>6.6666666666666666E-2</v>
      </c>
      <c r="M20" s="47">
        <v>6.6666666666666666E-2</v>
      </c>
      <c r="N20" s="47">
        <v>6.6666666666666666E-2</v>
      </c>
      <c r="O20" s="47">
        <v>6.6666666666666666E-2</v>
      </c>
      <c r="P20" s="47">
        <v>6.6666666666666666E-2</v>
      </c>
      <c r="Q20" s="47">
        <v>6.6666666666666666E-2</v>
      </c>
      <c r="R20" s="47">
        <v>6.6666666666666666E-2</v>
      </c>
      <c r="S20" s="47">
        <v>3.3366666666666663E-2</v>
      </c>
      <c r="AC20" s="27"/>
      <c r="AD20" s="27"/>
      <c r="AE20" s="28"/>
    </row>
    <row r="21" spans="1:31" ht="15" customHeight="1">
      <c r="A21" s="8"/>
      <c r="B21" s="26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AC21" s="27"/>
      <c r="AD21" s="27"/>
      <c r="AE21" s="28"/>
    </row>
    <row r="22" spans="1:31" ht="15" customHeight="1">
      <c r="B22" s="10"/>
    </row>
    <row r="23" spans="1:31" s="15" customFormat="1" ht="15" customHeight="1">
      <c r="A23" s="8" t="s">
        <v>40</v>
      </c>
      <c r="B23" s="31">
        <v>111051.16932897887</v>
      </c>
      <c r="D23" s="31">
        <v>5552.5584664489434</v>
      </c>
      <c r="E23" s="31">
        <v>10549.861086252993</v>
      </c>
      <c r="F23" s="31">
        <v>9494.8749776276945</v>
      </c>
      <c r="G23" s="31">
        <v>8550.9400383313732</v>
      </c>
      <c r="H23" s="31">
        <v>7695.8460344982359</v>
      </c>
      <c r="I23" s="31">
        <v>6918.4878491953832</v>
      </c>
      <c r="J23" s="31">
        <v>6552.0189904097524</v>
      </c>
      <c r="K23" s="31">
        <v>6552.0189904097524</v>
      </c>
      <c r="L23" s="31">
        <v>6563.1241073426509</v>
      </c>
      <c r="M23" s="31">
        <v>6552.0189904097524</v>
      </c>
      <c r="N23" s="31">
        <v>6563.1241073426509</v>
      </c>
      <c r="O23" s="31">
        <v>6552.0189904097524</v>
      </c>
      <c r="P23" s="31">
        <v>6563.1241073426509</v>
      </c>
      <c r="Q23" s="31">
        <v>6552.0189904097524</v>
      </c>
      <c r="R23" s="31">
        <v>6563.1241073426509</v>
      </c>
      <c r="S23" s="31">
        <v>3276.0094952048762</v>
      </c>
      <c r="T23"/>
      <c r="U23"/>
      <c r="V23"/>
      <c r="W23"/>
      <c r="X23"/>
      <c r="Y23"/>
      <c r="Z23"/>
      <c r="AA23"/>
      <c r="AB23"/>
      <c r="AC23" s="16"/>
      <c r="AD23" s="16"/>
      <c r="AE23" s="16"/>
    </row>
    <row r="24" spans="1:31" ht="15" customHeight="1">
      <c r="A24" s="8" t="s">
        <v>41</v>
      </c>
      <c r="B24" s="16">
        <v>4171.7269999999999</v>
      </c>
      <c r="D24" s="16">
        <v>417.17270000000002</v>
      </c>
      <c r="E24" s="16">
        <v>834.34540000000004</v>
      </c>
      <c r="F24" s="16">
        <v>834.34540000000004</v>
      </c>
      <c r="G24" s="16">
        <v>834.34540000000004</v>
      </c>
      <c r="H24" s="16">
        <v>834.34540000000004</v>
      </c>
      <c r="I24" s="16">
        <v>417.17270000000002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AC24" s="12"/>
      <c r="AD24" s="12"/>
      <c r="AE24" s="32"/>
    </row>
    <row r="25" spans="1:31" ht="15" customHeight="1">
      <c r="A25" s="8" t="s">
        <v>42</v>
      </c>
      <c r="B25" s="49">
        <v>1157</v>
      </c>
      <c r="D25" s="49">
        <v>38.528100000000002</v>
      </c>
      <c r="E25" s="49">
        <v>77.133333333333326</v>
      </c>
      <c r="F25" s="49">
        <v>77.133333333333326</v>
      </c>
      <c r="G25" s="49">
        <v>77.133333333333326</v>
      </c>
      <c r="H25" s="49">
        <v>77.133333333333326</v>
      </c>
      <c r="I25" s="49">
        <v>77.133333333333326</v>
      </c>
      <c r="J25" s="49">
        <v>77.133333333333326</v>
      </c>
      <c r="K25" s="49">
        <v>77.133333333333326</v>
      </c>
      <c r="L25" s="49">
        <v>77.133333333333326</v>
      </c>
      <c r="M25" s="49">
        <v>77.133333333333326</v>
      </c>
      <c r="N25" s="49">
        <v>77.133333333333326</v>
      </c>
      <c r="O25" s="49">
        <v>77.133333333333326</v>
      </c>
      <c r="P25" s="49">
        <v>77.133333333333326</v>
      </c>
      <c r="Q25" s="49">
        <v>77.133333333333326</v>
      </c>
      <c r="R25" s="49">
        <v>77.133333333333326</v>
      </c>
      <c r="S25" s="49">
        <v>38.605233333333331</v>
      </c>
      <c r="AC25" s="12"/>
      <c r="AD25" s="12"/>
      <c r="AE25" s="32"/>
    </row>
    <row r="26" spans="1:31" ht="15" customHeight="1">
      <c r="A26" s="8" t="s">
        <v>43</v>
      </c>
      <c r="B26" s="31"/>
      <c r="D26" s="31">
        <v>6008.2592664489439</v>
      </c>
      <c r="E26" s="31">
        <v>11461.339819586326</v>
      </c>
      <c r="F26" s="31">
        <v>10406.353710961028</v>
      </c>
      <c r="G26" s="31">
        <v>9462.4187716647066</v>
      </c>
      <c r="H26" s="31">
        <v>8607.3247678315693</v>
      </c>
      <c r="I26" s="31">
        <v>7412.7938825287165</v>
      </c>
      <c r="J26" s="31">
        <v>6629.1523237430856</v>
      </c>
      <c r="K26" s="31">
        <v>6629.1523237430856</v>
      </c>
      <c r="L26" s="31">
        <v>6640.2574406759841</v>
      </c>
      <c r="M26" s="31">
        <v>6629.1523237430856</v>
      </c>
      <c r="N26" s="31">
        <v>6640.2574406759841</v>
      </c>
      <c r="O26" s="31">
        <v>6629.1523237430856</v>
      </c>
      <c r="P26" s="31">
        <v>6640.2574406759841</v>
      </c>
      <c r="Q26" s="31">
        <v>6629.1523237430856</v>
      </c>
      <c r="R26" s="31">
        <v>6640.2574406759841</v>
      </c>
      <c r="S26" s="31">
        <v>3314.6147285382094</v>
      </c>
      <c r="AC26" s="12"/>
      <c r="AD26" s="12"/>
      <c r="AE26" s="32"/>
    </row>
    <row r="27" spans="1:31" ht="15" customHeight="1"/>
    <row r="28" spans="1:31" ht="15" customHeight="1">
      <c r="A28" s="37" t="s">
        <v>45</v>
      </c>
      <c r="AE28" s="25"/>
    </row>
    <row r="29" spans="1:31" ht="15" customHeight="1">
      <c r="A29" s="37"/>
      <c r="B29" s="10" t="s">
        <v>0</v>
      </c>
      <c r="C29" s="41" t="s">
        <v>9</v>
      </c>
      <c r="D29" s="9">
        <v>1</v>
      </c>
      <c r="E29" s="9">
        <v>2</v>
      </c>
      <c r="F29" s="9">
        <v>3</v>
      </c>
      <c r="G29" s="9">
        <v>4</v>
      </c>
      <c r="H29" s="9">
        <v>5</v>
      </c>
      <c r="I29" s="9">
        <v>6</v>
      </c>
      <c r="J29" s="9">
        <v>7</v>
      </c>
      <c r="K29" s="9">
        <v>8</v>
      </c>
      <c r="L29" s="9">
        <v>9</v>
      </c>
      <c r="M29" s="9">
        <v>10</v>
      </c>
      <c r="N29" s="9">
        <v>11</v>
      </c>
      <c r="O29" s="9">
        <v>12</v>
      </c>
      <c r="P29" s="9">
        <v>13</v>
      </c>
      <c r="Q29" s="9">
        <v>14</v>
      </c>
      <c r="R29" s="9">
        <v>15</v>
      </c>
      <c r="S29" s="9">
        <v>16</v>
      </c>
      <c r="AE29" s="25"/>
    </row>
    <row r="30" spans="1:31" ht="15" customHeight="1">
      <c r="A30" s="8" t="s">
        <v>46</v>
      </c>
      <c r="B30" s="26">
        <v>15</v>
      </c>
      <c r="C30" s="33"/>
      <c r="D30" s="47">
        <v>3.3333333333333333E-2</v>
      </c>
      <c r="E30" s="47">
        <v>6.6666666666666666E-2</v>
      </c>
      <c r="F30" s="47">
        <v>6.6666666666666666E-2</v>
      </c>
      <c r="G30" s="47">
        <v>6.6666666666666666E-2</v>
      </c>
      <c r="H30" s="47">
        <v>6.6666666666666666E-2</v>
      </c>
      <c r="I30" s="47">
        <v>6.6666666666666666E-2</v>
      </c>
      <c r="J30" s="47">
        <v>6.6666666666666666E-2</v>
      </c>
      <c r="K30" s="47">
        <v>6.6666666666666666E-2</v>
      </c>
      <c r="L30" s="47">
        <v>6.6666666666666666E-2</v>
      </c>
      <c r="M30" s="47">
        <v>6.6666666666666666E-2</v>
      </c>
      <c r="N30" s="47">
        <v>6.6666666666666666E-2</v>
      </c>
      <c r="O30" s="47">
        <v>6.6666666666666666E-2</v>
      </c>
      <c r="P30" s="47">
        <v>6.6666666666666666E-2</v>
      </c>
      <c r="Q30" s="47">
        <v>6.6666666666666666E-2</v>
      </c>
      <c r="R30" s="47">
        <v>6.6666666666666666E-2</v>
      </c>
      <c r="S30" s="47">
        <v>3.3333333333333333E-2</v>
      </c>
      <c r="AC30" s="88"/>
      <c r="AD30" s="27"/>
      <c r="AE30" s="28"/>
    </row>
    <row r="31" spans="1:31" ht="15" customHeight="1">
      <c r="A31" s="8" t="s">
        <v>39</v>
      </c>
      <c r="B31" s="26">
        <v>5</v>
      </c>
      <c r="D31" s="47">
        <v>0.1</v>
      </c>
      <c r="E31" s="47">
        <v>0.2</v>
      </c>
      <c r="F31" s="47">
        <v>0.2</v>
      </c>
      <c r="G31" s="47">
        <v>0.2</v>
      </c>
      <c r="H31" s="47">
        <v>0.2</v>
      </c>
      <c r="I31" s="47">
        <v>0.1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AD31" s="27"/>
      <c r="AE31" s="28"/>
    </row>
    <row r="32" spans="1:31" ht="15" customHeight="1">
      <c r="A32" s="8" t="s">
        <v>21</v>
      </c>
      <c r="B32" s="29">
        <v>15</v>
      </c>
      <c r="D32" s="47">
        <v>3.3333333333333333E-2</v>
      </c>
      <c r="E32" s="47">
        <v>6.6666666666666666E-2</v>
      </c>
      <c r="F32" s="47">
        <v>6.6666666666666666E-2</v>
      </c>
      <c r="G32" s="47">
        <v>6.6666666666666666E-2</v>
      </c>
      <c r="H32" s="47">
        <v>6.6666666666666666E-2</v>
      </c>
      <c r="I32" s="47">
        <v>6.6666666666666666E-2</v>
      </c>
      <c r="J32" s="47">
        <v>6.6666666666666666E-2</v>
      </c>
      <c r="K32" s="47">
        <v>6.6666666666666666E-2</v>
      </c>
      <c r="L32" s="47">
        <v>6.6666666666666666E-2</v>
      </c>
      <c r="M32" s="47">
        <v>6.6666666666666666E-2</v>
      </c>
      <c r="N32" s="47">
        <v>6.6666666666666666E-2</v>
      </c>
      <c r="O32" s="47">
        <v>6.6666666666666666E-2</v>
      </c>
      <c r="P32" s="47">
        <v>6.6666666666666666E-2</v>
      </c>
      <c r="Q32" s="47">
        <v>6.6666666666666666E-2</v>
      </c>
      <c r="R32" s="47">
        <v>6.6666666666666666E-2</v>
      </c>
      <c r="S32" s="47">
        <v>3.3333333333333333E-2</v>
      </c>
      <c r="AD32" s="27"/>
      <c r="AE32" s="28"/>
    </row>
    <row r="33" spans="1:31" ht="15" customHeight="1">
      <c r="B33" s="10"/>
    </row>
    <row r="34" spans="1:31" ht="15" customHeight="1">
      <c r="A34" s="8" t="s">
        <v>47</v>
      </c>
      <c r="B34" s="31">
        <v>111051.16932897887</v>
      </c>
      <c r="D34" s="31">
        <v>3383.6347608336978</v>
      </c>
      <c r="E34" s="31">
        <v>6767.2695216673956</v>
      </c>
      <c r="F34" s="31">
        <v>6767.2695216673956</v>
      </c>
      <c r="G34" s="31">
        <v>6767.2695216673956</v>
      </c>
      <c r="H34" s="31">
        <v>6767.2695216673956</v>
      </c>
      <c r="I34" s="31">
        <v>6767.2695216673956</v>
      </c>
      <c r="J34" s="31">
        <v>6767.2695216673956</v>
      </c>
      <c r="K34" s="31">
        <v>6767.2695216673956</v>
      </c>
      <c r="L34" s="31">
        <v>6767.2695216673956</v>
      </c>
      <c r="M34" s="31">
        <v>6767.2695216673956</v>
      </c>
      <c r="N34" s="31">
        <v>6767.2695216673956</v>
      </c>
      <c r="O34" s="31">
        <v>6767.2695216673956</v>
      </c>
      <c r="P34" s="31">
        <v>6767.2695216673956</v>
      </c>
      <c r="Q34" s="31">
        <v>6767.2695216673956</v>
      </c>
      <c r="R34" s="31">
        <v>6767.2695216673956</v>
      </c>
      <c r="S34" s="31">
        <v>3383.6347608336978</v>
      </c>
      <c r="AC34" s="12"/>
      <c r="AD34" s="12"/>
      <c r="AE34" s="12"/>
    </row>
    <row r="35" spans="1:31" ht="15" customHeight="1">
      <c r="A35" s="8" t="s">
        <v>41</v>
      </c>
      <c r="B35" s="16">
        <v>4171.7269999999999</v>
      </c>
      <c r="D35" s="16">
        <v>381.32692996934543</v>
      </c>
      <c r="E35" s="16">
        <v>762.65385993869086</v>
      </c>
      <c r="F35" s="16">
        <v>762.65385993869086</v>
      </c>
      <c r="G35" s="16">
        <v>762.65385993869086</v>
      </c>
      <c r="H35" s="16">
        <v>762.65385993869086</v>
      </c>
      <c r="I35" s="16">
        <v>381.32692996934543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AC35" s="12"/>
      <c r="AD35" s="12"/>
      <c r="AE35" s="32"/>
    </row>
    <row r="36" spans="1:31" ht="15" customHeight="1">
      <c r="A36" s="8" t="s">
        <v>42</v>
      </c>
      <c r="B36" s="49">
        <v>1157</v>
      </c>
      <c r="D36" s="49">
        <v>35.252806809149028</v>
      </c>
      <c r="E36" s="49">
        <v>70.505613618298057</v>
      </c>
      <c r="F36" s="49">
        <v>70.505613618298057</v>
      </c>
      <c r="G36" s="49">
        <v>70.505613618298057</v>
      </c>
      <c r="H36" s="49">
        <v>70.505613618298057</v>
      </c>
      <c r="I36" s="49">
        <v>70.505613618298057</v>
      </c>
      <c r="J36" s="49">
        <v>70.505613618298057</v>
      </c>
      <c r="K36" s="49">
        <v>70.505613618298057</v>
      </c>
      <c r="L36" s="49">
        <v>70.505613618298057</v>
      </c>
      <c r="M36" s="49">
        <v>70.505613618298057</v>
      </c>
      <c r="N36" s="49">
        <v>70.505613618298057</v>
      </c>
      <c r="O36" s="49">
        <v>70.505613618298057</v>
      </c>
      <c r="P36" s="49">
        <v>70.505613618298057</v>
      </c>
      <c r="Q36" s="49">
        <v>70.505613618298057</v>
      </c>
      <c r="R36" s="49">
        <v>70.505613618298057</v>
      </c>
      <c r="S36" s="49">
        <v>35.252806809149028</v>
      </c>
      <c r="AC36" s="12"/>
      <c r="AD36" s="12"/>
      <c r="AE36" s="32"/>
    </row>
    <row r="37" spans="1:31" ht="15" customHeight="1">
      <c r="A37" s="8" t="s">
        <v>48</v>
      </c>
      <c r="B37" s="31">
        <v>116379.89632897887</v>
      </c>
      <c r="D37" s="31">
        <v>3800.2144976121922</v>
      </c>
      <c r="E37" s="31">
        <v>7600.4289952243844</v>
      </c>
      <c r="F37" s="31">
        <v>7600.4289952243844</v>
      </c>
      <c r="G37" s="31">
        <v>7600.4289952243844</v>
      </c>
      <c r="H37" s="31">
        <v>7600.4289952243844</v>
      </c>
      <c r="I37" s="31">
        <v>7219.1020652550396</v>
      </c>
      <c r="J37" s="31">
        <v>6837.775135285694</v>
      </c>
      <c r="K37" s="31">
        <v>6837.775135285694</v>
      </c>
      <c r="L37" s="31">
        <v>6837.775135285694</v>
      </c>
      <c r="M37" s="31">
        <v>6837.775135285694</v>
      </c>
      <c r="N37" s="31">
        <v>6837.775135285694</v>
      </c>
      <c r="O37" s="31">
        <v>6837.775135285694</v>
      </c>
      <c r="P37" s="31">
        <v>6837.775135285694</v>
      </c>
      <c r="Q37" s="31">
        <v>6837.775135285694</v>
      </c>
      <c r="R37" s="31">
        <v>6837.775135285694</v>
      </c>
      <c r="S37" s="31">
        <v>3418.887567642847</v>
      </c>
      <c r="AC37" s="12"/>
      <c r="AD37" s="12"/>
      <c r="AE37" s="32"/>
    </row>
    <row r="38" spans="1:31" ht="15" customHeight="1">
      <c r="A38" s="8"/>
      <c r="B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AC38" s="12"/>
      <c r="AD38" s="12"/>
      <c r="AE38" s="32"/>
    </row>
    <row r="39" spans="1:31" ht="15" customHeight="1">
      <c r="A39" s="8" t="s">
        <v>49</v>
      </c>
      <c r="B39" s="31"/>
      <c r="D39" s="31">
        <v>112579.68183136667</v>
      </c>
      <c r="E39" s="31">
        <v>104979.25283614229</v>
      </c>
      <c r="F39" s="31">
        <v>97378.823840917903</v>
      </c>
      <c r="G39" s="31">
        <v>89778.394845693518</v>
      </c>
      <c r="H39" s="31">
        <v>82177.965850469132</v>
      </c>
      <c r="I39" s="31">
        <v>74958.863785214096</v>
      </c>
      <c r="J39" s="31">
        <v>68121.088649928395</v>
      </c>
      <c r="K39" s="31">
        <v>61283.313514642701</v>
      </c>
      <c r="L39" s="31">
        <v>54445.538379357007</v>
      </c>
      <c r="M39" s="31">
        <v>47607.763244071313</v>
      </c>
      <c r="N39" s="31">
        <v>40769.988108785619</v>
      </c>
      <c r="O39" s="31">
        <v>33932.212973499925</v>
      </c>
      <c r="P39" s="31">
        <v>27094.437838214231</v>
      </c>
      <c r="Q39" s="31">
        <v>20256.662702928537</v>
      </c>
      <c r="R39" s="31">
        <v>13418.887567642843</v>
      </c>
      <c r="S39" s="31">
        <v>10000</v>
      </c>
      <c r="AC39" s="12"/>
      <c r="AD39" s="12"/>
      <c r="AE39" s="32"/>
    </row>
    <row r="40" spans="1:31" ht="15" customHeight="1"/>
    <row r="41" spans="1:31" ht="15" customHeight="1">
      <c r="A41" s="37" t="s">
        <v>27</v>
      </c>
      <c r="B41" s="10" t="s">
        <v>0</v>
      </c>
      <c r="D41" s="3">
        <v>1</v>
      </c>
      <c r="E41" s="3">
        <v>2</v>
      </c>
      <c r="F41" s="1">
        <v>3</v>
      </c>
      <c r="G41" s="1">
        <v>4</v>
      </c>
      <c r="H41" s="1">
        <v>5</v>
      </c>
      <c r="I41" s="1">
        <v>6</v>
      </c>
      <c r="J41" s="1">
        <v>7</v>
      </c>
      <c r="K41" s="2">
        <v>8</v>
      </c>
      <c r="L41" s="1">
        <v>9</v>
      </c>
      <c r="M41" s="1">
        <v>10</v>
      </c>
      <c r="N41" s="1">
        <v>11</v>
      </c>
      <c r="O41" s="1">
        <v>12</v>
      </c>
      <c r="P41" s="1">
        <v>13</v>
      </c>
      <c r="Q41" s="2">
        <v>14</v>
      </c>
      <c r="R41" s="1">
        <v>15</v>
      </c>
      <c r="S41" s="1">
        <v>16</v>
      </c>
      <c r="AC41" s="2"/>
      <c r="AE41" s="25"/>
    </row>
    <row r="42" spans="1:31" ht="15" customHeight="1">
      <c r="A42" s="8" t="s">
        <v>50</v>
      </c>
      <c r="B42" s="31">
        <v>30891.930799000002</v>
      </c>
      <c r="C42" s="27"/>
      <c r="D42" s="89"/>
      <c r="E42" s="89">
        <v>0.96</v>
      </c>
      <c r="F42" s="89">
        <v>0.92</v>
      </c>
      <c r="G42" s="89">
        <v>0.88</v>
      </c>
      <c r="H42" s="89">
        <v>0.84</v>
      </c>
      <c r="I42" s="89">
        <v>0.8</v>
      </c>
      <c r="J42" s="89">
        <v>0.76</v>
      </c>
      <c r="K42" s="89">
        <v>0.72</v>
      </c>
      <c r="L42" s="89">
        <v>0.68</v>
      </c>
      <c r="M42" s="89">
        <v>0.64</v>
      </c>
      <c r="N42" s="89">
        <v>0.6</v>
      </c>
      <c r="O42" s="89">
        <v>0.56000000000000005</v>
      </c>
      <c r="P42" s="89">
        <v>0.52</v>
      </c>
      <c r="Q42" s="89">
        <v>0.48</v>
      </c>
      <c r="R42" s="89">
        <v>0.44</v>
      </c>
      <c r="S42" s="89">
        <v>0.4</v>
      </c>
      <c r="AC42" s="47"/>
      <c r="AD42" s="27"/>
      <c r="AE42" s="28"/>
    </row>
    <row r="43" spans="1:31" ht="15" customHeight="1">
      <c r="A43" s="8" t="s">
        <v>51</v>
      </c>
      <c r="B43" s="10"/>
      <c r="D43" s="35">
        <v>0</v>
      </c>
      <c r="E43" s="35">
        <v>29656.253567039999</v>
      </c>
      <c r="F43" s="35">
        <v>28420.576335080004</v>
      </c>
      <c r="G43" s="35">
        <v>27184.899103120002</v>
      </c>
      <c r="H43" s="35">
        <v>25949.22187116</v>
      </c>
      <c r="I43" s="35">
        <v>24713.544639200001</v>
      </c>
      <c r="J43" s="35">
        <v>23477.867407240003</v>
      </c>
      <c r="K43" s="35">
        <v>22242.19017528</v>
      </c>
      <c r="L43" s="35">
        <v>21006.512943320002</v>
      </c>
      <c r="M43" s="35">
        <v>19770.835711360003</v>
      </c>
      <c r="N43" s="35">
        <v>18535.158479400001</v>
      </c>
      <c r="O43" s="35">
        <v>17299.481247440002</v>
      </c>
      <c r="P43" s="35">
        <v>16063.804015480002</v>
      </c>
      <c r="Q43" s="35">
        <v>14828.12678352</v>
      </c>
      <c r="R43" s="35">
        <v>13592.449551560001</v>
      </c>
      <c r="S43" s="35">
        <v>12356.772319600001</v>
      </c>
      <c r="AC43" s="32"/>
    </row>
    <row r="44" spans="1:31" ht="15" customHeight="1">
      <c r="A44" s="8"/>
      <c r="B44" s="12"/>
      <c r="D44" s="32"/>
      <c r="E44" s="98">
        <v>0.65</v>
      </c>
      <c r="F44" s="98">
        <v>0.75</v>
      </c>
      <c r="G44" s="98">
        <v>0.85</v>
      </c>
      <c r="H44" s="98">
        <v>0.9</v>
      </c>
      <c r="I44" s="98">
        <v>0.95</v>
      </c>
      <c r="J44" s="98">
        <v>1</v>
      </c>
      <c r="K44" s="98">
        <v>1</v>
      </c>
      <c r="L44" s="98">
        <v>1</v>
      </c>
      <c r="M44" s="98">
        <v>1</v>
      </c>
      <c r="N44" s="98">
        <v>1</v>
      </c>
      <c r="O44" s="98">
        <v>1</v>
      </c>
      <c r="P44" s="98">
        <v>1</v>
      </c>
      <c r="Q44" s="98">
        <v>1</v>
      </c>
      <c r="R44" s="98">
        <v>1</v>
      </c>
      <c r="S44" s="98">
        <v>1</v>
      </c>
      <c r="AC44" s="32"/>
      <c r="AD44" s="12"/>
      <c r="AE44" s="12"/>
    </row>
    <row r="45" spans="1:31" ht="15" customHeight="1">
      <c r="A45" s="8" t="s">
        <v>52</v>
      </c>
      <c r="B45" s="26"/>
      <c r="D45" s="35">
        <v>0</v>
      </c>
      <c r="E45" s="31">
        <v>269.87190746006399</v>
      </c>
      <c r="F45" s="31">
        <v>298.41605151834005</v>
      </c>
      <c r="G45" s="31">
        <v>323.500299327128</v>
      </c>
      <c r="H45" s="31">
        <v>326.96019557661606</v>
      </c>
      <c r="I45" s="31">
        <v>328.69014370136006</v>
      </c>
      <c r="J45" s="31">
        <v>328.69014370136006</v>
      </c>
      <c r="K45" s="31">
        <v>311.39066245392002</v>
      </c>
      <c r="L45" s="31">
        <v>294.09118120648003</v>
      </c>
      <c r="M45" s="31">
        <v>276.79169995904005</v>
      </c>
      <c r="N45" s="31">
        <v>259.4922187116</v>
      </c>
      <c r="O45" s="31">
        <v>242.19273746416005</v>
      </c>
      <c r="P45" s="31">
        <v>224.89325621672003</v>
      </c>
      <c r="Q45" s="31">
        <v>207.59377496927999</v>
      </c>
      <c r="R45" s="31">
        <v>190.29429372184001</v>
      </c>
      <c r="S45" s="31">
        <v>172.99481247440002</v>
      </c>
      <c r="AC45" s="31"/>
      <c r="AD45" s="27"/>
      <c r="AE45" s="28"/>
    </row>
    <row r="46" spans="1:31" ht="15" customHeight="1">
      <c r="A46" s="8" t="s">
        <v>53</v>
      </c>
      <c r="B46" s="34"/>
      <c r="D46" s="16">
        <v>0</v>
      </c>
      <c r="E46" s="16">
        <v>269.87190746006399</v>
      </c>
      <c r="F46" s="16">
        <v>298.41605151834005</v>
      </c>
      <c r="G46" s="16">
        <v>323.500299327128</v>
      </c>
      <c r="H46" s="16">
        <v>326.96019557661606</v>
      </c>
      <c r="I46" s="16">
        <v>328.69014370136006</v>
      </c>
      <c r="J46" s="16">
        <v>328.69014370136006</v>
      </c>
      <c r="K46" s="16">
        <v>311.39066245392002</v>
      </c>
      <c r="L46" s="16">
        <v>294.09118120648003</v>
      </c>
      <c r="M46" s="16">
        <v>276.79169995904005</v>
      </c>
      <c r="N46" s="16">
        <v>259.4922187116</v>
      </c>
      <c r="O46" s="16">
        <v>242.19273746416005</v>
      </c>
      <c r="P46" s="16">
        <v>224.89325621672003</v>
      </c>
      <c r="Q46" s="16">
        <v>207.59377496927999</v>
      </c>
      <c r="R46" s="16">
        <v>190.29429372184001</v>
      </c>
      <c r="S46" s="16">
        <v>172.99481247440002</v>
      </c>
      <c r="AC46" s="16"/>
      <c r="AD46" s="27"/>
      <c r="AE46" s="28"/>
    </row>
    <row r="47" spans="1:31" ht="15" customHeight="1">
      <c r="A47" s="8" t="s">
        <v>54</v>
      </c>
      <c r="B47" s="34"/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AC47" s="49"/>
      <c r="AD47" s="27"/>
      <c r="AE47" s="28"/>
    </row>
    <row r="48" spans="1:31" s="48" customFormat="1" ht="15" customHeight="1">
      <c r="A48" s="48" t="s">
        <v>55</v>
      </c>
      <c r="D48" s="50">
        <v>0</v>
      </c>
      <c r="E48" s="50">
        <v>539.74381492012799</v>
      </c>
      <c r="F48" s="50">
        <v>596.83210303668011</v>
      </c>
      <c r="G48" s="50">
        <v>647.00059865425601</v>
      </c>
      <c r="H48" s="50">
        <v>653.92039115323212</v>
      </c>
      <c r="I48" s="50">
        <v>657.38028740272011</v>
      </c>
      <c r="J48" s="50">
        <v>657.38028740272011</v>
      </c>
      <c r="K48" s="50">
        <v>622.78132490784003</v>
      </c>
      <c r="L48" s="50">
        <v>588.18236241296006</v>
      </c>
      <c r="M48" s="50">
        <v>553.58339991808009</v>
      </c>
      <c r="N48" s="50">
        <v>518.98443742320001</v>
      </c>
      <c r="O48" s="50">
        <v>484.38547492832009</v>
      </c>
      <c r="P48" s="50">
        <v>449.78651243344007</v>
      </c>
      <c r="Q48" s="50">
        <v>415.18754993855998</v>
      </c>
      <c r="R48" s="50">
        <v>380.58858744368001</v>
      </c>
      <c r="S48" s="50">
        <v>345.98962494880004</v>
      </c>
      <c r="T48"/>
      <c r="U48"/>
      <c r="V48"/>
      <c r="W48"/>
      <c r="X48"/>
      <c r="Y48"/>
      <c r="Z48"/>
      <c r="AA48"/>
      <c r="AB48"/>
      <c r="AC48" s="50"/>
    </row>
    <row r="49" spans="1:256" ht="11.25" customHeight="1">
      <c r="A49" s="8"/>
      <c r="B49" s="2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AC49" s="27"/>
      <c r="AD49" s="27"/>
      <c r="AE49" s="28"/>
    </row>
    <row r="50" spans="1:256" customFormat="1"/>
    <row r="51" spans="1:256" s="15" customFormat="1" ht="12" customHeight="1">
      <c r="A51" s="56"/>
      <c r="B51" s="13"/>
      <c r="C51" s="1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13"/>
      <c r="AD51" s="13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</row>
    <row r="52" spans="1:256" ht="12" customHeight="1">
      <c r="A52" s="8"/>
      <c r="B52" s="13"/>
      <c r="C52" s="13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</row>
    <row r="53" spans="1:256" ht="12" customHeight="1">
      <c r="C53" s="1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13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</row>
    <row r="54" spans="1:256" ht="12" customHeight="1">
      <c r="C54" s="1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19"/>
      <c r="AD54" s="19"/>
    </row>
    <row r="55" spans="1:256" ht="12" customHeight="1">
      <c r="A55" s="56"/>
      <c r="C55" s="19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19"/>
      <c r="AD55" s="19"/>
    </row>
    <row r="56" spans="1:256" ht="12" customHeight="1">
      <c r="C56" s="19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19"/>
      <c r="AD56" s="19"/>
    </row>
    <row r="57" spans="1:256" s="15" customFormat="1" ht="12" customHeight="1">
      <c r="A57" s="56"/>
      <c r="B57" s="13"/>
      <c r="C57" s="1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13"/>
      <c r="AD57" s="13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</row>
    <row r="58" spans="1:256" s="15" customFormat="1" ht="12" customHeight="1">
      <c r="A58" s="8"/>
      <c r="B58" s="13"/>
      <c r="C58" s="13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13"/>
      <c r="AD58" s="13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</row>
    <row r="59" spans="1:256" ht="12" customHeight="1">
      <c r="A59" s="8"/>
      <c r="B59" s="13"/>
      <c r="C59" s="13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82"/>
      <c r="U59" s="82"/>
      <c r="V59" s="82"/>
      <c r="W59" s="82"/>
      <c r="X59" s="82"/>
      <c r="Y59" s="82"/>
      <c r="Z59" s="82"/>
      <c r="AA59" s="82"/>
      <c r="AB59" s="82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</row>
    <row r="60" spans="1:256" s="15" customFormat="1" ht="12" customHeight="1">
      <c r="A60" s="8"/>
      <c r="B60" s="13"/>
      <c r="C60" s="13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13"/>
      <c r="AD60" s="13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</row>
    <row r="61" spans="1:256" s="15" customFormat="1" ht="11.25">
      <c r="A61" s="8"/>
      <c r="B61" s="13"/>
      <c r="C61" s="13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13"/>
      <c r="AD61" s="13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</row>
    <row r="62" spans="1:256" s="15" customFormat="1" ht="13.5">
      <c r="A62" s="84"/>
      <c r="B62" s="13"/>
      <c r="C62" s="13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13"/>
      <c r="AD62" s="13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</row>
    <row r="63" spans="1:256" customFormat="1"/>
    <row r="64" spans="1:256" ht="11.25" customHeight="1">
      <c r="A64" s="8"/>
      <c r="B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AC64" s="12"/>
      <c r="AD64" s="12"/>
      <c r="AE64" s="32"/>
    </row>
    <row r="65" spans="1:31" ht="11.25" customHeight="1">
      <c r="A65" s="8"/>
      <c r="B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AC65" s="12"/>
      <c r="AD65" s="12"/>
      <c r="AE65" s="32"/>
    </row>
    <row r="66" spans="1:31" ht="11.25" customHeight="1">
      <c r="A66" s="42" t="s">
        <v>11</v>
      </c>
      <c r="B66" s="4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AC66" s="12"/>
      <c r="AD66" s="12"/>
      <c r="AE66" s="32"/>
    </row>
    <row r="67" spans="1:31" ht="11.25" customHeight="1">
      <c r="A67" t="s">
        <v>12</v>
      </c>
      <c r="B6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AC67" s="12"/>
      <c r="AD67" s="12"/>
      <c r="AE67" s="32"/>
    </row>
    <row r="68" spans="1:31">
      <c r="A68" t="s">
        <v>4</v>
      </c>
      <c r="B68" s="44" t="s">
        <v>13</v>
      </c>
    </row>
    <row r="69" spans="1:31">
      <c r="A69">
        <v>1</v>
      </c>
      <c r="B69" s="45">
        <v>0.05</v>
      </c>
    </row>
    <row r="70" spans="1:31">
      <c r="A70">
        <v>2</v>
      </c>
      <c r="B70" s="45">
        <v>9.5000000000000001E-2</v>
      </c>
    </row>
    <row r="71" spans="1:31">
      <c r="A71">
        <v>3</v>
      </c>
      <c r="B71" s="45">
        <v>8.5500000000000007E-2</v>
      </c>
    </row>
    <row r="72" spans="1:31">
      <c r="A72">
        <v>4</v>
      </c>
      <c r="B72" s="45">
        <v>7.6999999999999999E-2</v>
      </c>
    </row>
    <row r="73" spans="1:31">
      <c r="A73">
        <v>5</v>
      </c>
      <c r="B73" s="45">
        <v>6.93E-2</v>
      </c>
    </row>
    <row r="74" spans="1:31">
      <c r="A74">
        <v>6</v>
      </c>
      <c r="B74" s="45">
        <v>6.2300000000000001E-2</v>
      </c>
    </row>
    <row r="75" spans="1:31">
      <c r="A75">
        <v>7</v>
      </c>
      <c r="B75" s="45">
        <v>5.8999999999999997E-2</v>
      </c>
    </row>
    <row r="76" spans="1:31">
      <c r="A76">
        <v>8</v>
      </c>
      <c r="B76" s="45">
        <v>5.8999999999999997E-2</v>
      </c>
    </row>
    <row r="77" spans="1:31">
      <c r="A77">
        <v>9</v>
      </c>
      <c r="B77" s="45">
        <v>5.91E-2</v>
      </c>
    </row>
    <row r="78" spans="1:31">
      <c r="A78">
        <v>10</v>
      </c>
      <c r="B78" s="45">
        <v>5.8999999999999997E-2</v>
      </c>
    </row>
    <row r="79" spans="1:31">
      <c r="A79">
        <v>11</v>
      </c>
      <c r="B79" s="45">
        <v>5.91E-2</v>
      </c>
    </row>
    <row r="80" spans="1:31">
      <c r="A80">
        <v>12</v>
      </c>
      <c r="B80" s="45">
        <v>5.8999999999999997E-2</v>
      </c>
    </row>
    <row r="81" spans="1:2">
      <c r="A81">
        <v>13</v>
      </c>
      <c r="B81" s="45">
        <v>5.91E-2</v>
      </c>
    </row>
    <row r="82" spans="1:2">
      <c r="A82">
        <v>14</v>
      </c>
      <c r="B82" s="45">
        <v>5.8999999999999997E-2</v>
      </c>
    </row>
    <row r="83" spans="1:2">
      <c r="A83">
        <v>15</v>
      </c>
      <c r="B83" s="45">
        <v>5.91E-2</v>
      </c>
    </row>
    <row r="84" spans="1:2">
      <c r="A84">
        <v>16</v>
      </c>
      <c r="B84" s="45">
        <v>2.9499999999999998E-2</v>
      </c>
    </row>
    <row r="86" spans="1:2">
      <c r="A86" s="42" t="s">
        <v>14</v>
      </c>
      <c r="B86"/>
    </row>
    <row r="87" spans="1:2">
      <c r="A87" t="s">
        <v>12</v>
      </c>
      <c r="B87"/>
    </row>
    <row r="88" spans="1:2">
      <c r="A88" t="s">
        <v>4</v>
      </c>
      <c r="B88" t="s">
        <v>13</v>
      </c>
    </row>
    <row r="89" spans="1:2">
      <c r="A89">
        <v>1</v>
      </c>
      <c r="B89" s="46">
        <v>3.7499999999999999E-2</v>
      </c>
    </row>
    <row r="90" spans="1:2">
      <c r="A90">
        <v>2</v>
      </c>
      <c r="B90" s="46">
        <v>7.2190000000000004E-2</v>
      </c>
    </row>
    <row r="91" spans="1:2">
      <c r="A91">
        <v>3</v>
      </c>
      <c r="B91" s="46">
        <v>6.6769999999999996E-2</v>
      </c>
    </row>
    <row r="92" spans="1:2">
      <c r="A92">
        <v>4</v>
      </c>
      <c r="B92" s="46">
        <v>6.1769999999999999E-2</v>
      </c>
    </row>
    <row r="93" spans="1:2">
      <c r="A93">
        <v>5</v>
      </c>
      <c r="B93" s="46">
        <v>5.713E-2</v>
      </c>
    </row>
    <row r="94" spans="1:2">
      <c r="A94">
        <v>6</v>
      </c>
      <c r="B94" s="46">
        <v>5.2850000000000001E-2</v>
      </c>
    </row>
    <row r="95" spans="1:2">
      <c r="A95">
        <v>7</v>
      </c>
      <c r="B95" s="46">
        <v>4.888E-2</v>
      </c>
    </row>
    <row r="96" spans="1:2">
      <c r="A96">
        <v>8</v>
      </c>
      <c r="B96" s="46">
        <v>4.5220000000000003E-2</v>
      </c>
    </row>
    <row r="97" spans="1:2">
      <c r="A97">
        <v>9</v>
      </c>
      <c r="B97" s="46">
        <v>4.462E-2</v>
      </c>
    </row>
    <row r="98" spans="1:2">
      <c r="A98">
        <v>10</v>
      </c>
      <c r="B98" s="46">
        <v>4.4609999999999997E-2</v>
      </c>
    </row>
    <row r="99" spans="1:2">
      <c r="A99">
        <v>11</v>
      </c>
      <c r="B99" s="46">
        <v>4.462E-2</v>
      </c>
    </row>
    <row r="100" spans="1:2">
      <c r="A100">
        <v>12</v>
      </c>
      <c r="B100" s="46">
        <v>4.4609999999999997E-2</v>
      </c>
    </row>
    <row r="101" spans="1:2">
      <c r="A101">
        <v>13</v>
      </c>
      <c r="B101" s="46">
        <v>4.462E-2</v>
      </c>
    </row>
    <row r="102" spans="1:2">
      <c r="A102">
        <v>14</v>
      </c>
      <c r="B102" s="46">
        <v>4.4609999999999997E-2</v>
      </c>
    </row>
    <row r="103" spans="1:2">
      <c r="A103">
        <v>15</v>
      </c>
      <c r="B103" s="46">
        <v>4.462E-2</v>
      </c>
    </row>
    <row r="104" spans="1:2">
      <c r="A104">
        <v>16</v>
      </c>
      <c r="B104" s="46">
        <v>4.4609999999999997E-2</v>
      </c>
    </row>
    <row r="105" spans="1:2">
      <c r="A105">
        <v>17</v>
      </c>
      <c r="B105" s="46">
        <v>4.462E-2</v>
      </c>
    </row>
    <row r="106" spans="1:2">
      <c r="A106">
        <v>18</v>
      </c>
      <c r="B106" s="46">
        <v>4.4609999999999997E-2</v>
      </c>
    </row>
    <row r="107" spans="1:2">
      <c r="A107">
        <v>19</v>
      </c>
      <c r="B107" s="46">
        <v>4.462E-2</v>
      </c>
    </row>
    <row r="108" spans="1:2">
      <c r="A108">
        <v>20</v>
      </c>
      <c r="B108" s="46">
        <v>4.4609999999999997E-2</v>
      </c>
    </row>
    <row r="109" spans="1:2">
      <c r="A109">
        <v>21</v>
      </c>
      <c r="B109" s="46">
        <v>2.2499999999999999E-2</v>
      </c>
    </row>
  </sheetData>
  <pageMargins left="0.33" right="0.47" top="0.8" bottom="0.48" header="0.5" footer="0.25"/>
  <pageSetup scale="65" orientation="landscape" r:id="rId1"/>
  <headerFooter alignWithMargins="0">
    <oddFooter>&amp;L&amp;D   &amp;T&amp;R&amp;A &amp;P</oddFooter>
  </headerFooter>
  <colBreaks count="1" manualBreakCount="1"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Project Assumptions</vt:lpstr>
      <vt:lpstr>Cash Flow &amp; Returns</vt:lpstr>
      <vt:lpstr>Debt Amortization</vt:lpstr>
      <vt:lpstr>Book Income Statement</vt:lpstr>
      <vt:lpstr>Operations Summary</vt:lpstr>
      <vt:lpstr>Depreciation &amp; Property Taxes</vt:lpstr>
      <vt:lpstr>Ebitda</vt:lpstr>
      <vt:lpstr>'Project Assumptions'!Opcostescalation</vt:lpstr>
      <vt:lpstr>'Book Income Statement'!Print_Area</vt:lpstr>
      <vt:lpstr>'Cash Flow &amp; Returns'!Print_Area</vt:lpstr>
      <vt:lpstr>'Debt Amortization'!Print_Area</vt:lpstr>
      <vt:lpstr>'Depreciation &amp; Property Taxes'!Print_Area</vt:lpstr>
      <vt:lpstr>'Operations Summary'!Print_Area</vt:lpstr>
      <vt:lpstr>'Project Assumptions'!Print_Area</vt:lpstr>
      <vt:lpstr>'Book Income Statement'!Print_Titles</vt:lpstr>
      <vt:lpstr>'Cash Flow &amp; Returns'!Print_Titles</vt:lpstr>
      <vt:lpstr>'Debt Amortization'!Print_Titles</vt:lpstr>
      <vt:lpstr>'Depreciation &amp; Property Taxes'!Print_Titles</vt:lpstr>
      <vt:lpstr>'Operations Summary'!Print_Titles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2000-07-06T22:08:25Z</cp:lastPrinted>
  <dcterms:created xsi:type="dcterms:W3CDTF">1997-11-13T01:38:26Z</dcterms:created>
  <dcterms:modified xsi:type="dcterms:W3CDTF">2023-09-16T21:01:21Z</dcterms:modified>
</cp:coreProperties>
</file>