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B026A5-5902-40DD-880D-923774D8398E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3" i="6"/>
  <c r="B44" i="6"/>
  <c r="F44" i="6"/>
  <c r="B49" i="6"/>
  <c r="B50" i="6"/>
  <c r="F50" i="6"/>
  <c r="B54" i="6"/>
  <c r="B55" i="6"/>
  <c r="B56" i="6"/>
  <c r="F56" i="6"/>
  <c r="B60" i="6"/>
  <c r="B62" i="6"/>
  <c r="B66" i="6"/>
  <c r="B67" i="6"/>
  <c r="B68" i="6"/>
  <c r="B69" i="6"/>
  <c r="B73" i="6"/>
  <c r="D74" i="6"/>
  <c r="D75" i="6"/>
  <c r="B76" i="6"/>
  <c r="D76" i="6"/>
  <c r="D77" i="6"/>
  <c r="K6" i="3"/>
  <c r="N6" i="3"/>
  <c r="P6" i="3"/>
  <c r="X6" i="3"/>
  <c r="Y6" i="3"/>
  <c r="I10" i="3"/>
  <c r="J10" i="3"/>
  <c r="K10" i="3"/>
  <c r="L10" i="3"/>
  <c r="N10" i="3"/>
  <c r="P10" i="3"/>
  <c r="Q10" i="3"/>
  <c r="S10" i="3"/>
  <c r="X10" i="3"/>
  <c r="Y10" i="3"/>
  <c r="Z10" i="3"/>
  <c r="H11" i="3"/>
  <c r="I11" i="3"/>
  <c r="J11" i="3"/>
  <c r="K11" i="3"/>
  <c r="L11" i="3"/>
  <c r="N11" i="3"/>
  <c r="P11" i="3"/>
  <c r="Q11" i="3"/>
  <c r="S11" i="3"/>
  <c r="X11" i="3"/>
  <c r="Y11" i="3"/>
  <c r="Z11" i="3"/>
  <c r="E13" i="3"/>
  <c r="I13" i="3"/>
  <c r="L13" i="3"/>
  <c r="M13" i="3"/>
  <c r="N13" i="3"/>
  <c r="O13" i="3"/>
  <c r="P13" i="3"/>
  <c r="S13" i="3"/>
  <c r="V13" i="3"/>
  <c r="W13" i="3"/>
  <c r="X13" i="3"/>
  <c r="Y13" i="3"/>
  <c r="M15" i="3"/>
  <c r="M16" i="3"/>
  <c r="M17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P45" i="4"/>
  <c r="M46" i="4"/>
  <c r="O46" i="4"/>
  <c r="P46" i="4"/>
  <c r="P47" i="4"/>
  <c r="P48" i="4"/>
  <c r="P49" i="4"/>
  <c r="P50" i="4"/>
  <c r="P51" i="4"/>
  <c r="P52" i="4"/>
  <c r="P53" i="4"/>
  <c r="B43" i="2"/>
  <c r="B94" i="2"/>
  <c r="A343" i="2"/>
  <c r="C343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<sst xmlns="http://schemas.openxmlformats.org/spreadsheetml/2006/main" count="1079" uniqueCount="491">
  <si>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</si>
  <si>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</si>
  <si>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</si>
  <si>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</si>
  <si>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</si>
  <si>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</si>
  <si>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</si>
  <si>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</si>
  <si>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</si>
  <si>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</si>
  <si>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</si>
  <si>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</si>
  <si>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</si>
  <si>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</si>
  <si>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</si>
  <si>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</si>
  <si>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</si>
  <si>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</si>
  <si>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</si>
  <si>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</si>
  <si>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</si>
  <si>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</si>
  <si>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</si>
  <si>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</si>
  <si>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</si>
  <si>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</si>
  <si>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</si>
  <si>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</si>
  <si>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</si>
  <si>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</si>
  <si>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</si>
  <si>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</si>
  <si>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</si>
  <si>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</si>
  <si>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</si>
  <si>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</si>
  <si>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</si>
  <si>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</si>
  <si>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</si>
  <si>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</si>
  <si>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</si>
  <si>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</si>
  <si>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</si>
  <si>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</si>
  <si>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</si>
  <si>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</si>
  <si>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</si>
  <si>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</si>
  <si>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</si>
  <si>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</si>
  <si>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</si>
  <si>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</si>
  <si>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</si>
  <si>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</si>
  <si>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</si>
  <si>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</si>
  <si>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</si>
  <si>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</si>
  <si>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</si>
  <si>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</si>
  <si>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</si>
  <si>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</si>
  <si>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</si>
  <si>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</si>
  <si>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</si>
  <si>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</si>
  <si>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</si>
  <si>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</si>
  <si>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</si>
  <si>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</si>
  <si>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</si>
  <si>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</si>
  <si>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</si>
  <si>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</si>
  <si>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</si>
  <si>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</si>
  <si>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</si>
  <si>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</si>
  <si>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</si>
  <si>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</si>
  <si>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</si>
  <si>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</si>
  <si>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</si>
  <si>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</si>
  <si>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</si>
  <si>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</si>
  <si>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</si>
  <si>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</si>
  <si>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</si>
  <si>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</si>
  <si>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</si>
  <si>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</si>
  <si>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</si>
  <si>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</si>
  <si>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</si>
  <si>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</si>
  <si>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</si>
  <si>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</si>
  <si>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</si>
  <si>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</si>
  <si>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</si>
  <si>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</si>
  <si>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</si>
  <si>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</si>
  <si>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</si>
  <si>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</si>
  <si>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</si>
  <si>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</si>
  <si>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</si>
  <si>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</si>
  <si>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</si>
  <si>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</si>
  <si>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</si>
  <si>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</si>
  <si>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</si>
  <si>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</si>
  <si>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</si>
  <si>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</si>
  <si>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</si>
  <si>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</si>
  <si>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</si>
  <si>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</si>
  <si>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</si>
  <si>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</si>
  <si>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</si>
  <si>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</si>
  <si>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</si>
  <si>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</si>
  <si>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</si>
  <si>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</si>
  <si>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</si>
  <si>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</si>
  <si>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</si>
  <si>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</si>
  <si>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</si>
  <si>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</si>
  <si>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</si>
  <si>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</si>
  <si>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</si>
  <si>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</si>
  <si>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</si>
  <si>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</si>
  <si>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</si>
  <si>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</si>
  <si>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</si>
  <si>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</si>
  <si>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</si>
  <si>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</si>
  <si>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</si>
  <si>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</si>
  <si>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</si>
  <si>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</si>
  <si>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</si>
  <si>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</si>
  <si>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</si>
  <si>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</si>
  <si>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</si>
  <si>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</si>
  <si>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</si>
  <si>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</si>
  <si>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</si>
  <si>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</si>
  <si>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</si>
  <si>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</si>
  <si>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</si>
  <si>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</si>
  <si>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</si>
  <si>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</si>
  <si>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</si>
  <si>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</si>
  <si>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</si>
  <si>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</si>
  <si>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</si>
  <si>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</si>
  <si>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</si>
  <si>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</si>
  <si>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</si>
  <si>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</si>
  <si>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</si>
  <si>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</si>
  <si>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</si>
  <si>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</si>
  <si>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</si>
  <si>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</si>
  <si>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</si>
  <si>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</si>
  <si>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</si>
  <si>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</si>
  <si>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</si>
  <si>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</si>
  <si>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</si>
  <si>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</si>
  <si>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</si>
  <si>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</si>
  <si>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</si>
  <si>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</si>
  <si>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</si>
  <si>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</si>
  <si>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</si>
  <si>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</si>
  <si>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</si>
  <si>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</si>
  <si>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</si>
  <si>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</si>
  <si>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</si>
  <si>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</si>
  <si>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</si>
  <si>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</si>
  <si>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</si>
  <si>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</si>
  <si>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</si>
  <si>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</si>
  <si>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</si>
  <si>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</si>
  <si>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</si>
  <si>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</si>
  <si>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</si>
  <si>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</si>
  <si>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</si>
  <si>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</si>
  <si>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</si>
  <si>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</si>
  <si>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</si>
  <si>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</si>
  <si>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</si>
  <si>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</si>
  <si>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</si>
  <si>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</si>
  <si>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</si>
  <si>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</si>
  <si>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</si>
  <si>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</si>
  <si>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</si>
  <si>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</si>
  <si>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</si>
  <si>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</si>
  <si>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</si>
  <si>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</si>
  <si>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</si>
  <si>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</si>
  <si>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</si>
  <si>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</si>
  <si>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</si>
  <si>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</si>
  <si>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</si>
  <si>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</si>
  <si>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</si>
  <si>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</si>
  <si>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</si>
  <si>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</si>
  <si>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</si>
  <si>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</si>
  <si>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</si>
  <si>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</si>
  <si>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</si>
  <si>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</si>
  <si>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</si>
  <si>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</si>
  <si>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</si>
  <si>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</si>
  <si>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</si>
  <si>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</si>
  <si>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</si>
  <si>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</si>
  <si>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</si>
  <si>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</si>
  <si>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</si>
  <si>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</si>
  <si>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</si>
  <si>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</si>
  <si>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</si>
  <si>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</si>
  <si>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</si>
  <si>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</si>
  <si>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</si>
  <si>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</si>
  <si>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</si>
  <si>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</si>
  <si>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</si>
  <si>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</si>
  <si>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</si>
  <si>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</si>
  <si>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</si>
  <si>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</si>
  <si>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</si>
  <si>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</si>
  <si>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</si>
  <si>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</si>
  <si>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</si>
  <si>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</si>
  <si>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</si>
  <si>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</si>
  <si>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</si>
  <si>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</si>
  <si>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</si>
  <si>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</si>
  <si>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</si>
  <si>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</si>
  <si>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</si>
  <si>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</si>
  <si>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</si>
  <si>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</si>
  <si>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</si>
  <si>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</si>
  <si>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</si>
  <si>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</si>
  <si>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</si>
  <si>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</si>
  <si>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</si>
  <si>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</si>
  <si>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</si>
  <si>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</si>
  <si>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</si>
  <si>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</si>
  <si>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</si>
  <si>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</si>
  <si>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</si>
  <si>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</si>
  <si>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</si>
  <si>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</si>
  <si>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</si>
  <si>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</si>
  <si>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</si>
  <si>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</si>
  <si>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</si>
  <si>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</si>
  <si>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</si>
  <si>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</si>
  <si>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</si>
  <si>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</si>
  <si>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</si>
  <si>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</si>
  <si>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</si>
  <si>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</si>
  <si>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</si>
  <si>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</si>
  <si>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</si>
  <si>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</si>
  <si>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</si>
  <si>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</si>
  <si>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</si>
  <si>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</si>
  <si>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</si>
  <si>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</si>
  <si>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</si>
  <si>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</si>
  <si>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</si>
  <si>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</si>
  <si>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</si>
  <si>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</si>
  <si>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</si>
  <si>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</si>
  <si>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</si>
  <si>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</si>
  <si>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</si>
  <si>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</si>
  <si>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</si>
  <si>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</si>
  <si>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</si>
  <si>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</si>
  <si>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</si>
  <si>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</si>
  <si>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</si>
  <si>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</si>
  <si>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</si>
  <si>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</si>
  <si>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</si>
  <si>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</si>
  <si>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</si>
  <si>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</si>
  <si>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</si>
  <si>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</si>
  <si>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</si>
  <si>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</si>
  <si>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</si>
  <si>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</si>
  <si>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</si>
  <si>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</si>
  <si>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</si>
  <si>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</si>
  <si>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</si>
  <si>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</si>
  <si>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</si>
  <si>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</si>
  <si>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</si>
  <si>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</si>
  <si>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</si>
  <si>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</si>
  <si>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</si>
  <si>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</si>
  <si>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</si>
  <si>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</si>
  <si>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</si>
  <si>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</si>
  <si>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</si>
  <si>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</si>
  <si>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</si>
  <si>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</si>
  <si>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</si>
  <si>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</si>
  <si>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</si>
  <si>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</si>
  <si>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</si>
  <si>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</si>
  <si>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</si>
  <si>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</si>
  <si>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</si>
  <si>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</si>
  <si>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</si>
  <si>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</si>
  <si>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</si>
  <si>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</si>
  <si>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</si>
  <si>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</si>
  <si>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</si>
  <si>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</si>
  <si>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</si>
  <si>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</si>
  <si>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</si>
  <si>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</si>
  <si>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</si>
  <si>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</si>
  <si>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</si>
  <si>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</si>
  <si>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</si>
  <si>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</si>
  <si>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</si>
  <si>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</si>
  <si>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</si>
  <si>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</si>
  <si>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</si>
  <si>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</si>
  <si>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</si>
  <si>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</si>
  <si>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</si>
  <si>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</si>
  <si>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</si>
  <si>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</si>
  <si>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</si>
  <si>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</si>
  <si>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</si>
  <si>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</si>
  <si>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</si>
  <si>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</si>
  <si>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</si>
  <si>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</si>
  <si>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</si>
  <si>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</si>
  <si>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</si>
  <si>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</si>
  <si>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</si>
  <si>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</si>
  <si>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</si>
  <si>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</si>
  <si>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</si>
  <si>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</si>
  <si>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</si>
  <si>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</si>
  <si>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</si>
  <si>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</si>
  <si>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</si>
  <si>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</si>
  <si>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</si>
  <si>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</si>
  <si>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</si>
  <si>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</si>
  <si>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Catalytica Common TRS Raptor I</t>
  </si>
  <si>
    <t>US;CESI</t>
  </si>
  <si>
    <t>LSI Preferred Raptor I</t>
  </si>
  <si>
    <t>614-665</t>
  </si>
  <si>
    <t>480-2948</t>
  </si>
  <si>
    <t>LSI Warrants Raptor I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</si>
  <si>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</si>
  <si>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</si>
  <si>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</si>
  <si>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</si>
  <si>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</si>
  <si>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</si>
  <si>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</si>
  <si>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</si>
  <si>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</si>
  <si>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</si>
  <si>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</si>
  <si>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</si>
  <si>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</si>
  <si>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</si>
  <si>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Chewco 36.12%</t>
  </si>
  <si>
    <t>Hornbeck-Leevac Warrants Raptor I</t>
  </si>
  <si>
    <t>Prior YTD</t>
  </si>
  <si>
    <t>Current QTR</t>
  </si>
  <si>
    <t>MRP did not have 12/29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</si>
</sst>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11" xfId="2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64" t="s">
        <v>198</v>
      </c>
      <c r="C2" s="264"/>
      <c r="D2" s="264"/>
      <c r="E2" s="26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+'MPR Raptor'!U3</f>
        <v>36935</v>
      </c>
      <c r="D5" s="67" t="s">
        <v>18</v>
      </c>
      <c r="E5" s="68">
        <f>+C5-1</f>
        <v>36934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Position'!P13</f>
        <v>-34060904.379999995</v>
      </c>
      <c r="D12" s="70">
        <f>+'Daily Position'!O13</f>
        <v>0</v>
      </c>
      <c r="E12" s="70">
        <f>+C12-D12</f>
        <v>-34060904.379999995</v>
      </c>
      <c r="F12" s="63"/>
    </row>
    <row r="13" spans="1:6" x14ac:dyDescent="0.25">
      <c r="A13" s="62"/>
      <c r="B13" s="64" t="s">
        <v>10</v>
      </c>
      <c r="C13" s="56">
        <f>+C15-C12</f>
        <v>2336211.6799999885</v>
      </c>
      <c r="D13" s="56">
        <f>+D15-D12</f>
        <v>0</v>
      </c>
      <c r="E13" s="56">
        <f>+E15-E12</f>
        <v>2336211.6799999885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Position'!N13</f>
        <v>-31724692.700000007</v>
      </c>
      <c r="D15" s="57">
        <f>+'Daily Position'!M13</f>
        <v>0</v>
      </c>
      <c r="E15" s="57">
        <f>+C15-D15</f>
        <v>-31724692.700000007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262790381.11307091</v>
      </c>
      <c r="D21" s="64"/>
      <c r="E21" s="64"/>
      <c r="F21" s="63"/>
    </row>
    <row r="22" spans="1:6" x14ac:dyDescent="0.25">
      <c r="A22" s="62"/>
      <c r="B22" s="64"/>
      <c r="C22" s="70"/>
      <c r="D22" s="131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Position'!I13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.75" x14ac:dyDescent="0.25"/>
  <cols>
    <col min="1" max="1" width="23.125" customWidth="1"/>
    <col min="2" max="2" width="7.875" style="149" customWidth="1"/>
    <col min="3" max="3" width="10.875" style="149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4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  <col min="23" max="23" width="11.75" bestFit="1" customWidth="1"/>
    <col min="25" max="25" width="12.75" bestFit="1" customWidth="1"/>
    <col min="26" max="26" width="13.75" bestFit="1" customWidth="1"/>
  </cols>
  <sheetData>
    <row r="1" spans="1:27" s="78" customFormat="1" x14ac:dyDescent="0.25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67" t="s">
        <v>133</v>
      </c>
      <c r="I1" s="26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65" t="s">
        <v>139</v>
      </c>
      <c r="P1" s="266"/>
      <c r="Q1" s="85" t="s">
        <v>139</v>
      </c>
      <c r="R1" s="89"/>
      <c r="S1" s="86"/>
      <c r="V1" s="265" t="s">
        <v>488</v>
      </c>
      <c r="W1" s="266"/>
      <c r="X1" s="265" t="s">
        <v>489</v>
      </c>
      <c r="Y1" s="266"/>
    </row>
    <row r="2" spans="1:27" s="79" customFormat="1" ht="15" customHeight="1" thickBot="1" x14ac:dyDescent="0.3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  <c r="V2" s="262" t="s">
        <v>5</v>
      </c>
      <c r="W2" s="88" t="s">
        <v>7</v>
      </c>
      <c r="X2" s="262" t="s">
        <v>5</v>
      </c>
      <c r="Y2" s="88" t="s">
        <v>7</v>
      </c>
    </row>
    <row r="3" spans="1:27" x14ac:dyDescent="0.25">
      <c r="A3" s="127" t="s">
        <v>483</v>
      </c>
      <c r="J3" s="2"/>
      <c r="L3" s="4"/>
      <c r="M3" s="4"/>
      <c r="N3" s="5"/>
      <c r="P3" s="4"/>
      <c r="Q3" s="4"/>
      <c r="R3" s="4"/>
      <c r="V3" s="263"/>
      <c r="W3" s="79"/>
      <c r="X3" s="263"/>
      <c r="Y3" s="79"/>
    </row>
    <row r="4" spans="1:27" x14ac:dyDescent="0.25">
      <c r="A4" s="129" t="s">
        <v>201</v>
      </c>
      <c r="J4" s="4"/>
      <c r="L4" s="4"/>
      <c r="M4" s="4"/>
      <c r="N4" s="5"/>
      <c r="P4" s="4"/>
      <c r="Q4" s="4"/>
      <c r="R4" s="137"/>
      <c r="S4" s="130"/>
      <c r="V4" s="4"/>
      <c r="W4" s="5"/>
      <c r="X4" s="4"/>
      <c r="Y4" s="4"/>
    </row>
    <row r="5" spans="1:27" x14ac:dyDescent="0.25">
      <c r="A5" s="129" t="s">
        <v>203</v>
      </c>
      <c r="J5" s="4"/>
      <c r="L5" s="4"/>
      <c r="M5" s="4"/>
      <c r="N5" s="5"/>
      <c r="P5" s="4"/>
      <c r="Q5" s="4"/>
      <c r="R5" s="137"/>
      <c r="S5" s="130"/>
      <c r="V5" s="4"/>
      <c r="W5" s="5"/>
      <c r="X5" s="4"/>
      <c r="Y5" s="4"/>
    </row>
    <row r="6" spans="1:27" x14ac:dyDescent="0.25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36935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  <c r="V6" s="4">
        <v>0</v>
      </c>
      <c r="W6" s="5">
        <v>0</v>
      </c>
      <c r="X6" s="4">
        <f>+M6-V6</f>
        <v>0</v>
      </c>
      <c r="Y6" s="4">
        <f>+N6-W6</f>
        <v>0</v>
      </c>
    </row>
    <row r="7" spans="1:27" x14ac:dyDescent="0.25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V7" s="4"/>
      <c r="W7" s="5"/>
      <c r="X7" s="4"/>
      <c r="Y7" s="4"/>
    </row>
    <row r="8" spans="1:27" x14ac:dyDescent="0.25">
      <c r="A8" s="129"/>
      <c r="B8" s="149">
        <v>36888</v>
      </c>
      <c r="C8" s="149">
        <v>37801</v>
      </c>
      <c r="D8" s="76" t="s">
        <v>211</v>
      </c>
      <c r="F8" s="76" t="s">
        <v>213</v>
      </c>
      <c r="G8" s="2">
        <v>34.875</v>
      </c>
      <c r="V8" s="4"/>
      <c r="W8" s="5"/>
      <c r="X8" s="4"/>
      <c r="Y8" s="4"/>
    </row>
    <row r="9" spans="1:27" x14ac:dyDescent="0.25">
      <c r="A9" s="129"/>
      <c r="B9" s="149">
        <v>36888</v>
      </c>
      <c r="C9" s="149">
        <v>37801</v>
      </c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  <c r="V9" s="4"/>
      <c r="W9" s="5"/>
      <c r="X9" s="4"/>
      <c r="Y9" s="4"/>
    </row>
    <row r="10" spans="1:27" x14ac:dyDescent="0.25">
      <c r="A10" s="255" t="s">
        <v>485</v>
      </c>
      <c r="H10" s="3">
        <v>3314340</v>
      </c>
      <c r="I10" s="4">
        <f>+H10*($G$9-$G$8)</f>
        <v>33143400</v>
      </c>
      <c r="J10" s="155">
        <f>VLOOKUP(K10,Prices,3)</f>
        <v>38.9</v>
      </c>
      <c r="K10" s="144">
        <f>+Summary!C5</f>
        <v>36935</v>
      </c>
      <c r="L10" s="4">
        <f>IF(J10&gt;$G$7,(+$G$7-$G$9)*H10,IF(J10&lt;$G$8,(+$G$8-$G$9)*H10,(+J10-$G$9)*H10))</f>
        <v>-19803181.500000004</v>
      </c>
      <c r="M10" s="4">
        <v>0</v>
      </c>
      <c r="N10" s="5">
        <f>+L10+M10</f>
        <v>-19803181.500000004</v>
      </c>
      <c r="O10">
        <v>0</v>
      </c>
      <c r="P10" s="4">
        <f>IF(Q10&gt;$G$7,(+$G$7-$G$9)*H10,IF(Q10&lt;$G$8,(+$G$8-$G$9)*H10,(+Q10-$G$9)*H10))</f>
        <v>-21261491.099999998</v>
      </c>
      <c r="Q10" s="2">
        <f>+VLOOKUP(+Summary!$E$5,Prices,3)</f>
        <v>38.46</v>
      </c>
      <c r="R10" s="137"/>
      <c r="S10" s="130">
        <f>+N10-'MPR Raptor'!AH76</f>
        <v>0</v>
      </c>
      <c r="V10" s="5">
        <v>0</v>
      </c>
      <c r="W10" s="5">
        <v>-1035731.25</v>
      </c>
      <c r="X10" s="4">
        <f>+M10-V10</f>
        <v>0</v>
      </c>
      <c r="Y10" s="4">
        <f>+N10-W10</f>
        <v>-18767450.250000004</v>
      </c>
      <c r="Z10" s="135">
        <f>+Y10-'MPR Raptor'!AH76</f>
        <v>1035731.2499999963</v>
      </c>
      <c r="AA10" t="s">
        <v>490</v>
      </c>
    </row>
    <row r="11" spans="1:27" x14ac:dyDescent="0.25">
      <c r="A11" s="255" t="s">
        <v>486</v>
      </c>
      <c r="H11" s="3">
        <f>5309572-H10</f>
        <v>1995232</v>
      </c>
      <c r="I11" s="4">
        <f>+H11*($G$9-$G$8)</f>
        <v>19952320</v>
      </c>
      <c r="J11" s="155">
        <f>+J10</f>
        <v>38.9</v>
      </c>
      <c r="K11" s="144">
        <f>+K10</f>
        <v>36935</v>
      </c>
      <c r="L11" s="4">
        <f>IF(J11&gt;$G$7,(+$G$7-$G$9)*H11,IF(J11&lt;$G$8,(+$G$8-$G$9)*H11,(+J11-$G$9)*H11))</f>
        <v>-11921511.200000003</v>
      </c>
      <c r="M11" s="4">
        <v>0</v>
      </c>
      <c r="N11" s="5">
        <f>+L11+M11</f>
        <v>-11921511.200000003</v>
      </c>
      <c r="O11">
        <v>0</v>
      </c>
      <c r="P11" s="4">
        <f>IF(Q11&gt;$G$7,(+$G$7-$G$9)*H11,IF(Q11&lt;$G$8,(+$G$8-$G$9)*H11,(+Q11-$G$9)*H11))</f>
        <v>-12799413.279999997</v>
      </c>
      <c r="Q11" s="2">
        <f>+Q10</f>
        <v>38.46</v>
      </c>
      <c r="R11" s="137"/>
      <c r="S11" s="130">
        <f>+N11-'MPR Raptor'!AH38</f>
        <v>0</v>
      </c>
      <c r="V11" s="5">
        <v>0</v>
      </c>
      <c r="W11" s="5">
        <v>-623510</v>
      </c>
      <c r="X11" s="4">
        <f>+M11-V11</f>
        <v>0</v>
      </c>
      <c r="Y11" s="4">
        <f>+N11-W11</f>
        <v>-11298001.200000003</v>
      </c>
      <c r="Z11" s="135">
        <f>+Y11-'MPR Raptor'!AH38</f>
        <v>623510</v>
      </c>
      <c r="AA11" t="s">
        <v>490</v>
      </c>
    </row>
    <row r="12" spans="1:27" x14ac:dyDescent="0.25">
      <c r="A12" t="s">
        <v>197</v>
      </c>
    </row>
    <row r="13" spans="1:27" ht="16.5" thickBot="1" x14ac:dyDescent="0.3">
      <c r="B13" s="150" t="s">
        <v>17</v>
      </c>
      <c r="E13" s="77">
        <f>SUM(E3:E12)</f>
        <v>0</v>
      </c>
      <c r="I13" s="143">
        <f>SUM(I3:I12)</f>
        <v>513095720</v>
      </c>
      <c r="L13" s="77">
        <f>SUM(L3:L12)</f>
        <v>-31724692.700000007</v>
      </c>
      <c r="M13" s="77">
        <f>SUM(M3:M12)</f>
        <v>0</v>
      </c>
      <c r="N13" s="77">
        <f>SUM(N3:N12)</f>
        <v>-31724692.700000007</v>
      </c>
      <c r="O13" s="77">
        <f>SUM(O3:O12)</f>
        <v>0</v>
      </c>
      <c r="P13" s="77">
        <f>SUM(P3:P12)</f>
        <v>-34060904.379999995</v>
      </c>
      <c r="Q13" s="131"/>
      <c r="R13" s="131"/>
      <c r="S13" s="77">
        <f>SUM(S3:S12)</f>
        <v>0</v>
      </c>
      <c r="V13" s="77">
        <f>SUM(V3:V12)</f>
        <v>0</v>
      </c>
      <c r="W13" s="77">
        <f>SUM(W3:W12)</f>
        <v>-1659241.25</v>
      </c>
      <c r="X13" s="77">
        <f>SUM(X3:X12)</f>
        <v>0</v>
      </c>
      <c r="Y13" s="77">
        <f>SUM(Y3:Y12)</f>
        <v>-30065451.450000007</v>
      </c>
    </row>
    <row r="14" spans="1:27" ht="16.5" thickTop="1" x14ac:dyDescent="0.25"/>
    <row r="15" spans="1:27" x14ac:dyDescent="0.25">
      <c r="M15" s="2">
        <f>SUMIF(M3:M12,"&lt;0",M3:M12)</f>
        <v>0</v>
      </c>
      <c r="N15" t="s">
        <v>222</v>
      </c>
      <c r="S15" s="5"/>
    </row>
    <row r="16" spans="1:27" x14ac:dyDescent="0.25">
      <c r="M16" s="2">
        <f>SUMIF(M3:M12,"&gt;0",M3:M12)</f>
        <v>0</v>
      </c>
      <c r="N16" t="s">
        <v>223</v>
      </c>
      <c r="S16" s="135"/>
    </row>
    <row r="17" spans="13:19" x14ac:dyDescent="0.25">
      <c r="M17" s="135">
        <f>+M15+M16-M13</f>
        <v>0</v>
      </c>
      <c r="N17" t="s">
        <v>224</v>
      </c>
      <c r="S17" s="136"/>
    </row>
  </sheetData>
  <mergeCells count="4">
    <mergeCell ref="O1:P1"/>
    <mergeCell ref="H1:I1"/>
    <mergeCell ref="V1:W1"/>
    <mergeCell ref="X1:Y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104" activePane="bottomLeft" state="frozen"/>
      <selection pane="bottomLeft" activeCell="A106" sqref="A106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0.25" style="125" bestFit="1" customWidth="1"/>
  </cols>
  <sheetData>
    <row r="1" spans="1:3" x14ac:dyDescent="0.25">
      <c r="A1" s="145" t="s">
        <v>156</v>
      </c>
      <c r="B1" s="123"/>
    </row>
    <row r="2" spans="1:3" x14ac:dyDescent="0.25">
      <c r="B2" s="124"/>
    </row>
    <row r="3" spans="1:3" x14ac:dyDescent="0.25">
      <c r="B3" s="124"/>
      <c r="C3" s="154" t="s">
        <v>214</v>
      </c>
    </row>
    <row r="4" spans="1:3" x14ac:dyDescent="0.25">
      <c r="A4" s="123"/>
      <c r="B4" s="153" t="s">
        <v>4</v>
      </c>
      <c r="C4" s="154" t="s">
        <v>215</v>
      </c>
    </row>
    <row r="5" spans="1:3" x14ac:dyDescent="0.25">
      <c r="A5" s="146" t="s">
        <v>1</v>
      </c>
      <c r="B5" s="153" t="s">
        <v>12</v>
      </c>
      <c r="C5" s="154" t="s">
        <v>216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4">
        <v>36815</v>
      </c>
      <c r="B24" s="125">
        <v>80</v>
      </c>
    </row>
    <row r="25" spans="1:2" x14ac:dyDescent="0.25">
      <c r="A25" s="144">
        <v>36816</v>
      </c>
      <c r="B25" s="125">
        <v>79.188000000000002</v>
      </c>
    </row>
    <row r="26" spans="1:2" x14ac:dyDescent="0.25">
      <c r="A26" s="144">
        <v>36817</v>
      </c>
      <c r="B26" s="125">
        <v>78.75</v>
      </c>
    </row>
    <row r="27" spans="1:2" x14ac:dyDescent="0.25">
      <c r="A27" s="144">
        <v>36818</v>
      </c>
      <c r="B27" s="125">
        <v>79</v>
      </c>
    </row>
    <row r="28" spans="1:2" x14ac:dyDescent="0.25">
      <c r="A28" s="144">
        <v>36819</v>
      </c>
      <c r="B28" s="125">
        <v>80.5</v>
      </c>
    </row>
    <row r="29" spans="1:2" x14ac:dyDescent="0.25">
      <c r="A29" s="144">
        <v>36822</v>
      </c>
      <c r="B29" s="125">
        <v>82</v>
      </c>
    </row>
    <row r="30" spans="1:2" x14ac:dyDescent="0.25">
      <c r="A30" s="144">
        <v>36823</v>
      </c>
      <c r="B30" s="125">
        <v>80.1875</v>
      </c>
    </row>
    <row r="31" spans="1:2" x14ac:dyDescent="0.25">
      <c r="A31" s="144">
        <v>36824</v>
      </c>
      <c r="B31" s="125">
        <v>76.125</v>
      </c>
    </row>
    <row r="32" spans="1:2" x14ac:dyDescent="0.25">
      <c r="A32" s="144">
        <v>36825</v>
      </c>
      <c r="B32" s="125">
        <v>77.5</v>
      </c>
    </row>
    <row r="33" spans="1:2" x14ac:dyDescent="0.25">
      <c r="A33" s="144">
        <v>36826</v>
      </c>
      <c r="B33" s="125">
        <v>78.875</v>
      </c>
    </row>
    <row r="34" spans="1:2" x14ac:dyDescent="0.25">
      <c r="A34" s="144">
        <v>36829</v>
      </c>
      <c r="B34" s="125">
        <v>80.688000000000002</v>
      </c>
    </row>
    <row r="35" spans="1:2" x14ac:dyDescent="0.25">
      <c r="A35" s="144">
        <v>36830</v>
      </c>
      <c r="B35" s="125">
        <v>82.063000000000002</v>
      </c>
    </row>
    <row r="36" spans="1:2" x14ac:dyDescent="0.25">
      <c r="A36" s="144">
        <v>36831</v>
      </c>
      <c r="B36" s="125">
        <v>83.25</v>
      </c>
    </row>
    <row r="37" spans="1:2" x14ac:dyDescent="0.25">
      <c r="A37" s="144">
        <v>36832</v>
      </c>
      <c r="B37" s="125">
        <v>81.75</v>
      </c>
    </row>
    <row r="38" spans="1:2" x14ac:dyDescent="0.25">
      <c r="A38" s="144">
        <v>36833</v>
      </c>
      <c r="B38" s="125">
        <v>77.375</v>
      </c>
    </row>
    <row r="39" spans="1:2" x14ac:dyDescent="0.25">
      <c r="A39" s="144">
        <v>36836</v>
      </c>
      <c r="B39" s="125">
        <v>81.563000000000002</v>
      </c>
    </row>
    <row r="40" spans="1:2" x14ac:dyDescent="0.25">
      <c r="A40" s="144">
        <v>36837</v>
      </c>
      <c r="B40" s="125">
        <v>81.813000000000002</v>
      </c>
    </row>
    <row r="41" spans="1:2" x14ac:dyDescent="0.25">
      <c r="A41" s="144">
        <v>36838</v>
      </c>
      <c r="B41" s="125">
        <v>82.125</v>
      </c>
    </row>
    <row r="42" spans="1:2" x14ac:dyDescent="0.25">
      <c r="A42" s="144">
        <v>36839</v>
      </c>
      <c r="B42" s="125">
        <v>82.938000000000002</v>
      </c>
    </row>
    <row r="43" spans="1:2" x14ac:dyDescent="0.25">
      <c r="A43" s="144">
        <v>36840</v>
      </c>
      <c r="B43" s="125">
        <f>82+0.9375</f>
        <v>82.9375</v>
      </c>
    </row>
    <row r="44" spans="1:2" x14ac:dyDescent="0.25">
      <c r="A44" s="144">
        <v>36843</v>
      </c>
      <c r="B44" s="125">
        <v>79.438000000000002</v>
      </c>
    </row>
    <row r="45" spans="1:2" x14ac:dyDescent="0.25">
      <c r="A45" s="144">
        <v>36844</v>
      </c>
      <c r="B45" s="125">
        <v>79.563000000000002</v>
      </c>
    </row>
    <row r="46" spans="1:2" x14ac:dyDescent="0.25">
      <c r="A46" s="144">
        <v>36845</v>
      </c>
      <c r="B46" s="125">
        <v>80.375</v>
      </c>
    </row>
    <row r="47" spans="1:2" x14ac:dyDescent="0.25">
      <c r="A47" s="144">
        <v>36846</v>
      </c>
      <c r="B47" s="125">
        <v>81.25</v>
      </c>
    </row>
    <row r="48" spans="1:2" x14ac:dyDescent="0.25">
      <c r="A48" s="144">
        <v>36847</v>
      </c>
      <c r="B48" s="125">
        <v>81.5</v>
      </c>
    </row>
    <row r="49" spans="1:2" x14ac:dyDescent="0.25">
      <c r="A49" s="144">
        <v>36850</v>
      </c>
      <c r="B49" s="125">
        <v>80.25</v>
      </c>
    </row>
    <row r="50" spans="1:2" x14ac:dyDescent="0.25">
      <c r="A50" s="144">
        <v>36851</v>
      </c>
      <c r="B50" s="125">
        <v>80.375</v>
      </c>
    </row>
    <row r="51" spans="1:2" x14ac:dyDescent="0.25">
      <c r="A51" s="144">
        <v>36852</v>
      </c>
      <c r="B51" s="125">
        <v>75.563000000000002</v>
      </c>
    </row>
    <row r="52" spans="1:2" x14ac:dyDescent="0.25">
      <c r="A52" s="144">
        <v>36854</v>
      </c>
      <c r="B52" s="125">
        <v>77.75</v>
      </c>
    </row>
    <row r="53" spans="1:2" x14ac:dyDescent="0.25">
      <c r="A53" s="144">
        <v>36857</v>
      </c>
      <c r="B53" s="125">
        <v>78.875</v>
      </c>
    </row>
    <row r="54" spans="1:2" x14ac:dyDescent="0.25">
      <c r="A54" s="144">
        <v>36858</v>
      </c>
      <c r="B54" s="125">
        <v>78.438000000000002</v>
      </c>
    </row>
    <row r="55" spans="1:2" x14ac:dyDescent="0.25">
      <c r="A55" s="144">
        <v>36859</v>
      </c>
      <c r="B55" s="125">
        <v>70.25</v>
      </c>
    </row>
    <row r="56" spans="1:2" x14ac:dyDescent="0.25">
      <c r="A56" s="144">
        <v>36860</v>
      </c>
      <c r="B56" s="125">
        <v>64.75</v>
      </c>
    </row>
    <row r="57" spans="1:2" x14ac:dyDescent="0.25">
      <c r="A57" s="144">
        <v>36861</v>
      </c>
      <c r="B57" s="125">
        <v>65.5</v>
      </c>
    </row>
    <row r="58" spans="1:2" x14ac:dyDescent="0.25">
      <c r="A58" s="144">
        <v>36864</v>
      </c>
      <c r="B58" s="125">
        <v>65.938000000000002</v>
      </c>
    </row>
    <row r="59" spans="1:2" x14ac:dyDescent="0.25">
      <c r="A59" s="144">
        <v>36865</v>
      </c>
      <c r="B59" s="125">
        <v>68.25</v>
      </c>
    </row>
    <row r="60" spans="1:2" x14ac:dyDescent="0.25">
      <c r="A60" s="144">
        <v>36866</v>
      </c>
      <c r="B60" s="125">
        <v>71.938000000000002</v>
      </c>
    </row>
    <row r="61" spans="1:2" x14ac:dyDescent="0.25">
      <c r="A61" s="144">
        <v>36867</v>
      </c>
      <c r="B61" s="125">
        <v>72.875</v>
      </c>
    </row>
    <row r="62" spans="1:2" x14ac:dyDescent="0.25">
      <c r="A62" s="144">
        <v>36868</v>
      </c>
      <c r="B62" s="125">
        <v>73.063000000000002</v>
      </c>
    </row>
    <row r="63" spans="1:2" x14ac:dyDescent="0.25">
      <c r="A63" s="144">
        <v>36871</v>
      </c>
      <c r="B63" s="125">
        <v>76.5</v>
      </c>
    </row>
    <row r="64" spans="1:2" x14ac:dyDescent="0.25">
      <c r="A64" s="144">
        <v>36872</v>
      </c>
      <c r="B64" s="125">
        <v>77.188000000000002</v>
      </c>
    </row>
    <row r="65" spans="1:3" x14ac:dyDescent="0.25">
      <c r="A65" s="144">
        <v>36873</v>
      </c>
      <c r="B65" s="125">
        <v>74.5</v>
      </c>
    </row>
    <row r="66" spans="1:3" x14ac:dyDescent="0.25">
      <c r="A66" s="144">
        <v>36874</v>
      </c>
      <c r="B66" s="125">
        <v>76.5</v>
      </c>
    </row>
    <row r="67" spans="1:3" x14ac:dyDescent="0.25">
      <c r="A67" s="144">
        <v>36875</v>
      </c>
      <c r="B67" s="125">
        <v>77.563000000000002</v>
      </c>
    </row>
    <row r="68" spans="1:3" x14ac:dyDescent="0.25">
      <c r="A68" s="144">
        <v>36878</v>
      </c>
      <c r="B68" s="125">
        <v>79.563000000000002</v>
      </c>
    </row>
    <row r="69" spans="1:3" x14ac:dyDescent="0.25">
      <c r="A69" s="144">
        <v>36879</v>
      </c>
      <c r="B69" s="125">
        <v>79.75</v>
      </c>
    </row>
    <row r="70" spans="1:3" x14ac:dyDescent="0.25">
      <c r="A70" s="144">
        <v>36880</v>
      </c>
      <c r="B70" s="125">
        <v>79.75</v>
      </c>
    </row>
    <row r="71" spans="1:3" x14ac:dyDescent="0.25">
      <c r="A71" s="144">
        <v>36881</v>
      </c>
      <c r="B71" s="125">
        <v>79.313000000000002</v>
      </c>
    </row>
    <row r="72" spans="1:3" x14ac:dyDescent="0.25">
      <c r="A72" s="144">
        <v>36882</v>
      </c>
      <c r="B72" s="125">
        <v>81.188000000000002</v>
      </c>
    </row>
    <row r="73" spans="1:3" x14ac:dyDescent="0.25">
      <c r="A73" s="144">
        <v>36886</v>
      </c>
      <c r="B73" s="125">
        <v>83.5</v>
      </c>
    </row>
    <row r="74" spans="1:3" x14ac:dyDescent="0.25">
      <c r="A74" s="144">
        <v>36887</v>
      </c>
      <c r="B74" s="125">
        <v>82.813000000000002</v>
      </c>
    </row>
    <row r="75" spans="1:3" x14ac:dyDescent="0.25">
      <c r="A75" s="144">
        <v>36888</v>
      </c>
      <c r="B75" s="125">
        <v>84.625</v>
      </c>
      <c r="C75" s="125">
        <v>44.875</v>
      </c>
    </row>
    <row r="76" spans="1:3" x14ac:dyDescent="0.25">
      <c r="A76" s="144">
        <v>36889</v>
      </c>
      <c r="B76" s="125">
        <v>83.125</v>
      </c>
      <c r="C76" s="125">
        <v>44.5625</v>
      </c>
    </row>
    <row r="77" spans="1:3" x14ac:dyDescent="0.25">
      <c r="A77" s="144">
        <v>36893</v>
      </c>
      <c r="B77" s="125">
        <v>79.875</v>
      </c>
      <c r="C77" s="125">
        <v>41.75</v>
      </c>
    </row>
    <row r="78" spans="1:3" x14ac:dyDescent="0.25">
      <c r="A78" s="144">
        <v>36894</v>
      </c>
      <c r="B78" s="125">
        <v>75.063000000000002</v>
      </c>
      <c r="C78" s="125">
        <v>39.75</v>
      </c>
    </row>
    <row r="79" spans="1:3" x14ac:dyDescent="0.25">
      <c r="A79" s="144">
        <v>36895</v>
      </c>
      <c r="B79" s="125">
        <v>72</v>
      </c>
      <c r="C79" s="125">
        <v>37.75</v>
      </c>
    </row>
    <row r="80" spans="1:3" x14ac:dyDescent="0.25">
      <c r="A80" s="144">
        <v>36896</v>
      </c>
      <c r="B80" s="125">
        <v>71.375</v>
      </c>
      <c r="C80" s="125">
        <v>37.813000000000002</v>
      </c>
    </row>
    <row r="81" spans="1:3" x14ac:dyDescent="0.25">
      <c r="A81" s="144">
        <v>36899</v>
      </c>
      <c r="B81" s="125">
        <v>71.25</v>
      </c>
      <c r="C81" s="125">
        <v>38.188000000000002</v>
      </c>
    </row>
    <row r="82" spans="1:3" x14ac:dyDescent="0.25">
      <c r="A82" s="144">
        <v>36900</v>
      </c>
      <c r="B82" s="125">
        <v>68.625</v>
      </c>
      <c r="C82" s="125">
        <v>38</v>
      </c>
    </row>
    <row r="83" spans="1:3" x14ac:dyDescent="0.25">
      <c r="A83" s="144">
        <v>36901</v>
      </c>
      <c r="B83" s="125">
        <v>68.938000000000002</v>
      </c>
      <c r="C83" s="125">
        <v>38.375</v>
      </c>
    </row>
    <row r="84" spans="1:3" x14ac:dyDescent="0.25">
      <c r="A84" s="144">
        <v>36902</v>
      </c>
      <c r="B84" s="125">
        <v>69.438000000000002</v>
      </c>
      <c r="C84" s="125">
        <v>38.313000000000002</v>
      </c>
    </row>
    <row r="85" spans="1:3" x14ac:dyDescent="0.25">
      <c r="A85" s="144">
        <v>36903</v>
      </c>
      <c r="B85" s="125">
        <v>70.438000000000002</v>
      </c>
      <c r="C85" s="125">
        <v>36.688000000000002</v>
      </c>
    </row>
    <row r="86" spans="1:3" x14ac:dyDescent="0.25">
      <c r="A86" s="144">
        <v>36907</v>
      </c>
      <c r="B86" s="125">
        <v>68.438000000000002</v>
      </c>
      <c r="C86" s="125">
        <v>35.9375</v>
      </c>
    </row>
    <row r="87" spans="1:3" x14ac:dyDescent="0.25">
      <c r="A87" s="144">
        <v>36908</v>
      </c>
      <c r="B87" s="125">
        <v>71.125</v>
      </c>
      <c r="C87" s="125">
        <v>34.875</v>
      </c>
    </row>
    <row r="88" spans="1:3" x14ac:dyDescent="0.25">
      <c r="A88" s="144">
        <v>36909</v>
      </c>
      <c r="B88" s="125">
        <v>72.063000000000002</v>
      </c>
      <c r="C88" s="125">
        <v>33.8125</v>
      </c>
    </row>
    <row r="89" spans="1:3" x14ac:dyDescent="0.25">
      <c r="A89" s="144">
        <v>36913</v>
      </c>
      <c r="B89" s="125">
        <v>75.0625</v>
      </c>
      <c r="C89" s="125">
        <v>34.0625</v>
      </c>
    </row>
    <row r="90" spans="1:3" x14ac:dyDescent="0.25">
      <c r="A90" s="144">
        <v>36914</v>
      </c>
      <c r="B90" s="125">
        <v>78.563000000000002</v>
      </c>
      <c r="C90" s="125">
        <v>35.625</v>
      </c>
    </row>
    <row r="91" spans="1:3" x14ac:dyDescent="0.25">
      <c r="A91" s="144">
        <v>36915</v>
      </c>
      <c r="B91" s="125">
        <v>79.75</v>
      </c>
      <c r="C91" s="125">
        <v>35.75</v>
      </c>
    </row>
    <row r="92" spans="1:3" x14ac:dyDescent="0.25">
      <c r="A92" s="144">
        <v>36916</v>
      </c>
      <c r="B92" s="125">
        <v>82</v>
      </c>
      <c r="C92" s="125">
        <v>36.375</v>
      </c>
    </row>
    <row r="93" spans="1:3" x14ac:dyDescent="0.25">
      <c r="A93" s="144">
        <v>36917</v>
      </c>
      <c r="B93" s="125">
        <v>82</v>
      </c>
      <c r="C93" s="125">
        <v>37.1875</v>
      </c>
    </row>
    <row r="94" spans="1:3" x14ac:dyDescent="0.25">
      <c r="A94" s="144">
        <v>36920</v>
      </c>
      <c r="B94" s="125">
        <f>80.77</f>
        <v>80.77</v>
      </c>
      <c r="C94" s="125">
        <v>37.49</v>
      </c>
    </row>
    <row r="95" spans="1:3" x14ac:dyDescent="0.25">
      <c r="A95" s="144">
        <v>36921</v>
      </c>
      <c r="B95" s="125">
        <v>78.5</v>
      </c>
      <c r="C95" s="125">
        <v>37.69</v>
      </c>
    </row>
    <row r="96" spans="1:3" x14ac:dyDescent="0.25">
      <c r="A96" s="144">
        <v>36922</v>
      </c>
      <c r="B96" s="125">
        <v>80</v>
      </c>
      <c r="C96" s="125">
        <v>38.369999999999997</v>
      </c>
    </row>
    <row r="97" spans="1:3" x14ac:dyDescent="0.25">
      <c r="A97" s="144">
        <v>36923</v>
      </c>
      <c r="B97" s="125">
        <v>78.790000000000006</v>
      </c>
      <c r="C97" s="125">
        <v>38.25</v>
      </c>
    </row>
    <row r="98" spans="1:3" x14ac:dyDescent="0.25">
      <c r="A98" s="144">
        <v>36924</v>
      </c>
      <c r="B98" s="125">
        <v>79.98</v>
      </c>
      <c r="C98" s="125">
        <v>38.74</v>
      </c>
    </row>
    <row r="99" spans="1:3" x14ac:dyDescent="0.25">
      <c r="A99" s="144">
        <v>36927</v>
      </c>
      <c r="B99" s="125">
        <v>81.81</v>
      </c>
      <c r="C99" s="125">
        <v>36.86</v>
      </c>
    </row>
    <row r="100" spans="1:3" x14ac:dyDescent="0.25">
      <c r="A100" s="144">
        <v>36928</v>
      </c>
      <c r="B100" s="125">
        <v>80.150000000000006</v>
      </c>
      <c r="C100" s="125">
        <v>37.950000000000003</v>
      </c>
    </row>
    <row r="101" spans="1:3" x14ac:dyDescent="0.25">
      <c r="A101" s="144">
        <v>36929</v>
      </c>
      <c r="B101" s="125">
        <v>80.349999999999994</v>
      </c>
      <c r="C101" s="125">
        <v>38</v>
      </c>
    </row>
    <row r="102" spans="1:3" x14ac:dyDescent="0.25">
      <c r="A102" s="144">
        <v>36930</v>
      </c>
      <c r="B102" s="125">
        <v>80</v>
      </c>
      <c r="C102" s="125">
        <v>37.74</v>
      </c>
    </row>
    <row r="103" spans="1:3" x14ac:dyDescent="0.25">
      <c r="A103" s="144">
        <v>36931</v>
      </c>
      <c r="B103" s="125">
        <v>80.2</v>
      </c>
      <c r="C103" s="125">
        <v>38.450000000000003</v>
      </c>
    </row>
    <row r="104" spans="1:3" x14ac:dyDescent="0.25">
      <c r="A104" s="144">
        <v>36934</v>
      </c>
      <c r="B104" s="125">
        <v>79.8</v>
      </c>
      <c r="C104" s="125">
        <v>38.46</v>
      </c>
    </row>
    <row r="105" spans="1:3" x14ac:dyDescent="0.25">
      <c r="A105" s="144">
        <v>36935</v>
      </c>
      <c r="B105" s="125">
        <v>81.150000000000006</v>
      </c>
      <c r="C105" s="125">
        <v>38.9</v>
      </c>
    </row>
    <row r="224" ht="14.25" customHeight="1" x14ac:dyDescent="0.25"/>
    <row r="341" spans="1:3" x14ac:dyDescent="0.25">
      <c r="A341" s="1" t="s">
        <v>162</v>
      </c>
    </row>
    <row r="343" spans="1:3" x14ac:dyDescent="0.25">
      <c r="A343" s="144">
        <f>+'MPR Raptor'!U3</f>
        <v>36935</v>
      </c>
      <c r="C343" s="125">
        <f>INDEX(MPRR, MATCH("Hanover Compressor Common Raptor II",'MPR Raptor'!$E$3:$E$140,), MATCH("Per Share",'MPR Raptor'!$E$3:$CM$3,))</f>
        <v>38.9</v>
      </c>
    </row>
    <row r="344" spans="1:3" x14ac:dyDescent="0.25">
      <c r="B344"/>
    </row>
    <row r="345" spans="1:3" x14ac:dyDescent="0.25">
      <c r="B345"/>
    </row>
    <row r="346" spans="1:3" x14ac:dyDescent="0.25">
      <c r="B346"/>
    </row>
    <row r="347" spans="1:3" x14ac:dyDescent="0.25"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G14" workbookViewId="0">
      <selection activeCell="H39" sqref="H39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199</v>
      </c>
      <c r="H2" s="276">
        <f>+Summary!C5</f>
        <v>36935</v>
      </c>
      <c r="I2" s="276"/>
      <c r="J2" s="96"/>
      <c r="L2" s="276">
        <f>H2</f>
        <v>36935</v>
      </c>
      <c r="M2" s="276"/>
      <c r="N2" s="276"/>
      <c r="O2" s="276"/>
      <c r="P2" s="276"/>
    </row>
    <row r="3" spans="1:18" ht="16.5" thickBot="1" x14ac:dyDescent="0.3">
      <c r="H3" s="277" t="s">
        <v>97</v>
      </c>
      <c r="I3" s="277"/>
      <c r="J3" s="97"/>
      <c r="L3" s="277" t="s">
        <v>97</v>
      </c>
      <c r="M3" s="277"/>
      <c r="N3" s="277"/>
      <c r="O3" s="277"/>
      <c r="P3" s="277"/>
    </row>
    <row r="4" spans="1:18" x14ac:dyDescent="0.25">
      <c r="A4" s="269" t="s">
        <v>200</v>
      </c>
      <c r="B4" s="269"/>
      <c r="C4" s="269"/>
      <c r="D4" s="269"/>
      <c r="E4" s="269"/>
      <c r="F4" s="269"/>
      <c r="H4" s="117" t="s">
        <v>98</v>
      </c>
      <c r="I4" s="118"/>
      <c r="J4" s="13"/>
    </row>
    <row r="5" spans="1:18" ht="16.5" thickBot="1" x14ac:dyDescent="0.3">
      <c r="A5" s="270" t="s">
        <v>30</v>
      </c>
      <c r="B5" s="270"/>
      <c r="D5" s="270" t="s">
        <v>31</v>
      </c>
      <c r="E5" s="270"/>
      <c r="H5" s="119" t="s">
        <v>99</v>
      </c>
      <c r="I5" s="126">
        <f>+VLOOKUP(+Summary!C5,ene,2)</f>
        <v>81.150000000000006</v>
      </c>
      <c r="J5" s="13"/>
      <c r="L5" s="269" t="s">
        <v>119</v>
      </c>
      <c r="M5" s="269"/>
      <c r="N5" s="269"/>
      <c r="O5" s="269"/>
      <c r="P5" s="269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36935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72" t="s">
        <v>157</v>
      </c>
      <c r="I7" s="273"/>
      <c r="J7" s="13"/>
      <c r="L7" s="270" t="s">
        <v>30</v>
      </c>
      <c r="M7" s="270"/>
      <c r="O7" s="270" t="s">
        <v>31</v>
      </c>
      <c r="P7" s="270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35164942.953219026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275" t="s">
        <v>101</v>
      </c>
      <c r="I10" s="275"/>
      <c r="J10" s="13"/>
      <c r="L10" s="7" t="s">
        <v>38</v>
      </c>
      <c r="M10" s="7">
        <f>B8+I15</f>
        <v>389091672.43150687</v>
      </c>
      <c r="N10" s="18"/>
      <c r="O10" s="7" t="s">
        <v>117</v>
      </c>
      <c r="P10" s="7">
        <f>IF(I20&gt;0,0,-I20)</f>
        <v>31724692.700000007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36935</v>
      </c>
      <c r="J11" s="13"/>
      <c r="L11" s="7" t="s">
        <v>42</v>
      </c>
      <c r="M11" s="7">
        <f>+Amort!B28</f>
        <v>447222.22222222225</v>
      </c>
      <c r="O11" s="7" t="s">
        <v>209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424860549.86237037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2284776.2865523561</v>
      </c>
      <c r="J13" s="29"/>
      <c r="L13" s="7" t="s">
        <v>208</v>
      </c>
      <c r="M13" s="7">
        <f>IF(I19&gt;0,I19,0)</f>
        <v>0</v>
      </c>
      <c r="O13" s="7" t="s">
        <v>40</v>
      </c>
      <c r="P13" s="7">
        <f>IF(+I23+I35+'Cash-Int-Trans'!D77-'Cash-Int-Trans'!D76&gt;'Cash-Int-Trans'!D77,'Cash-Int-Trans'!D77,IF(+I23+I35+'Cash-Int-Trans'!D77&lt;0,0,+I23+I35+'Cash-Int-Trans'!D77-'Cash-Int-Trans'!D76))</f>
        <v>18117595.044577714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2226388.888888889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1000.0000000596046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39091672.43150685</v>
      </c>
      <c r="J15" s="33" t="s">
        <v>56</v>
      </c>
      <c r="L15" s="91" t="s">
        <v>7</v>
      </c>
      <c r="M15" s="12">
        <f>SUM(M8:M14)</f>
        <v>474703837.60694814</v>
      </c>
      <c r="N15" s="20"/>
      <c r="O15" s="91" t="s">
        <v>7</v>
      </c>
      <c r="P15" s="12">
        <f>SUM(P8:P14)</f>
        <v>474703837.60694814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181</v>
      </c>
      <c r="I16" s="40">
        <f>-'Cash-Int-Trans'!B60</f>
        <v>-18126960.862370372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59742287.744577721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5" thickTop="1" x14ac:dyDescent="0.25">
      <c r="H19" s="7" t="s">
        <v>205</v>
      </c>
      <c r="I19" s="7">
        <f>IF(I5&lt;78.875,(78.875-I5)*(D14+D15),IF(I5&gt;111.8633,(111.8633-I5)*(+D14+D15),0))</f>
        <v>0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5" thickBot="1" x14ac:dyDescent="0.3">
      <c r="A20" s="271" t="s">
        <v>59</v>
      </c>
      <c r="B20" s="271"/>
      <c r="C20" s="271"/>
      <c r="D20" s="271"/>
      <c r="E20" s="271"/>
      <c r="H20" s="7" t="s">
        <v>115</v>
      </c>
      <c r="I20" s="7">
        <f>+'Daily Position'!L13</f>
        <v>-31724692.700000007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25">
      <c r="A21" s="274" t="s">
        <v>49</v>
      </c>
      <c r="B21" s="274"/>
      <c r="E21" s="7">
        <f>B11</f>
        <v>471001000</v>
      </c>
      <c r="F21" s="34" t="s">
        <v>43</v>
      </c>
      <c r="H21" s="7" t="s">
        <v>116</v>
      </c>
      <c r="I21" s="27">
        <f>+'Daily Position'!M13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-31724692.700000007</v>
      </c>
      <c r="J22" s="13"/>
      <c r="K22" s="7"/>
      <c r="N22" s="7" t="s">
        <v>221</v>
      </c>
      <c r="P22" s="7">
        <f>-'Daily Position'!I13</f>
        <v>-513095720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28017595.044577714</v>
      </c>
      <c r="J23" s="39" t="s">
        <v>63</v>
      </c>
      <c r="K23" s="7"/>
      <c r="N23" s="7" t="s">
        <v>222</v>
      </c>
      <c r="P23" s="156">
        <f>+'Daily Position'!M15</f>
        <v>0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206</v>
      </c>
      <c r="I31" s="16">
        <f>I23</f>
        <v>28017595.044577714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207</v>
      </c>
      <c r="I32" s="16">
        <f>(D14+D15)*(I5-E15)</f>
        <v>96841396.000000045</v>
      </c>
      <c r="J32" s="39"/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25">
      <c r="A34" s="49">
        <f>+Summary!C5</f>
        <v>36935</v>
      </c>
      <c r="B34" s="13" t="s">
        <v>81</v>
      </c>
      <c r="C34"/>
      <c r="H34" s="13" t="s">
        <v>145</v>
      </c>
      <c r="I34" s="16">
        <f>-I15</f>
        <v>-39091672.43150685</v>
      </c>
      <c r="J34" s="33" t="s">
        <v>56</v>
      </c>
      <c r="L34" s="7" t="s">
        <v>75</v>
      </c>
      <c r="M34" s="7">
        <f>I23</f>
        <v>28017595.044577714</v>
      </c>
    </row>
    <row r="35" spans="1:17" ht="16.5" thickBot="1" x14ac:dyDescent="0.3">
      <c r="A35" s="50">
        <f>A34-A33</f>
        <v>229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5" thickBot="1" x14ac:dyDescent="0.3">
      <c r="A36"/>
      <c r="B36"/>
      <c r="C36"/>
      <c r="H36" s="37" t="s">
        <v>103</v>
      </c>
      <c r="I36" s="38">
        <f>SUM(I29:I35)</f>
        <v>262790381.11307091</v>
      </c>
      <c r="J36" s="13"/>
      <c r="L36" s="7" t="s">
        <v>77</v>
      </c>
      <c r="M36" s="7">
        <f>SUM(M33:M35)</f>
        <v>18118595.044577718</v>
      </c>
    </row>
    <row r="37" spans="1:17" ht="16.5" customHeight="1" thickTop="1" x14ac:dyDescent="0.25">
      <c r="A37"/>
      <c r="B37"/>
      <c r="C37"/>
      <c r="D37"/>
      <c r="E37"/>
      <c r="H37" s="7" t="s">
        <v>204</v>
      </c>
      <c r="L37" s="7" t="s">
        <v>152</v>
      </c>
      <c r="M37" s="7">
        <f>P13</f>
        <v>18117595.044577714</v>
      </c>
    </row>
    <row r="38" spans="1:17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1000.0000000596046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-5.5879354476928711E-8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25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474703837.60694814</v>
      </c>
      <c r="Q44" s="106" t="s">
        <v>150</v>
      </c>
    </row>
    <row r="45" spans="1:17" x14ac:dyDescent="0.25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25">
      <c r="A46"/>
      <c r="B46"/>
      <c r="C46"/>
      <c r="D46"/>
      <c r="E46"/>
      <c r="F46" s="7"/>
      <c r="I46" s="7"/>
      <c r="L46" s="7" t="s">
        <v>149</v>
      </c>
      <c r="M46" s="92">
        <f>+'Daily Position'!I13-M45</f>
        <v>513095720</v>
      </c>
      <c r="N46" s="92"/>
      <c r="O46" s="92">
        <f>-P10</f>
        <v>-31724692.700000007</v>
      </c>
      <c r="P46" s="27">
        <f>+M46+O46</f>
        <v>481371027.30000001</v>
      </c>
    </row>
    <row r="47" spans="1:17" x14ac:dyDescent="0.25">
      <c r="A47"/>
      <c r="B47"/>
      <c r="C47"/>
      <c r="D47"/>
      <c r="E47"/>
      <c r="F47" s="7"/>
      <c r="I47" s="7"/>
      <c r="L47" s="7" t="s">
        <v>148</v>
      </c>
      <c r="P47" s="7">
        <f>+P44+P45+P46</f>
        <v>956074864.90694809</v>
      </c>
    </row>
    <row r="48" spans="1:17" x14ac:dyDescent="0.25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54</v>
      </c>
      <c r="P49" s="7">
        <f>P47*P48</f>
        <v>28873460.920189835</v>
      </c>
    </row>
    <row r="50" spans="1:17" x14ac:dyDescent="0.25">
      <c r="A50"/>
      <c r="B50"/>
      <c r="C50"/>
      <c r="D50"/>
      <c r="E50"/>
      <c r="F50" s="7"/>
      <c r="I50" s="7"/>
      <c r="L50" s="7" t="s">
        <v>57</v>
      </c>
      <c r="P50" s="7">
        <f>P13</f>
        <v>18117595.044577714</v>
      </c>
      <c r="Q50" s="107" t="s">
        <v>151</v>
      </c>
    </row>
    <row r="51" spans="1:17" x14ac:dyDescent="0.25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-10755865.875612121</v>
      </c>
    </row>
    <row r="53" spans="1:17" x14ac:dyDescent="0.25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7"/>
  <sheetViews>
    <sheetView showGridLines="0" topLeftCell="A33" workbookViewId="0">
      <selection activeCell="B38" sqref="B38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278" t="s">
        <v>109</v>
      </c>
      <c r="B1" s="278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1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193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278" t="s">
        <v>104</v>
      </c>
      <c r="B18" s="278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28017595.044577714</v>
      </c>
    </row>
    <row r="23" spans="1:5" x14ac:dyDescent="0.25">
      <c r="A23" t="s">
        <v>106</v>
      </c>
      <c r="B23" s="7">
        <f>-Financials!I15</f>
        <v>-39091672.43150685</v>
      </c>
    </row>
    <row r="24" spans="1:5" x14ac:dyDescent="0.25">
      <c r="A24" s="7" t="str">
        <f>+Financials!H20</f>
        <v>Unrealized Gains / (Losses)</v>
      </c>
      <c r="B24" s="7">
        <f>-Financials!I20-Financials!I19</f>
        <v>31724692.700000007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-447222.22222222225</v>
      </c>
    </row>
    <row r="29" spans="1:5" x14ac:dyDescent="0.25">
      <c r="A29" t="s">
        <v>111</v>
      </c>
      <c r="B29" s="7">
        <f>-Financials!E7+Financials!P12</f>
        <v>24860549.862370372</v>
      </c>
    </row>
    <row r="30" spans="1:5" x14ac:dyDescent="0.25">
      <c r="A30" t="s">
        <v>194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8" x14ac:dyDescent="0.25">
      <c r="A33" t="s">
        <v>120</v>
      </c>
      <c r="B33" s="7">
        <f>+B13</f>
        <v>1100000</v>
      </c>
    </row>
    <row r="35" spans="1:8" ht="16.5" thickBot="1" x14ac:dyDescent="0.3">
      <c r="A35" t="s">
        <v>27</v>
      </c>
      <c r="B35" s="12">
        <f>SUM(B20:B34)</f>
        <v>35164942.953219026</v>
      </c>
      <c r="D35" s="7">
        <f>+B20+B12+B13+B38+B16</f>
        <v>35164942.953219019</v>
      </c>
      <c r="E35" s="7"/>
    </row>
    <row r="36" spans="1:8" ht="16.5" thickTop="1" x14ac:dyDescent="0.25"/>
    <row r="37" spans="1:8" ht="16.5" thickBot="1" x14ac:dyDescent="0.3">
      <c r="A37" s="278" t="s">
        <v>154</v>
      </c>
      <c r="B37" s="278"/>
      <c r="C37" s="278"/>
      <c r="D37" s="278"/>
      <c r="E37" s="278"/>
      <c r="F37" s="278"/>
    </row>
    <row r="38" spans="1:8" x14ac:dyDescent="0.25">
      <c r="A38" s="109" t="s">
        <v>114</v>
      </c>
      <c r="B38" s="110">
        <f>+B44+B50+B56</f>
        <v>2284776.2865523561</v>
      </c>
    </row>
    <row r="39" spans="1:8" x14ac:dyDescent="0.25">
      <c r="A39" s="53"/>
      <c r="E39" s="132" t="s">
        <v>79</v>
      </c>
      <c r="F39" s="133"/>
    </row>
    <row r="40" spans="1:8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25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25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25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25">
      <c r="B45" s="54"/>
      <c r="E45" s="51"/>
      <c r="F45" s="52"/>
    </row>
    <row r="46" spans="1:8" x14ac:dyDescent="0.25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/>
    </row>
    <row r="47" spans="1:8" x14ac:dyDescent="0.25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25">
      <c r="A48" t="s">
        <v>1</v>
      </c>
      <c r="B48" s="1">
        <v>36889</v>
      </c>
      <c r="E48" s="1">
        <v>36845</v>
      </c>
      <c r="F48" s="48">
        <v>7.1300000000000002E-2</v>
      </c>
      <c r="G48" s="1">
        <v>36965</v>
      </c>
    </row>
    <row r="49" spans="1:8" x14ac:dyDescent="0.25">
      <c r="A49" t="s">
        <v>78</v>
      </c>
      <c r="B49" s="3">
        <f>+B48-B46</f>
        <v>98</v>
      </c>
      <c r="E49" s="1">
        <v>36875</v>
      </c>
      <c r="F49" s="48">
        <v>6.88E-2</v>
      </c>
      <c r="G49" s="1">
        <v>36996</v>
      </c>
    </row>
    <row r="50" spans="1:8" x14ac:dyDescent="0.25">
      <c r="A50" t="s">
        <v>26</v>
      </c>
      <c r="B50" s="54">
        <f>+B47*(F50+0.0045)/360*B49</f>
        <v>665981.92103761958</v>
      </c>
      <c r="E50" s="51" t="s">
        <v>83</v>
      </c>
      <c r="F50" s="52">
        <f>AVERAGE(F46:F49,H46:H49)</f>
        <v>7.0974999999999996E-2</v>
      </c>
    </row>
    <row r="51" spans="1:8" x14ac:dyDescent="0.25">
      <c r="B51" s="54"/>
      <c r="E51" s="51"/>
      <c r="F51" s="52"/>
    </row>
    <row r="52" spans="1:8" x14ac:dyDescent="0.25">
      <c r="A52" t="s">
        <v>1</v>
      </c>
      <c r="B52" s="1">
        <v>36889</v>
      </c>
      <c r="E52" s="1">
        <v>36875</v>
      </c>
      <c r="F52" s="48">
        <v>6.88E-2</v>
      </c>
      <c r="G52" s="1">
        <v>36996</v>
      </c>
      <c r="H52" s="48"/>
    </row>
    <row r="53" spans="1:8" x14ac:dyDescent="0.25">
      <c r="A53" t="s">
        <v>25</v>
      </c>
      <c r="B53" s="7">
        <v>34859381.111454301</v>
      </c>
      <c r="E53" s="1">
        <v>36906</v>
      </c>
      <c r="F53" s="48">
        <v>5.9400000000000001E-2</v>
      </c>
      <c r="G53" s="1">
        <v>37026</v>
      </c>
    </row>
    <row r="54" spans="1:8" x14ac:dyDescent="0.25">
      <c r="A54" t="s">
        <v>1</v>
      </c>
      <c r="B54" s="1">
        <f>IF(Summary!$C$5&lt;'Cash-Int-Trans'!B52,+'Cash-Int-Trans'!B52,Summary!$C$5)</f>
        <v>36935</v>
      </c>
      <c r="E54" s="1">
        <v>36937</v>
      </c>
      <c r="F54" s="48"/>
      <c r="G54" s="1">
        <v>37057</v>
      </c>
    </row>
    <row r="55" spans="1:8" x14ac:dyDescent="0.25">
      <c r="A55" t="s">
        <v>78</v>
      </c>
      <c r="B55" s="3">
        <f>+B54-B52</f>
        <v>46</v>
      </c>
      <c r="E55" s="1">
        <v>36965</v>
      </c>
      <c r="F55" s="48"/>
      <c r="G55" s="1">
        <v>37087</v>
      </c>
    </row>
    <row r="56" spans="1:8" x14ac:dyDescent="0.25">
      <c r="A56" t="s">
        <v>26</v>
      </c>
      <c r="B56" s="54">
        <f>+B53*(F56+0.0045)/360*B55</f>
        <v>305561.84176473663</v>
      </c>
      <c r="E56" s="51" t="s">
        <v>83</v>
      </c>
      <c r="F56" s="52">
        <f>AVERAGE(F52:F55,H52:H55)</f>
        <v>6.4100000000000004E-2</v>
      </c>
    </row>
    <row r="57" spans="1:8" x14ac:dyDescent="0.25">
      <c r="B57" s="54"/>
      <c r="E57" s="51"/>
      <c r="F57" s="52"/>
    </row>
    <row r="58" spans="1:8" x14ac:dyDescent="0.25">
      <c r="B58" s="54"/>
      <c r="E58" s="51"/>
      <c r="F58" s="52"/>
    </row>
    <row r="59" spans="1:8" ht="16.5" thickBot="1" x14ac:dyDescent="0.3">
      <c r="A59" s="278" t="s">
        <v>170</v>
      </c>
      <c r="B59" s="278"/>
      <c r="C59" s="278"/>
      <c r="D59" s="278"/>
      <c r="E59" s="278"/>
      <c r="F59" s="278"/>
    </row>
    <row r="60" spans="1:8" x14ac:dyDescent="0.25">
      <c r="A60" s="109" t="s">
        <v>167</v>
      </c>
      <c r="B60" s="110">
        <f>+B62+B69</f>
        <v>18126960.862370372</v>
      </c>
    </row>
    <row r="61" spans="1:8" x14ac:dyDescent="0.25">
      <c r="A61" s="53"/>
    </row>
    <row r="62" spans="1:8" x14ac:dyDescent="0.25">
      <c r="A62" t="s">
        <v>171</v>
      </c>
      <c r="B62" s="3">
        <f>+Amort!B61</f>
        <v>17998648.583092593</v>
      </c>
      <c r="E62" s="279"/>
      <c r="F62" s="280"/>
    </row>
    <row r="63" spans="1:8" x14ac:dyDescent="0.25">
      <c r="B63" s="3"/>
      <c r="E63" s="132"/>
      <c r="F63" s="133"/>
    </row>
    <row r="64" spans="1:8" x14ac:dyDescent="0.25">
      <c r="A64" t="s">
        <v>178</v>
      </c>
      <c r="B64" s="7"/>
      <c r="E64" s="47"/>
      <c r="F64" s="48"/>
    </row>
    <row r="65" spans="1:6" x14ac:dyDescent="0.25">
      <c r="A65" t="s">
        <v>172</v>
      </c>
      <c r="B65" s="1">
        <v>36791</v>
      </c>
      <c r="E65" s="47"/>
      <c r="F65" s="48"/>
    </row>
    <row r="66" spans="1:6" x14ac:dyDescent="0.25">
      <c r="A66" t="s">
        <v>173</v>
      </c>
      <c r="B66" s="3">
        <f>+B9</f>
        <v>6733589</v>
      </c>
      <c r="E66" s="47"/>
      <c r="F66" s="48"/>
    </row>
    <row r="67" spans="1:6" x14ac:dyDescent="0.25">
      <c r="A67" t="s">
        <v>1</v>
      </c>
      <c r="B67" s="1">
        <f>IF(+Summary!C5&gt;Amort!A43,Amort!A43,Summary!C5)</f>
        <v>36889</v>
      </c>
    </row>
    <row r="68" spans="1:6" x14ac:dyDescent="0.25">
      <c r="A68" t="s">
        <v>78</v>
      </c>
      <c r="B68" s="3">
        <f>+B67-B65</f>
        <v>98</v>
      </c>
    </row>
    <row r="69" spans="1:6" x14ac:dyDescent="0.25">
      <c r="A69" t="s">
        <v>177</v>
      </c>
      <c r="B69" s="54">
        <f>+B66*0.07/360*B68</f>
        <v>128312.27927777779</v>
      </c>
    </row>
    <row r="71" spans="1:6" ht="16.5" thickBot="1" x14ac:dyDescent="0.3">
      <c r="A71" s="278" t="s">
        <v>182</v>
      </c>
      <c r="B71" s="278"/>
      <c r="C71" s="278"/>
      <c r="D71" s="278"/>
      <c r="E71" s="278"/>
      <c r="F71" s="278"/>
    </row>
    <row r="73" spans="1:6" x14ac:dyDescent="0.25">
      <c r="A73" t="s">
        <v>124</v>
      </c>
      <c r="B73" s="1">
        <f>+Summary!C5</f>
        <v>36935</v>
      </c>
    </row>
    <row r="74" spans="1:6" x14ac:dyDescent="0.25">
      <c r="A74" t="s">
        <v>183</v>
      </c>
      <c r="B74" s="1">
        <v>36706</v>
      </c>
      <c r="D74" s="4">
        <f>IF(B73&gt;(B74-1),30000000,0)</f>
        <v>30000000</v>
      </c>
    </row>
    <row r="75" spans="1:6" x14ac:dyDescent="0.25">
      <c r="A75" t="s">
        <v>184</v>
      </c>
      <c r="B75" s="1">
        <v>36791</v>
      </c>
      <c r="D75" s="4">
        <f>IF(B73&gt;(B75-1),1100000,0)</f>
        <v>1100000</v>
      </c>
    </row>
    <row r="76" spans="1:6" ht="18" x14ac:dyDescent="0.4">
      <c r="A76" t="s">
        <v>185</v>
      </c>
      <c r="B76" s="1">
        <f>+Summary!C5</f>
        <v>36935</v>
      </c>
      <c r="D76" s="134">
        <f>IF(B76&gt;B75,+(+B76-B75)/365*0.12*D75,0)</f>
        <v>52076.71232876712</v>
      </c>
    </row>
    <row r="77" spans="1:6" x14ac:dyDescent="0.25">
      <c r="A77" t="s">
        <v>186</v>
      </c>
      <c r="D77" s="5">
        <f>SUM(D74:D76)</f>
        <v>31152076.712328766</v>
      </c>
    </row>
  </sheetData>
  <mergeCells count="6">
    <mergeCell ref="A71:F71"/>
    <mergeCell ref="A1:B1"/>
    <mergeCell ref="A37:F37"/>
    <mergeCell ref="A59:F59"/>
    <mergeCell ref="E62:F62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164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281">
        <f>+Summary!C5</f>
        <v>36935</v>
      </c>
      <c r="B23" s="281"/>
      <c r="E23" s="103" t="s">
        <v>91</v>
      </c>
      <c r="F23" s="103">
        <f>VLOOKUP(+A23,Amort,2)</f>
        <v>1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25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25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25">
      <c r="A27" s="116" t="s">
        <v>94</v>
      </c>
      <c r="B27" s="103">
        <f>A23-F24</f>
        <v>46</v>
      </c>
      <c r="E27" s="116"/>
    </row>
    <row r="28" spans="1:9" s="103" customFormat="1" x14ac:dyDescent="0.25">
      <c r="A28" s="116" t="s">
        <v>28</v>
      </c>
      <c r="B28" s="103">
        <f>F25*B27/(F26-F24)</f>
        <v>447222.22222222225</v>
      </c>
    </row>
    <row r="29" spans="1:9" s="103" customFormat="1" x14ac:dyDescent="0.25">
      <c r="A29" s="116" t="s">
        <v>29</v>
      </c>
      <c r="B29" s="103">
        <f>+B25+B28</f>
        <v>2226388.888888889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281">
        <f>+Summary!C5</f>
        <v>36935</v>
      </c>
      <c r="B55" s="281"/>
      <c r="E55" s="103" t="s">
        <v>91</v>
      </c>
      <c r="F55" s="103">
        <f>VLOOKUP(+A55,Note,2)</f>
        <v>1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25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25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25">
      <c r="A59" s="116" t="s">
        <v>94</v>
      </c>
      <c r="B59" s="103">
        <f>A55-F56</f>
        <v>46</v>
      </c>
      <c r="C59" s="103"/>
      <c r="D59" s="103"/>
      <c r="E59" s="116"/>
      <c r="F59" s="103"/>
      <c r="G59" s="103"/>
    </row>
    <row r="60" spans="1:9" x14ac:dyDescent="0.25">
      <c r="A60" s="116" t="s">
        <v>166</v>
      </c>
      <c r="B60" s="103">
        <f>F57*B59/(F58-F56)</f>
        <v>3765315.2497592601</v>
      </c>
      <c r="C60" s="103"/>
      <c r="D60" s="103"/>
      <c r="E60" s="103"/>
      <c r="F60" s="103"/>
      <c r="G60" s="103"/>
    </row>
    <row r="61" spans="1:9" x14ac:dyDescent="0.25">
      <c r="A61" s="116" t="s">
        <v>167</v>
      </c>
      <c r="B61" s="103">
        <f>+B57+B60</f>
        <v>17998648.583092593</v>
      </c>
      <c r="C61" s="103"/>
      <c r="D61" s="103"/>
      <c r="E61" s="103"/>
      <c r="F61" s="103"/>
      <c r="G61" s="103"/>
    </row>
    <row r="63" spans="1:9" x14ac:dyDescent="0.25">
      <c r="A63" s="7" t="s">
        <v>179</v>
      </c>
    </row>
    <row r="64" spans="1:9" x14ac:dyDescent="0.25">
      <c r="A64" s="1">
        <f>+'Cash-Int-Trans'!B65</f>
        <v>36791</v>
      </c>
      <c r="B64" s="7" t="s">
        <v>176</v>
      </c>
      <c r="E64" s="7">
        <f>+'Cash-Int-Trans'!B66</f>
        <v>6733589</v>
      </c>
    </row>
    <row r="65" spans="1:5" x14ac:dyDescent="0.25">
      <c r="A65" s="1">
        <f>+A64</f>
        <v>36791</v>
      </c>
      <c r="B65" s="7" t="s">
        <v>180</v>
      </c>
      <c r="C65" s="1"/>
      <c r="D65" s="1">
        <f>+'Cash-Int-Trans'!B67</f>
        <v>36889</v>
      </c>
      <c r="E65" s="152">
        <f>+'Cash-Int-Trans'!B69</f>
        <v>128312.27927777779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topLeftCell="B68" workbookViewId="0">
      <selection activeCell="F83" sqref="F8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3.12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3.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1.2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82" t="s">
        <v>231</v>
      </c>
      <c r="S1" s="282"/>
      <c r="T1" s="282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83" t="s">
        <v>233</v>
      </c>
      <c r="AE1" s="284"/>
      <c r="AF1" s="284"/>
      <c r="AG1" s="284"/>
      <c r="AH1" s="284"/>
      <c r="AI1" s="284"/>
      <c r="AJ1" s="284"/>
      <c r="AK1" s="284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85" t="s">
        <v>235</v>
      </c>
      <c r="AU1" s="285"/>
      <c r="AV1" s="285"/>
      <c r="AW1" s="285"/>
      <c r="AX1" s="285"/>
      <c r="AY1" s="285"/>
      <c r="AZ1" s="285"/>
      <c r="BA1" s="285"/>
      <c r="BB1" s="163" t="s">
        <v>226</v>
      </c>
      <c r="BC1" s="163" t="s">
        <v>227</v>
      </c>
      <c r="BD1" s="285" t="s">
        <v>236</v>
      </c>
      <c r="BE1" s="285"/>
      <c r="BF1" s="285"/>
      <c r="BG1" s="285"/>
      <c r="BH1" s="285"/>
      <c r="BI1" s="285"/>
      <c r="BJ1" s="285"/>
      <c r="BK1" s="285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86" t="s">
        <v>243</v>
      </c>
      <c r="CH1" s="286"/>
      <c r="CI1" s="286"/>
      <c r="CJ1" s="286"/>
      <c r="CK1" s="159" t="s">
        <v>244</v>
      </c>
      <c r="CL1" s="159" t="s">
        <v>245</v>
      </c>
    </row>
    <row r="2" spans="1:90" x14ac:dyDescent="0.25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84" t="s">
        <v>254</v>
      </c>
      <c r="AE2" s="284"/>
      <c r="AF2" s="284"/>
      <c r="AG2" s="284"/>
      <c r="AH2" s="287" t="s">
        <v>255</v>
      </c>
      <c r="AI2" s="285"/>
      <c r="AJ2" s="285"/>
      <c r="AK2" s="288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84" t="s">
        <v>262</v>
      </c>
      <c r="AU2" s="284"/>
      <c r="AV2" s="284"/>
      <c r="AW2" s="284"/>
      <c r="AX2" s="284" t="s">
        <v>257</v>
      </c>
      <c r="AY2" s="284"/>
      <c r="AZ2" s="284"/>
      <c r="BA2" s="284"/>
      <c r="BB2" s="169" t="s">
        <v>260</v>
      </c>
      <c r="BC2" s="169" t="s">
        <v>260</v>
      </c>
      <c r="BD2" s="284" t="s">
        <v>262</v>
      </c>
      <c r="BE2" s="284"/>
      <c r="BF2" s="284"/>
      <c r="BG2" s="284"/>
      <c r="BH2" s="284" t="s">
        <v>257</v>
      </c>
      <c r="BI2" s="284"/>
      <c r="BJ2" s="284"/>
      <c r="BK2" s="284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84" t="s">
        <v>270</v>
      </c>
      <c r="CH2" s="284"/>
      <c r="CI2" s="284"/>
      <c r="CJ2" s="284"/>
      <c r="CK2" s="168" t="s">
        <v>271</v>
      </c>
      <c r="CL2" s="168" t="s">
        <v>244</v>
      </c>
    </row>
    <row r="3" spans="1:90" x14ac:dyDescent="0.25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36935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25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5538616.8799999999</v>
      </c>
      <c r="P4" s="192">
        <v>5538616.8799999999</v>
      </c>
      <c r="Q4" s="193">
        <v>0</v>
      </c>
      <c r="R4" s="193" t="s">
        <v>311</v>
      </c>
      <c r="S4" s="254">
        <v>1</v>
      </c>
      <c r="T4" s="193">
        <v>0</v>
      </c>
      <c r="U4" s="194">
        <v>5538616.8799999999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5538616.8799999999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5538616.8799999999</v>
      </c>
      <c r="AS4" s="190">
        <v>5538616.8799999999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76</v>
      </c>
      <c r="BT4" s="191">
        <v>0</v>
      </c>
      <c r="BU4" s="201">
        <v>0</v>
      </c>
      <c r="BV4" s="191">
        <v>92</v>
      </c>
      <c r="BW4" s="202">
        <v>0</v>
      </c>
      <c r="BX4" s="202">
        <v>0</v>
      </c>
      <c r="BY4" s="190">
        <v>0</v>
      </c>
      <c r="BZ4" s="190">
        <v>0</v>
      </c>
      <c r="CA4" s="190">
        <v>131614</v>
      </c>
      <c r="CB4" s="190">
        <v>131614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25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56">
        <v>1</v>
      </c>
      <c r="T5" s="211">
        <v>0</v>
      </c>
      <c r="U5" s="212">
        <v>5538616.8799999999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5538616.8799999999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131614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25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57">
        <v>1</v>
      </c>
      <c r="T6" s="226">
        <v>0</v>
      </c>
      <c r="U6" s="227">
        <v>5538616.8799999999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5538616.8799999999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131614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25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20.75</v>
      </c>
      <c r="P7" s="192">
        <v>23.875</v>
      </c>
      <c r="Q7" s="192">
        <v>-3.125</v>
      </c>
      <c r="R7" s="193">
        <v>0</v>
      </c>
      <c r="S7" s="254">
        <v>1</v>
      </c>
      <c r="T7" s="193">
        <v>0</v>
      </c>
      <c r="U7" s="194">
        <v>22667839.5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26081670.75</v>
      </c>
      <c r="AD7" s="190">
        <v>-3413831.25</v>
      </c>
      <c r="AE7" s="190">
        <v>0</v>
      </c>
      <c r="AF7" s="190">
        <v>3413831.25</v>
      </c>
      <c r="AG7" s="190">
        <v>0</v>
      </c>
      <c r="AH7" s="195">
        <v>-4227336.7666666657</v>
      </c>
      <c r="AI7" s="190">
        <v>0</v>
      </c>
      <c r="AJ7" s="190">
        <v>4227336.7666666657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22667839.5</v>
      </c>
      <c r="AS7" s="190">
        <v>20.75</v>
      </c>
      <c r="AT7" s="190">
        <v>-16113283.5</v>
      </c>
      <c r="AU7" s="190">
        <v>0</v>
      </c>
      <c r="AV7" s="190">
        <v>16113283.5</v>
      </c>
      <c r="AW7" s="190">
        <v>0</v>
      </c>
      <c r="AX7" s="190">
        <v>-4227336.7666666657</v>
      </c>
      <c r="AY7" s="190">
        <v>0</v>
      </c>
      <c r="AZ7" s="190">
        <v>4227336.7666666657</v>
      </c>
      <c r="BA7" s="190">
        <v>0</v>
      </c>
      <c r="BB7" s="190">
        <v>20.75</v>
      </c>
      <c r="BC7" s="190">
        <v>23.875</v>
      </c>
      <c r="BD7" s="190">
        <v>-12699452.25</v>
      </c>
      <c r="BE7" s="190">
        <v>0</v>
      </c>
      <c r="BF7" s="190">
        <v>12699452.25</v>
      </c>
      <c r="BG7" s="190">
        <v>0</v>
      </c>
      <c r="BH7" s="190">
        <v>-813505.51666666567</v>
      </c>
      <c r="BI7" s="190">
        <v>0</v>
      </c>
      <c r="BJ7" s="190">
        <v>813505.51666666567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813505.51666666567</v>
      </c>
      <c r="BQ7" s="192">
        <v>3</v>
      </c>
      <c r="BR7" s="191">
        <v>3277278</v>
      </c>
      <c r="BS7" s="200">
        <v>58</v>
      </c>
      <c r="BT7" s="191">
        <v>-3413831.25</v>
      </c>
      <c r="BU7" s="201">
        <v>0</v>
      </c>
      <c r="BV7" s="191">
        <v>45</v>
      </c>
      <c r="BW7" s="202">
        <v>20.75</v>
      </c>
      <c r="BX7" s="202">
        <v>0</v>
      </c>
      <c r="BY7" s="190">
        <v>0</v>
      </c>
      <c r="BZ7" s="190">
        <v>0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-813505.51666666567</v>
      </c>
      <c r="CH7" s="190">
        <v>0</v>
      </c>
      <c r="CI7" s="190">
        <v>813505.51666666567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25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56">
        <v>1</v>
      </c>
      <c r="T8" s="211">
        <v>0</v>
      </c>
      <c r="U8" s="212">
        <v>22667839.5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26081670.75</v>
      </c>
      <c r="AD8" s="208">
        <v>-3413831.25</v>
      </c>
      <c r="AE8" s="208">
        <v>0</v>
      </c>
      <c r="AF8" s="208">
        <v>3413831.25</v>
      </c>
      <c r="AG8" s="208">
        <v>0</v>
      </c>
      <c r="AH8" s="213">
        <v>-4227336.7666666657</v>
      </c>
      <c r="AI8" s="208">
        <v>0</v>
      </c>
      <c r="AJ8" s="208">
        <v>4227336.7666666657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-16113283.5</v>
      </c>
      <c r="AU8" s="208">
        <v>0</v>
      </c>
      <c r="AV8" s="208">
        <v>16113283.5</v>
      </c>
      <c r="AW8" s="208">
        <v>0</v>
      </c>
      <c r="AX8" s="208">
        <v>-4227336.7666666657</v>
      </c>
      <c r="AY8" s="208">
        <v>0</v>
      </c>
      <c r="AZ8" s="208">
        <v>4227336.7666666657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25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57">
        <v>1</v>
      </c>
      <c r="T9" s="226">
        <v>0</v>
      </c>
      <c r="U9" s="227">
        <v>22667839.5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26081670.75</v>
      </c>
      <c r="AD9" s="223">
        <v>-3413831.25</v>
      </c>
      <c r="AE9" s="223">
        <v>0</v>
      </c>
      <c r="AF9" s="223">
        <v>3413831.25</v>
      </c>
      <c r="AG9" s="223">
        <v>0</v>
      </c>
      <c r="AH9" s="228">
        <v>-4227336.7666666657</v>
      </c>
      <c r="AI9" s="223">
        <v>0</v>
      </c>
      <c r="AJ9" s="223">
        <v>4227336.7666666657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-16113283.5</v>
      </c>
      <c r="AU9" s="223">
        <v>0</v>
      </c>
      <c r="AV9" s="223">
        <v>16113283.5</v>
      </c>
      <c r="AW9" s="223">
        <v>0</v>
      </c>
      <c r="AX9" s="223">
        <v>-4227336.7666666657</v>
      </c>
      <c r="AY9" s="223">
        <v>0</v>
      </c>
      <c r="AZ9" s="223">
        <v>4227336.7666666657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25">
      <c r="A10" s="129" t="s">
        <v>327</v>
      </c>
      <c r="B10" s="129" t="s">
        <v>328</v>
      </c>
      <c r="C10" s="129" t="s">
        <v>329</v>
      </c>
      <c r="D10" s="129" t="s">
        <v>330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254">
        <v>1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78</v>
      </c>
      <c r="BT10" s="191">
        <v>0</v>
      </c>
      <c r="BU10" s="201">
        <v>0</v>
      </c>
      <c r="BV10" s="191">
        <v>112</v>
      </c>
      <c r="BW10" s="202">
        <v>0</v>
      </c>
      <c r="BX10" s="202">
        <v>0</v>
      </c>
      <c r="BY10" s="190">
        <v>0</v>
      </c>
      <c r="BZ10" s="190">
        <v>0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25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258">
        <v>1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78</v>
      </c>
      <c r="BT11" s="191">
        <v>0</v>
      </c>
      <c r="BU11" s="201">
        <v>0</v>
      </c>
      <c r="BV11" s="191">
        <v>133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25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258">
        <v>1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78</v>
      </c>
      <c r="BT12" s="191">
        <v>0</v>
      </c>
      <c r="BU12" s="201">
        <v>0</v>
      </c>
      <c r="BV12" s="191">
        <v>134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25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258">
        <v>1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78</v>
      </c>
      <c r="BT13" s="191">
        <v>0</v>
      </c>
      <c r="BU13" s="201">
        <v>0</v>
      </c>
      <c r="BV13" s="191">
        <v>146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25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258">
        <v>1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78</v>
      </c>
      <c r="BT14" s="191">
        <v>0</v>
      </c>
      <c r="BU14" s="201">
        <v>0</v>
      </c>
      <c r="BV14" s="191">
        <v>147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25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-2.6193447411060333E-10</v>
      </c>
      <c r="P15" s="191">
        <v>-2.6193447411060333E-10</v>
      </c>
      <c r="Q15" s="191">
        <v>0</v>
      </c>
      <c r="R15" s="193" t="s">
        <v>345</v>
      </c>
      <c r="S15" s="258">
        <v>0.5</v>
      </c>
      <c r="T15" s="193">
        <v>0</v>
      </c>
      <c r="U15" s="194">
        <v>-2.6193447411060333E-10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-2.6193447411060333E-10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-2.6193447411060333E-10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78</v>
      </c>
      <c r="BT15" s="191">
        <v>0</v>
      </c>
      <c r="BU15" s="201">
        <v>0</v>
      </c>
      <c r="BV15" s="191">
        <v>149</v>
      </c>
      <c r="BW15" s="202">
        <v>0</v>
      </c>
      <c r="BX15" s="202">
        <v>0</v>
      </c>
      <c r="BY15" s="190">
        <v>0</v>
      </c>
      <c r="BZ15" s="190">
        <v>-230788.389999999</v>
      </c>
      <c r="CA15" s="190">
        <v>-230788.389999999</v>
      </c>
      <c r="CB15" s="190">
        <v>-230788.389999999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25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258">
        <v>1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78</v>
      </c>
      <c r="BT16" s="191">
        <v>0</v>
      </c>
      <c r="BU16" s="201">
        <v>0</v>
      </c>
      <c r="BV16" s="191">
        <v>150</v>
      </c>
      <c r="BW16" s="202">
        <v>0</v>
      </c>
      <c r="BX16" s="202">
        <v>0</v>
      </c>
      <c r="BY16" s="190">
        <v>0</v>
      </c>
      <c r="BZ16" s="190">
        <v>0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25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59">
        <v>6.5</v>
      </c>
      <c r="T17" s="211">
        <v>0</v>
      </c>
      <c r="U17" s="212">
        <v>39350269.990000002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39350269.990000002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-400086.87999999896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25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60">
        <v>6.5</v>
      </c>
      <c r="T18" s="226">
        <v>0</v>
      </c>
      <c r="U18" s="227">
        <v>39350269.990000002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39350269.990000002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-400086.87999999896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25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3.0896264747236255E-2</v>
      </c>
      <c r="M19" s="191">
        <v>0</v>
      </c>
      <c r="N19" s="191">
        <v>0.44178457150678696</v>
      </c>
      <c r="O19" s="190">
        <v>2.9378089784254771</v>
      </c>
      <c r="P19" s="191">
        <v>2.6458290838380072</v>
      </c>
      <c r="Q19" s="191">
        <v>0.29197989458746987</v>
      </c>
      <c r="R19" s="193">
        <v>0</v>
      </c>
      <c r="S19" s="254">
        <v>0</v>
      </c>
      <c r="T19" s="193">
        <v>0</v>
      </c>
      <c r="U19" s="194">
        <v>137947.75839094669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124237.55046069747</v>
      </c>
      <c r="AD19" s="190">
        <v>13710.20793024922</v>
      </c>
      <c r="AE19" s="190">
        <v>0</v>
      </c>
      <c r="AF19" s="190">
        <v>-13710.20793024922</v>
      </c>
      <c r="AG19" s="190">
        <v>0</v>
      </c>
      <c r="AH19" s="195">
        <v>10465.310818194092</v>
      </c>
      <c r="AI19" s="190">
        <v>0</v>
      </c>
      <c r="AJ19" s="190">
        <v>-10465.310818194092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26929.825451184624</v>
      </c>
      <c r="AP19" s="190">
        <v>84870.386027040266</v>
      </c>
      <c r="AQ19" s="198">
        <v>1</v>
      </c>
      <c r="AR19" s="190">
        <v>385068.5995551743</v>
      </c>
      <c r="AS19" s="190">
        <v>18.5625</v>
      </c>
      <c r="AT19" s="190">
        <v>34016.115598672026</v>
      </c>
      <c r="AU19" s="190">
        <v>0</v>
      </c>
      <c r="AV19" s="190">
        <v>-34016.115598672026</v>
      </c>
      <c r="AW19" s="190">
        <v>0</v>
      </c>
      <c r="AX19" s="190">
        <v>10465.310818194092</v>
      </c>
      <c r="AY19" s="190">
        <v>0</v>
      </c>
      <c r="AZ19" s="190">
        <v>-10465.310818194092</v>
      </c>
      <c r="BA19" s="190">
        <v>0</v>
      </c>
      <c r="BB19" s="190">
        <v>18.5625</v>
      </c>
      <c r="BC19" s="190">
        <v>18.3125</v>
      </c>
      <c r="BD19" s="190">
        <v>20305.907668422806</v>
      </c>
      <c r="BE19" s="190">
        <v>0</v>
      </c>
      <c r="BF19" s="190">
        <v>-20305.907668422806</v>
      </c>
      <c r="BG19" s="190">
        <v>0</v>
      </c>
      <c r="BH19" s="190">
        <v>-3244.8971120551287</v>
      </c>
      <c r="BI19" s="190">
        <v>0</v>
      </c>
      <c r="BJ19" s="190">
        <v>3244.8971120551287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3244.8971120551287</v>
      </c>
      <c r="BQ19" s="191">
        <v>0</v>
      </c>
      <c r="BR19" s="191">
        <v>0</v>
      </c>
      <c r="BS19" s="200">
        <v>42</v>
      </c>
      <c r="BT19" s="191">
        <v>0</v>
      </c>
      <c r="BU19" s="201">
        <v>20744.436339672688</v>
      </c>
      <c r="BV19" s="191">
        <v>193</v>
      </c>
      <c r="BW19" s="202">
        <v>18.5625</v>
      </c>
      <c r="BX19" s="202">
        <v>18.5625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-3244.8971120551287</v>
      </c>
      <c r="CH19" s="190">
        <v>0</v>
      </c>
      <c r="CI19" s="190">
        <v>3244.8971120551287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25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56">
        <v>0</v>
      </c>
      <c r="T20" s="211">
        <v>0</v>
      </c>
      <c r="U20" s="212">
        <v>137947.75839094669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124237.55046069747</v>
      </c>
      <c r="AD20" s="208">
        <v>13710.20793024922</v>
      </c>
      <c r="AE20" s="208">
        <v>0</v>
      </c>
      <c r="AF20" s="208">
        <v>-13710.20793024922</v>
      </c>
      <c r="AG20" s="208">
        <v>0</v>
      </c>
      <c r="AH20" s="213">
        <v>10465.310818194092</v>
      </c>
      <c r="AI20" s="208">
        <v>0</v>
      </c>
      <c r="AJ20" s="208">
        <v>-10465.310818194092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34016.115598672026</v>
      </c>
      <c r="AU20" s="208">
        <v>0</v>
      </c>
      <c r="AV20" s="208">
        <v>-34016.115598672026</v>
      </c>
      <c r="AW20" s="208">
        <v>0</v>
      </c>
      <c r="AX20" s="208">
        <v>10465.310818194092</v>
      </c>
      <c r="AY20" s="208">
        <v>0</v>
      </c>
      <c r="AZ20" s="208">
        <v>-10465.310818194092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25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57">
        <v>0</v>
      </c>
      <c r="T21" s="226">
        <v>0</v>
      </c>
      <c r="U21" s="227">
        <v>137947.75839094669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124237.55046069747</v>
      </c>
      <c r="AD21" s="223">
        <v>13710.20793024922</v>
      </c>
      <c r="AE21" s="223">
        <v>0</v>
      </c>
      <c r="AF21" s="223">
        <v>-13710.20793024922</v>
      </c>
      <c r="AG21" s="223">
        <v>0</v>
      </c>
      <c r="AH21" s="228">
        <v>10465.310818194092</v>
      </c>
      <c r="AI21" s="223">
        <v>0</v>
      </c>
      <c r="AJ21" s="223">
        <v>-10465.310818194092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34016.115598672026</v>
      </c>
      <c r="AU21" s="223">
        <v>0</v>
      </c>
      <c r="AV21" s="223">
        <v>-34016.115598672026</v>
      </c>
      <c r="AW21" s="223">
        <v>0</v>
      </c>
      <c r="AX21" s="223">
        <v>10465.310818194092</v>
      </c>
      <c r="AY21" s="223">
        <v>0</v>
      </c>
      <c r="AZ21" s="223">
        <v>-10465.310818194092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25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258">
        <v>1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78</v>
      </c>
      <c r="BT22" s="191">
        <v>0</v>
      </c>
      <c r="BU22" s="201">
        <v>0</v>
      </c>
      <c r="BV22" s="191">
        <v>142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25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258">
        <v>1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78</v>
      </c>
      <c r="BT23" s="191">
        <v>0</v>
      </c>
      <c r="BU23" s="201">
        <v>0</v>
      </c>
      <c r="BV23" s="191">
        <v>143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25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59">
        <v>2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25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60">
        <v>2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25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30637565.036477998</v>
      </c>
      <c r="Q26" s="191">
        <v>0</v>
      </c>
      <c r="R26" s="193" t="s">
        <v>375</v>
      </c>
      <c r="S26" s="258">
        <v>1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30637565.036477998</v>
      </c>
      <c r="AD26" s="190">
        <v>0</v>
      </c>
      <c r="AE26" s="190">
        <v>0</v>
      </c>
      <c r="AF26" s="190">
        <v>0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0</v>
      </c>
      <c r="AU26" s="190">
        <v>0</v>
      </c>
      <c r="AV26" s="190">
        <v>0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-63109023.640000001</v>
      </c>
      <c r="BI26" s="190">
        <v>0</v>
      </c>
      <c r="BJ26" s="190">
        <v>63109023.640000001</v>
      </c>
      <c r="BK26" s="190">
        <v>0</v>
      </c>
      <c r="BL26" s="190">
        <v>30637565.036477998</v>
      </c>
      <c r="BM26" s="190" t="s">
        <v>313</v>
      </c>
      <c r="BN26" s="190">
        <v>0</v>
      </c>
      <c r="BO26" s="190" t="b">
        <v>0</v>
      </c>
      <c r="BP26" s="190">
        <v>63109023.640000001</v>
      </c>
      <c r="BQ26" s="192">
        <v>0</v>
      </c>
      <c r="BR26" s="191">
        <v>0</v>
      </c>
      <c r="BS26" s="200">
        <v>79</v>
      </c>
      <c r="BT26" s="191">
        <v>0</v>
      </c>
      <c r="BU26" s="201">
        <v>0</v>
      </c>
      <c r="BV26" s="191">
        <v>163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-63109023.640000001</v>
      </c>
      <c r="CH26" s="190">
        <v>0</v>
      </c>
      <c r="CI26" s="190">
        <v>63109023.640000001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25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59">
        <v>1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30637565.036477998</v>
      </c>
      <c r="AD27" s="208">
        <v>0</v>
      </c>
      <c r="AE27" s="208">
        <v>0</v>
      </c>
      <c r="AF27" s="208">
        <v>0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0</v>
      </c>
      <c r="AU27" s="208">
        <v>0</v>
      </c>
      <c r="AV27" s="208">
        <v>0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25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60">
        <v>1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30637565.036477998</v>
      </c>
      <c r="AD28" s="223">
        <v>0</v>
      </c>
      <c r="AE28" s="223">
        <v>0</v>
      </c>
      <c r="AF28" s="223">
        <v>0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0</v>
      </c>
      <c r="AU28" s="223">
        <v>0</v>
      </c>
      <c r="AV28" s="223">
        <v>0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25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21.0625</v>
      </c>
      <c r="P29" s="192">
        <v>19.4375</v>
      </c>
      <c r="Q29" s="192">
        <v>1.625</v>
      </c>
      <c r="R29" s="193" t="s">
        <v>385</v>
      </c>
      <c r="S29" s="254">
        <v>1</v>
      </c>
      <c r="T29" s="193">
        <v>0</v>
      </c>
      <c r="U29" s="194">
        <v>21507066.1875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19847767.3125</v>
      </c>
      <c r="AD29" s="190">
        <v>1659298.875</v>
      </c>
      <c r="AE29" s="190">
        <v>0</v>
      </c>
      <c r="AF29" s="190">
        <v>-1659298.875</v>
      </c>
      <c r="AG29" s="190">
        <v>0</v>
      </c>
      <c r="AH29" s="195">
        <v>-43818.764999999898</v>
      </c>
      <c r="AI29" s="190">
        <v>0</v>
      </c>
      <c r="AJ29" s="190">
        <v>43818.764999999898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21507066.1875</v>
      </c>
      <c r="AS29" s="190">
        <v>21.0625</v>
      </c>
      <c r="AT29" s="190">
        <v>-2744225.0625</v>
      </c>
      <c r="AU29" s="190">
        <v>0</v>
      </c>
      <c r="AV29" s="190">
        <v>2744225.0625</v>
      </c>
      <c r="AW29" s="190">
        <v>0</v>
      </c>
      <c r="AX29" s="190">
        <v>-43818.764999999898</v>
      </c>
      <c r="AY29" s="190">
        <v>0</v>
      </c>
      <c r="AZ29" s="190">
        <v>43818.764999999898</v>
      </c>
      <c r="BA29" s="190">
        <v>0</v>
      </c>
      <c r="BB29" s="190">
        <v>21.0625</v>
      </c>
      <c r="BC29" s="190">
        <v>19.4375</v>
      </c>
      <c r="BD29" s="190">
        <v>-4403523.9375</v>
      </c>
      <c r="BE29" s="190">
        <v>0</v>
      </c>
      <c r="BF29" s="190">
        <v>4403523.9375</v>
      </c>
      <c r="BG29" s="190">
        <v>0</v>
      </c>
      <c r="BH29" s="190">
        <v>-1703117.64</v>
      </c>
      <c r="BI29" s="190">
        <v>0</v>
      </c>
      <c r="BJ29" s="190">
        <v>1703117.64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1703117.64</v>
      </c>
      <c r="BQ29" s="192">
        <v>0</v>
      </c>
      <c r="BR29" s="191">
        <v>0</v>
      </c>
      <c r="BS29" s="200">
        <v>71</v>
      </c>
      <c r="BT29" s="191">
        <v>1659298.875</v>
      </c>
      <c r="BU29" s="201">
        <v>0</v>
      </c>
      <c r="BV29" s="191">
        <v>24</v>
      </c>
      <c r="BW29" s="202">
        <v>21.0625</v>
      </c>
      <c r="BX29" s="202">
        <v>0</v>
      </c>
      <c r="BY29" s="190">
        <v>0</v>
      </c>
      <c r="BZ29" s="190">
        <v>0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-1703117.64</v>
      </c>
      <c r="CH29" s="190">
        <v>0</v>
      </c>
      <c r="CI29" s="190">
        <v>1703117.64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25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56">
        <v>1</v>
      </c>
      <c r="T30" s="211">
        <v>0</v>
      </c>
      <c r="U30" s="212">
        <v>21507066.1875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19847767.3125</v>
      </c>
      <c r="AD30" s="208">
        <v>1659298.875</v>
      </c>
      <c r="AE30" s="208">
        <v>0</v>
      </c>
      <c r="AF30" s="208">
        <v>-1659298.875</v>
      </c>
      <c r="AG30" s="208">
        <v>0</v>
      </c>
      <c r="AH30" s="213">
        <v>-43818.764999999898</v>
      </c>
      <c r="AI30" s="208">
        <v>0</v>
      </c>
      <c r="AJ30" s="208">
        <v>43818.764999999898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-2744225.0625</v>
      </c>
      <c r="AU30" s="208">
        <v>0</v>
      </c>
      <c r="AV30" s="208">
        <v>2744225.0625</v>
      </c>
      <c r="AW30" s="208">
        <v>0</v>
      </c>
      <c r="AX30" s="208">
        <v>-43818.764999999898</v>
      </c>
      <c r="AY30" s="208">
        <v>0</v>
      </c>
      <c r="AZ30" s="208">
        <v>43818.764999999898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25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57">
        <v>1</v>
      </c>
      <c r="T31" s="226">
        <v>0</v>
      </c>
      <c r="U31" s="227">
        <v>21507066.1875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19847767.3125</v>
      </c>
      <c r="AD31" s="223">
        <v>1659298.875</v>
      </c>
      <c r="AE31" s="223">
        <v>0</v>
      </c>
      <c r="AF31" s="223">
        <v>-1659298.875</v>
      </c>
      <c r="AG31" s="223">
        <v>0</v>
      </c>
      <c r="AH31" s="228">
        <v>-43818.764999999898</v>
      </c>
      <c r="AI31" s="223">
        <v>0</v>
      </c>
      <c r="AJ31" s="223">
        <v>43818.764999999898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-2744225.0625</v>
      </c>
      <c r="AU31" s="223">
        <v>0</v>
      </c>
      <c r="AV31" s="223">
        <v>2744225.0625</v>
      </c>
      <c r="AW31" s="223">
        <v>0</v>
      </c>
      <c r="AX31" s="223">
        <v>-43818.764999999898</v>
      </c>
      <c r="AY31" s="223">
        <v>0</v>
      </c>
      <c r="AZ31" s="223">
        <v>43818.764999999898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25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2848429.66708</v>
      </c>
      <c r="P32" s="191">
        <v>2848429.66708</v>
      </c>
      <c r="Q32" s="191">
        <v>0</v>
      </c>
      <c r="R32" s="193">
        <v>0</v>
      </c>
      <c r="S32" s="254">
        <v>0</v>
      </c>
      <c r="T32" s="193">
        <v>0</v>
      </c>
      <c r="U32" s="194">
        <v>2848429.66708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2848429.66708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2848429.66708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179</v>
      </c>
      <c r="BW32" s="202">
        <v>0</v>
      </c>
      <c r="BX32" s="202">
        <v>0</v>
      </c>
      <c r="BY32" s="190">
        <v>0</v>
      </c>
      <c r="BZ32" s="190">
        <v>0</v>
      </c>
      <c r="CA32" s="190">
        <v>41192.77708</v>
      </c>
      <c r="CB32" s="190">
        <v>41192.77708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25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56">
        <v>0</v>
      </c>
      <c r="T33" s="211">
        <v>0</v>
      </c>
      <c r="U33" s="212">
        <v>2848429.66708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2848429.66708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41192.77708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25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8.1875</v>
      </c>
      <c r="P34" s="192">
        <v>8.375</v>
      </c>
      <c r="Q34" s="192">
        <v>-0.1875</v>
      </c>
      <c r="R34" s="193">
        <v>0</v>
      </c>
      <c r="S34" s="254">
        <v>0</v>
      </c>
      <c r="T34" s="193">
        <v>0</v>
      </c>
      <c r="U34" s="194">
        <v>49952.176575000034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51096.119550000039</v>
      </c>
      <c r="AD34" s="190">
        <v>-1143.9429750000054</v>
      </c>
      <c r="AE34" s="190">
        <v>0</v>
      </c>
      <c r="AF34" s="190">
        <v>1143.9429750000054</v>
      </c>
      <c r="AG34" s="190">
        <v>0</v>
      </c>
      <c r="AH34" s="195">
        <v>1906.5716249999969</v>
      </c>
      <c r="AI34" s="190">
        <v>0</v>
      </c>
      <c r="AJ34" s="190">
        <v>-1906.5716249999969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49952.176575000034</v>
      </c>
      <c r="AS34" s="190">
        <v>8.1875</v>
      </c>
      <c r="AT34" s="190">
        <v>2287.8859499999962</v>
      </c>
      <c r="AU34" s="190">
        <v>0</v>
      </c>
      <c r="AV34" s="190">
        <v>-2287.8859499999962</v>
      </c>
      <c r="AW34" s="190">
        <v>0</v>
      </c>
      <c r="AX34" s="190">
        <v>1906.5716249999969</v>
      </c>
      <c r="AY34" s="190">
        <v>0</v>
      </c>
      <c r="AZ34" s="190">
        <v>-1906.5716249999969</v>
      </c>
      <c r="BA34" s="190">
        <v>0</v>
      </c>
      <c r="BB34" s="190">
        <v>8.1875</v>
      </c>
      <c r="BC34" s="190">
        <v>8.375</v>
      </c>
      <c r="BD34" s="190">
        <v>3431.8289250000016</v>
      </c>
      <c r="BE34" s="190">
        <v>0</v>
      </c>
      <c r="BF34" s="190">
        <v>-3431.8289250000016</v>
      </c>
      <c r="BG34" s="190">
        <v>0</v>
      </c>
      <c r="BH34" s="190">
        <v>3050.5146000000022</v>
      </c>
      <c r="BI34" s="190">
        <v>0</v>
      </c>
      <c r="BJ34" s="190">
        <v>-3050.5146000000022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-3050.5146000000022</v>
      </c>
      <c r="BQ34" s="191">
        <v>0</v>
      </c>
      <c r="BR34" s="191">
        <v>0</v>
      </c>
      <c r="BS34" s="200">
        <v>41</v>
      </c>
      <c r="BT34" s="191">
        <v>-1143.9429750000054</v>
      </c>
      <c r="BU34" s="201">
        <v>6101.0292000000045</v>
      </c>
      <c r="BV34" s="191">
        <v>190</v>
      </c>
      <c r="BW34" s="202">
        <v>8.1875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3050.5146000000022</v>
      </c>
      <c r="CH34" s="190">
        <v>0</v>
      </c>
      <c r="CI34" s="190">
        <v>-3050.5146000000022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25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56">
        <v>0</v>
      </c>
      <c r="T35" s="211">
        <v>0</v>
      </c>
      <c r="U35" s="212">
        <v>49952.176575000034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51096.119550000039</v>
      </c>
      <c r="AD35" s="208">
        <v>-1143.9429750000054</v>
      </c>
      <c r="AE35" s="208">
        <v>0</v>
      </c>
      <c r="AF35" s="208">
        <v>1143.9429750000054</v>
      </c>
      <c r="AG35" s="208">
        <v>0</v>
      </c>
      <c r="AH35" s="213">
        <v>1906.5716249999969</v>
      </c>
      <c r="AI35" s="208">
        <v>0</v>
      </c>
      <c r="AJ35" s="208">
        <v>-1906.5716249999969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2287.8859499999962</v>
      </c>
      <c r="AU35" s="208">
        <v>0</v>
      </c>
      <c r="AV35" s="208">
        <v>-2287.8859499999962</v>
      </c>
      <c r="AW35" s="208">
        <v>0</v>
      </c>
      <c r="AX35" s="208">
        <v>1906.5716249999969</v>
      </c>
      <c r="AY35" s="208">
        <v>0</v>
      </c>
      <c r="AZ35" s="208">
        <v>-1906.5716249999969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25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0</v>
      </c>
      <c r="Q36" s="191">
        <v>0</v>
      </c>
      <c r="R36" s="193">
        <v>0</v>
      </c>
      <c r="S36" s="254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0</v>
      </c>
      <c r="AD36" s="190">
        <v>0</v>
      </c>
      <c r="AE36" s="190">
        <v>0</v>
      </c>
      <c r="AF36" s="190">
        <v>0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-283416</v>
      </c>
      <c r="BI36" s="190">
        <v>0</v>
      </c>
      <c r="BJ36" s="190">
        <v>283416</v>
      </c>
      <c r="BK36" s="190">
        <v>0</v>
      </c>
      <c r="BL36" s="190">
        <v>0</v>
      </c>
      <c r="BM36" s="190" t="s">
        <v>313</v>
      </c>
      <c r="BN36" s="190">
        <v>0</v>
      </c>
      <c r="BO36" s="190" t="b">
        <v>0</v>
      </c>
      <c r="BP36" s="190">
        <v>283416</v>
      </c>
      <c r="BQ36" s="192">
        <v>0</v>
      </c>
      <c r="BR36" s="191">
        <v>0</v>
      </c>
      <c r="BS36" s="200">
        <v>38</v>
      </c>
      <c r="BT36" s="191">
        <v>0</v>
      </c>
      <c r="BU36" s="201">
        <v>0</v>
      </c>
      <c r="BV36" s="191">
        <v>181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-283416</v>
      </c>
      <c r="CH36" s="190">
        <v>0</v>
      </c>
      <c r="CI36" s="190">
        <v>283416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25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56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0</v>
      </c>
      <c r="AD37" s="208">
        <v>0</v>
      </c>
      <c r="AE37" s="208">
        <v>0</v>
      </c>
      <c r="AF37" s="208">
        <v>0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0</v>
      </c>
      <c r="AU37" s="208">
        <v>0</v>
      </c>
      <c r="AV37" s="208">
        <v>0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25">
      <c r="A38" s="129" t="s">
        <v>475</v>
      </c>
      <c r="B38" s="129" t="s">
        <v>389</v>
      </c>
      <c r="C38" s="129" t="s">
        <v>395</v>
      </c>
      <c r="D38" s="129" t="s">
        <v>396</v>
      </c>
      <c r="E38" s="129" t="s">
        <v>476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38.9</v>
      </c>
      <c r="P38" s="192">
        <v>38.46</v>
      </c>
      <c r="Q38" s="192">
        <v>0.43999999999999773</v>
      </c>
      <c r="R38" s="193">
        <v>0</v>
      </c>
      <c r="S38" s="254">
        <v>1</v>
      </c>
      <c r="T38" s="193">
        <v>0</v>
      </c>
      <c r="U38" s="194">
        <v>77614524.800000012</v>
      </c>
      <c r="V38" s="190" t="s">
        <v>477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76736622.720000014</v>
      </c>
      <c r="AD38" s="190">
        <v>877902.07999999821</v>
      </c>
      <c r="AE38" s="190">
        <v>0</v>
      </c>
      <c r="AF38" s="190">
        <v>-877902.07999999821</v>
      </c>
      <c r="AG38" s="190">
        <v>0</v>
      </c>
      <c r="AH38" s="195">
        <v>-11921511.200000003</v>
      </c>
      <c r="AI38" s="190">
        <v>0</v>
      </c>
      <c r="AJ38" s="190">
        <v>11921511.200000003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77614524.800000012</v>
      </c>
      <c r="AS38" s="190">
        <v>38.9</v>
      </c>
      <c r="AT38" s="190">
        <v>1057472.96</v>
      </c>
      <c r="AU38" s="190">
        <v>0</v>
      </c>
      <c r="AV38" s="190">
        <v>-1057472.96</v>
      </c>
      <c r="AW38" s="190">
        <v>0</v>
      </c>
      <c r="AX38" s="190">
        <v>-11921511.200000003</v>
      </c>
      <c r="AY38" s="190">
        <v>0</v>
      </c>
      <c r="AZ38" s="190">
        <v>11921511.200000003</v>
      </c>
      <c r="BA38" s="190">
        <v>0</v>
      </c>
      <c r="BB38" s="190">
        <v>38.9</v>
      </c>
      <c r="BC38" s="190">
        <v>38.46</v>
      </c>
      <c r="BD38" s="190">
        <v>179570.88000000664</v>
      </c>
      <c r="BE38" s="190">
        <v>0</v>
      </c>
      <c r="BF38" s="190">
        <v>-179570.88000000664</v>
      </c>
      <c r="BG38" s="190">
        <v>0</v>
      </c>
      <c r="BH38" s="190">
        <v>-12799413.280000001</v>
      </c>
      <c r="BI38" s="190">
        <v>0</v>
      </c>
      <c r="BJ38" s="190">
        <v>12799413.280000001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12799413.280000001</v>
      </c>
      <c r="BQ38" s="191">
        <v>0</v>
      </c>
      <c r="BR38" s="191">
        <v>0</v>
      </c>
      <c r="BS38" s="200">
        <v>83</v>
      </c>
      <c r="BT38" s="191">
        <v>877902.07999999821</v>
      </c>
      <c r="BU38" s="201">
        <v>1995232</v>
      </c>
      <c r="BV38" s="191">
        <v>188</v>
      </c>
      <c r="BW38" s="202">
        <v>38.9</v>
      </c>
      <c r="BX38" s="202">
        <v>0</v>
      </c>
      <c r="BY38" s="190">
        <v>0</v>
      </c>
      <c r="BZ38" s="190">
        <v>0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-12799413.280000001</v>
      </c>
      <c r="CH38" s="190">
        <v>0</v>
      </c>
      <c r="CI38" s="190">
        <v>12799413.280000001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25">
      <c r="A39" s="204" t="s">
        <v>478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56">
        <v>1</v>
      </c>
      <c r="T39" s="211">
        <v>0</v>
      </c>
      <c r="U39" s="212">
        <v>77614524.800000012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76736622.720000014</v>
      </c>
      <c r="AD39" s="208">
        <v>877902.07999999821</v>
      </c>
      <c r="AE39" s="208">
        <v>0</v>
      </c>
      <c r="AF39" s="208">
        <v>-877902.07999999821</v>
      </c>
      <c r="AG39" s="208">
        <v>0</v>
      </c>
      <c r="AH39" s="213">
        <v>-11921511.200000003</v>
      </c>
      <c r="AI39" s="208">
        <v>0</v>
      </c>
      <c r="AJ39" s="208">
        <v>11921511.200000003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1057472.96</v>
      </c>
      <c r="AU39" s="208">
        <v>0</v>
      </c>
      <c r="AV39" s="208">
        <v>-1057472.96</v>
      </c>
      <c r="AW39" s="208">
        <v>0</v>
      </c>
      <c r="AX39" s="208">
        <v>-11921511.200000003</v>
      </c>
      <c r="AY39" s="208">
        <v>0</v>
      </c>
      <c r="AZ39" s="208">
        <v>11921511.200000003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25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57">
        <v>1</v>
      </c>
      <c r="T40" s="226">
        <v>0</v>
      </c>
      <c r="U40" s="227">
        <v>80512906.643655017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79636148.506630018</v>
      </c>
      <c r="AD40" s="223">
        <v>876758.1370249982</v>
      </c>
      <c r="AE40" s="223">
        <v>0</v>
      </c>
      <c r="AF40" s="223">
        <v>-876758.1370249982</v>
      </c>
      <c r="AG40" s="223">
        <v>0</v>
      </c>
      <c r="AH40" s="228">
        <v>-12203020.628375003</v>
      </c>
      <c r="AI40" s="223">
        <v>0</v>
      </c>
      <c r="AJ40" s="223">
        <v>12203020.628375003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1059760.8459500049</v>
      </c>
      <c r="AU40" s="223">
        <v>0</v>
      </c>
      <c r="AV40" s="223">
        <v>-1059760.8459500049</v>
      </c>
      <c r="AW40" s="223">
        <v>0</v>
      </c>
      <c r="AX40" s="223">
        <v>-12203020.628375003</v>
      </c>
      <c r="AY40" s="223">
        <v>0</v>
      </c>
      <c r="AZ40" s="223">
        <v>12203020.628375003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89577228.777080014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25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479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254">
        <v>0.5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72</v>
      </c>
      <c r="BT41" s="191">
        <v>0</v>
      </c>
      <c r="BU41" s="201">
        <v>0</v>
      </c>
      <c r="BV41" s="191">
        <v>33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25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484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254">
        <v>0.5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0</v>
      </c>
      <c r="AE42" s="190">
        <v>0</v>
      </c>
      <c r="AF42" s="190">
        <v>0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-175230.57</v>
      </c>
      <c r="BI42" s="190">
        <v>0</v>
      </c>
      <c r="BJ42" s="190">
        <v>175230.57</v>
      </c>
      <c r="BK42" s="190">
        <v>0</v>
      </c>
      <c r="BL42" s="202">
        <v>0</v>
      </c>
      <c r="BM42" s="190" t="s">
        <v>313</v>
      </c>
      <c r="BN42" s="190">
        <v>0</v>
      </c>
      <c r="BO42" s="190" t="b">
        <v>0</v>
      </c>
      <c r="BP42" s="190">
        <v>175230.57</v>
      </c>
      <c r="BQ42" s="191">
        <v>0</v>
      </c>
      <c r="BR42" s="191">
        <v>0</v>
      </c>
      <c r="BS42" s="200">
        <v>72</v>
      </c>
      <c r="BT42" s="191">
        <v>0</v>
      </c>
      <c r="BU42" s="201">
        <v>0</v>
      </c>
      <c r="BV42" s="191">
        <v>34</v>
      </c>
      <c r="BW42" s="202">
        <v>0</v>
      </c>
      <c r="BX42" s="202">
        <v>0</v>
      </c>
      <c r="BY42" s="190">
        <v>0</v>
      </c>
      <c r="BZ42" s="190">
        <v>0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-175230.57</v>
      </c>
      <c r="CH42" s="190">
        <v>0</v>
      </c>
      <c r="CI42" s="190">
        <v>175230.57</v>
      </c>
      <c r="CJ42" s="190">
        <v>0</v>
      </c>
      <c r="CK42" s="191">
        <v>0</v>
      </c>
      <c r="CL42" s="191">
        <v>0</v>
      </c>
    </row>
    <row r="43" spans="1:90" outlineLevel="3" x14ac:dyDescent="0.25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0</v>
      </c>
      <c r="Q43" s="192">
        <v>0</v>
      </c>
      <c r="R43" s="193" t="s">
        <v>414</v>
      </c>
      <c r="S43" s="254">
        <v>1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0</v>
      </c>
      <c r="AD43" s="190">
        <v>0</v>
      </c>
      <c r="AE43" s="190">
        <v>0</v>
      </c>
      <c r="AF43" s="190">
        <v>0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0</v>
      </c>
      <c r="AU43" s="190">
        <v>0</v>
      </c>
      <c r="AV43" s="190">
        <v>0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-23507915</v>
      </c>
      <c r="BI43" s="190">
        <v>0</v>
      </c>
      <c r="BJ43" s="190">
        <v>23507915</v>
      </c>
      <c r="BK43" s="190">
        <v>0</v>
      </c>
      <c r="BL43" s="202">
        <v>0</v>
      </c>
      <c r="BM43" s="190" t="s">
        <v>313</v>
      </c>
      <c r="BN43" s="190">
        <v>0</v>
      </c>
      <c r="BO43" s="190" t="b">
        <v>0</v>
      </c>
      <c r="BP43" s="190">
        <v>23507915</v>
      </c>
      <c r="BQ43" s="192">
        <v>89.228099999999998</v>
      </c>
      <c r="BR43" s="191">
        <v>15349999.2711</v>
      </c>
      <c r="BS43" s="200">
        <v>72</v>
      </c>
      <c r="BT43" s="191">
        <v>0</v>
      </c>
      <c r="BU43" s="201">
        <v>0</v>
      </c>
      <c r="BV43" s="191">
        <v>38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-23507915</v>
      </c>
      <c r="CH43" s="190">
        <v>0</v>
      </c>
      <c r="CI43" s="190">
        <v>23507915</v>
      </c>
      <c r="CJ43" s="190">
        <v>0</v>
      </c>
      <c r="CK43" s="191">
        <v>0.5</v>
      </c>
      <c r="CL43" s="191">
        <v>0</v>
      </c>
    </row>
    <row r="44" spans="1:90" outlineLevel="3" x14ac:dyDescent="0.25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0</v>
      </c>
      <c r="Q44" s="192">
        <v>0</v>
      </c>
      <c r="R44" s="193" t="s">
        <v>417</v>
      </c>
      <c r="S44" s="254">
        <v>1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0</v>
      </c>
      <c r="AD44" s="190">
        <v>0</v>
      </c>
      <c r="AE44" s="190">
        <v>0</v>
      </c>
      <c r="AF44" s="190">
        <v>0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0</v>
      </c>
      <c r="AU44" s="190">
        <v>0</v>
      </c>
      <c r="AV44" s="190">
        <v>0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-10372212</v>
      </c>
      <c r="BI44" s="190">
        <v>0</v>
      </c>
      <c r="BJ44" s="190">
        <v>10372212</v>
      </c>
      <c r="BK44" s="190">
        <v>0</v>
      </c>
      <c r="BL44" s="190">
        <v>0</v>
      </c>
      <c r="BM44" s="190" t="s">
        <v>313</v>
      </c>
      <c r="BN44" s="190">
        <v>0</v>
      </c>
      <c r="BO44" s="190" t="b">
        <v>0</v>
      </c>
      <c r="BP44" s="190">
        <v>10372212</v>
      </c>
      <c r="BQ44" s="192">
        <v>0</v>
      </c>
      <c r="BR44" s="191">
        <v>0</v>
      </c>
      <c r="BS44" s="200">
        <v>72</v>
      </c>
      <c r="BT44" s="191">
        <v>0</v>
      </c>
      <c r="BU44" s="201">
        <v>0</v>
      </c>
      <c r="BV44" s="191">
        <v>40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-10372212</v>
      </c>
      <c r="CH44" s="190">
        <v>0</v>
      </c>
      <c r="CI44" s="190">
        <v>10372212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25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56">
        <v>3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1247943.5</v>
      </c>
      <c r="AD45" s="208">
        <v>0</v>
      </c>
      <c r="AE45" s="208">
        <v>0</v>
      </c>
      <c r="AF45" s="208">
        <v>0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0</v>
      </c>
      <c r="AU45" s="208">
        <v>0</v>
      </c>
      <c r="AV45" s="208">
        <v>0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25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401</v>
      </c>
      <c r="G46" s="129" t="s">
        <v>412</v>
      </c>
      <c r="H46" s="129" t="s">
        <v>323</v>
      </c>
      <c r="I46" s="187" t="s">
        <v>310</v>
      </c>
      <c r="J46" s="189">
        <v>10134.6</v>
      </c>
      <c r="K46" s="189">
        <v>10134.6</v>
      </c>
      <c r="L46" s="191">
        <v>0</v>
      </c>
      <c r="M46" s="191">
        <v>0</v>
      </c>
      <c r="N46" s="191">
        <v>1</v>
      </c>
      <c r="O46" s="190">
        <v>8.1875</v>
      </c>
      <c r="P46" s="192">
        <v>8.375</v>
      </c>
      <c r="Q46" s="192">
        <v>-0.1875</v>
      </c>
      <c r="R46" s="193" t="s">
        <v>420</v>
      </c>
      <c r="S46" s="254">
        <v>0.6</v>
      </c>
      <c r="T46" s="193">
        <v>0</v>
      </c>
      <c r="U46" s="194">
        <v>82977.037500000049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84877.275000000052</v>
      </c>
      <c r="AD46" s="190">
        <v>-1900.2375000000029</v>
      </c>
      <c r="AE46" s="190">
        <v>0</v>
      </c>
      <c r="AF46" s="190">
        <v>1900.2375000000029</v>
      </c>
      <c r="AG46" s="190">
        <v>0</v>
      </c>
      <c r="AH46" s="195">
        <v>3167.0625000002356</v>
      </c>
      <c r="AI46" s="190">
        <v>0</v>
      </c>
      <c r="AJ46" s="190">
        <v>-3167.0625000002356</v>
      </c>
      <c r="AK46" s="196">
        <v>0</v>
      </c>
      <c r="AL46" s="197">
        <v>0</v>
      </c>
      <c r="AM46" s="190">
        <v>79809.975000000049</v>
      </c>
      <c r="AN46" s="191">
        <v>0</v>
      </c>
      <c r="AO46" s="197">
        <v>0</v>
      </c>
      <c r="AP46" s="190">
        <v>403753.41600000003</v>
      </c>
      <c r="AQ46" s="198">
        <v>1</v>
      </c>
      <c r="AR46" s="190">
        <v>82977.037500000049</v>
      </c>
      <c r="AS46" s="190">
        <v>8.1875</v>
      </c>
      <c r="AT46" s="190">
        <v>3800.4750000000931</v>
      </c>
      <c r="AU46" s="190">
        <v>0</v>
      </c>
      <c r="AV46" s="190">
        <v>-3800.4750000000931</v>
      </c>
      <c r="AW46" s="190">
        <v>0</v>
      </c>
      <c r="AX46" s="190">
        <v>3167.0625000002356</v>
      </c>
      <c r="AY46" s="190">
        <v>0</v>
      </c>
      <c r="AZ46" s="190">
        <v>-3167.0625000002356</v>
      </c>
      <c r="BA46" s="190">
        <v>0</v>
      </c>
      <c r="BB46" s="190">
        <v>8.1875</v>
      </c>
      <c r="BC46" s="190">
        <v>8.375</v>
      </c>
      <c r="BD46" s="190">
        <v>5700.712500000096</v>
      </c>
      <c r="BE46" s="190">
        <v>0</v>
      </c>
      <c r="BF46" s="190">
        <v>-5700.712500000096</v>
      </c>
      <c r="BG46" s="190">
        <v>0</v>
      </c>
      <c r="BH46" s="190">
        <v>5067.3000000002385</v>
      </c>
      <c r="BI46" s="190">
        <v>0</v>
      </c>
      <c r="BJ46" s="190">
        <v>-5067.3000000002385</v>
      </c>
      <c r="BK46" s="190">
        <v>0</v>
      </c>
      <c r="BL46" s="190">
        <v>403753.41600000003</v>
      </c>
      <c r="BM46" s="190" t="s">
        <v>324</v>
      </c>
      <c r="BN46" s="190">
        <v>0</v>
      </c>
      <c r="BO46" s="190" t="b">
        <v>0</v>
      </c>
      <c r="BP46" s="190">
        <v>-5067.3000000002385</v>
      </c>
      <c r="BQ46" s="192">
        <v>1.1200000000000001</v>
      </c>
      <c r="BR46" s="191">
        <v>11350.752000000008</v>
      </c>
      <c r="BS46" s="200">
        <v>71</v>
      </c>
      <c r="BT46" s="191">
        <v>-1900.2375000000029</v>
      </c>
      <c r="BU46" s="201">
        <v>10134.6</v>
      </c>
      <c r="BV46" s="191">
        <v>7</v>
      </c>
      <c r="BW46" s="202">
        <v>8.1875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5067.3000000002385</v>
      </c>
      <c r="CH46" s="190">
        <v>0</v>
      </c>
      <c r="CI46" s="190">
        <v>-5067.3000000002385</v>
      </c>
      <c r="CJ46" s="190">
        <v>0</v>
      </c>
      <c r="CK46" s="191">
        <v>0</v>
      </c>
      <c r="CL46" s="191">
        <v>0</v>
      </c>
    </row>
    <row r="47" spans="1:90" s="221" customFormat="1" ht="20.100000000000001" customHeight="1" outlineLevel="2" x14ac:dyDescent="0.25">
      <c r="A47" s="204" t="s">
        <v>386</v>
      </c>
      <c r="B47" s="204"/>
      <c r="C47" s="204"/>
      <c r="D47" s="204"/>
      <c r="E47" s="204"/>
      <c r="F47" s="204"/>
      <c r="G47" s="204"/>
      <c r="H47" s="204"/>
      <c r="I47" s="205"/>
      <c r="J47" s="207"/>
      <c r="K47" s="207"/>
      <c r="L47" s="209"/>
      <c r="M47" s="209"/>
      <c r="N47" s="209"/>
      <c r="O47" s="208"/>
      <c r="P47" s="210"/>
      <c r="Q47" s="210"/>
      <c r="R47" s="211">
        <v>0</v>
      </c>
      <c r="S47" s="256">
        <v>0.6</v>
      </c>
      <c r="T47" s="211">
        <v>0</v>
      </c>
      <c r="U47" s="212">
        <v>82977.037500000049</v>
      </c>
      <c r="V47" s="208"/>
      <c r="W47" s="208">
        <v>0</v>
      </c>
      <c r="X47" s="208">
        <v>0</v>
      </c>
      <c r="Y47" s="208">
        <v>0</v>
      </c>
      <c r="Z47" s="208">
        <v>0</v>
      </c>
      <c r="AA47" s="208">
        <v>0</v>
      </c>
      <c r="AB47" s="208">
        <v>0</v>
      </c>
      <c r="AC47" s="212">
        <v>84877.275000000052</v>
      </c>
      <c r="AD47" s="208">
        <v>-1900.2375000000029</v>
      </c>
      <c r="AE47" s="208">
        <v>0</v>
      </c>
      <c r="AF47" s="208">
        <v>1900.2375000000029</v>
      </c>
      <c r="AG47" s="208">
        <v>0</v>
      </c>
      <c r="AH47" s="213">
        <v>3167.0625000002356</v>
      </c>
      <c r="AI47" s="208">
        <v>0</v>
      </c>
      <c r="AJ47" s="208">
        <v>-3167.0625000002356</v>
      </c>
      <c r="AK47" s="214">
        <v>0</v>
      </c>
      <c r="AL47" s="215"/>
      <c r="AM47" s="208">
        <v>79809.975000000049</v>
      </c>
      <c r="AN47" s="209"/>
      <c r="AO47" s="215"/>
      <c r="AP47" s="208">
        <v>403753.41600000003</v>
      </c>
      <c r="AQ47" s="216"/>
      <c r="AR47" s="208"/>
      <c r="AS47" s="208"/>
      <c r="AT47" s="208">
        <v>3800.4750000000931</v>
      </c>
      <c r="AU47" s="208">
        <v>0</v>
      </c>
      <c r="AV47" s="208">
        <v>-3800.4750000000931</v>
      </c>
      <c r="AW47" s="208">
        <v>0</v>
      </c>
      <c r="AX47" s="208">
        <v>3167.0625000002356</v>
      </c>
      <c r="AY47" s="208">
        <v>0</v>
      </c>
      <c r="AZ47" s="208">
        <v>-3167.0625000002356</v>
      </c>
      <c r="BA47" s="208">
        <v>0</v>
      </c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10"/>
      <c r="BR47" s="209"/>
      <c r="BS47" s="218"/>
      <c r="BT47" s="209"/>
      <c r="BU47" s="219"/>
      <c r="BV47" s="209"/>
      <c r="BW47" s="220"/>
      <c r="BX47" s="220"/>
      <c r="BY47" s="208"/>
      <c r="BZ47" s="208"/>
      <c r="CA47" s="208">
        <v>0</v>
      </c>
      <c r="CB47" s="208"/>
      <c r="CC47" s="208"/>
      <c r="CD47" s="208"/>
      <c r="CE47" s="208"/>
      <c r="CF47" s="208"/>
      <c r="CG47" s="208"/>
      <c r="CH47" s="208"/>
      <c r="CI47" s="208"/>
      <c r="CJ47" s="208"/>
      <c r="CK47" s="209"/>
      <c r="CL47" s="209"/>
    </row>
    <row r="48" spans="1:90" outlineLevel="3" x14ac:dyDescent="0.25">
      <c r="A48" s="129" t="s">
        <v>368</v>
      </c>
      <c r="B48" s="129" t="s">
        <v>410</v>
      </c>
      <c r="C48" s="129" t="s">
        <v>404</v>
      </c>
      <c r="D48" s="129" t="s">
        <v>405</v>
      </c>
      <c r="E48" s="129" t="s">
        <v>421</v>
      </c>
      <c r="F48" s="129" t="s">
        <v>307</v>
      </c>
      <c r="G48" s="129" t="s">
        <v>412</v>
      </c>
      <c r="H48" s="129" t="s">
        <v>309</v>
      </c>
      <c r="I48" s="187" t="s">
        <v>374</v>
      </c>
      <c r="J48" s="189">
        <v>1</v>
      </c>
      <c r="K48" s="189">
        <v>1</v>
      </c>
      <c r="L48" s="191">
        <v>0</v>
      </c>
      <c r="M48" s="191">
        <v>0</v>
      </c>
      <c r="N48" s="191">
        <v>0</v>
      </c>
      <c r="O48" s="190">
        <v>0</v>
      </c>
      <c r="P48" s="191">
        <v>0</v>
      </c>
      <c r="Q48" s="191">
        <v>0</v>
      </c>
      <c r="R48" s="193" t="s">
        <v>422</v>
      </c>
      <c r="S48" s="258">
        <v>1</v>
      </c>
      <c r="T48" s="193">
        <v>0</v>
      </c>
      <c r="U48" s="194">
        <v>0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0</v>
      </c>
      <c r="AD48" s="190">
        <v>0</v>
      </c>
      <c r="AE48" s="190">
        <v>0</v>
      </c>
      <c r="AF48" s="190">
        <v>0</v>
      </c>
      <c r="AG48" s="190">
        <v>0</v>
      </c>
      <c r="AH48" s="195">
        <v>0</v>
      </c>
      <c r="AI48" s="190">
        <v>0</v>
      </c>
      <c r="AJ48" s="190">
        <v>0</v>
      </c>
      <c r="AK48" s="196">
        <v>0</v>
      </c>
      <c r="AL48" s="197">
        <v>0</v>
      </c>
      <c r="AM48" s="190">
        <v>0</v>
      </c>
      <c r="AN48" s="191">
        <v>0</v>
      </c>
      <c r="AO48" s="197">
        <v>0</v>
      </c>
      <c r="AP48" s="190">
        <v>0</v>
      </c>
      <c r="AQ48" s="198">
        <v>1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 t="s">
        <v>307</v>
      </c>
      <c r="BC48" s="190" t="s">
        <v>307</v>
      </c>
      <c r="BD48" s="190">
        <v>0</v>
      </c>
      <c r="BE48" s="190">
        <v>0</v>
      </c>
      <c r="BF48" s="190">
        <v>0</v>
      </c>
      <c r="BG48" s="190">
        <v>0</v>
      </c>
      <c r="BH48" s="190">
        <v>0</v>
      </c>
      <c r="BI48" s="190">
        <v>0</v>
      </c>
      <c r="BJ48" s="190">
        <v>0</v>
      </c>
      <c r="BK48" s="190">
        <v>0</v>
      </c>
      <c r="BL48" s="190">
        <v>0</v>
      </c>
      <c r="BM48" s="190" t="s">
        <v>324</v>
      </c>
      <c r="BN48" s="190">
        <v>0</v>
      </c>
      <c r="BO48" s="190" t="b">
        <v>0</v>
      </c>
      <c r="BP48" s="190">
        <v>0</v>
      </c>
      <c r="BQ48" s="192">
        <v>0</v>
      </c>
      <c r="BR48" s="191">
        <v>0</v>
      </c>
      <c r="BS48" s="200">
        <v>79</v>
      </c>
      <c r="BT48" s="191">
        <v>0</v>
      </c>
      <c r="BU48" s="201">
        <v>0</v>
      </c>
      <c r="BV48" s="191">
        <v>152</v>
      </c>
      <c r="BW48" s="202">
        <v>0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0</v>
      </c>
      <c r="CH48" s="190">
        <v>0</v>
      </c>
      <c r="CI48" s="190">
        <v>0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25">
      <c r="A49" s="204" t="s">
        <v>376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09"/>
      <c r="Q49" s="209"/>
      <c r="R49" s="211">
        <v>0</v>
      </c>
      <c r="S49" s="259">
        <v>1</v>
      </c>
      <c r="T49" s="211">
        <v>0</v>
      </c>
      <c r="U49" s="212">
        <v>0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0</v>
      </c>
      <c r="AD49" s="208">
        <v>0</v>
      </c>
      <c r="AE49" s="208">
        <v>0</v>
      </c>
      <c r="AF49" s="208">
        <v>0</v>
      </c>
      <c r="AG49" s="208">
        <v>0</v>
      </c>
      <c r="AH49" s="213">
        <v>0</v>
      </c>
      <c r="AI49" s="208">
        <v>0</v>
      </c>
      <c r="AJ49" s="208">
        <v>0</v>
      </c>
      <c r="AK49" s="214">
        <v>0</v>
      </c>
      <c r="AL49" s="215"/>
      <c r="AM49" s="208">
        <v>0</v>
      </c>
      <c r="AN49" s="209"/>
      <c r="AO49" s="215"/>
      <c r="AP49" s="208">
        <v>0</v>
      </c>
      <c r="AQ49" s="216"/>
      <c r="AR49" s="208"/>
      <c r="AS49" s="208"/>
      <c r="AT49" s="208">
        <v>0</v>
      </c>
      <c r="AU49" s="208">
        <v>0</v>
      </c>
      <c r="AV49" s="208">
        <v>0</v>
      </c>
      <c r="AW49" s="208">
        <v>0</v>
      </c>
      <c r="AX49" s="208">
        <v>0</v>
      </c>
      <c r="AY49" s="208">
        <v>0</v>
      </c>
      <c r="AZ49" s="208">
        <v>0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25">
      <c r="A50" s="129" t="s">
        <v>423</v>
      </c>
      <c r="B50" s="129" t="s">
        <v>410</v>
      </c>
      <c r="C50" s="129" t="s">
        <v>404</v>
      </c>
      <c r="D50" s="129" t="s">
        <v>405</v>
      </c>
      <c r="E50" s="129" t="s">
        <v>424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425</v>
      </c>
      <c r="S50" s="258">
        <v>1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-1165662.43</v>
      </c>
      <c r="AI50" s="190">
        <v>0</v>
      </c>
      <c r="AJ50" s="190">
        <v>1165662.43</v>
      </c>
      <c r="AK50" s="196">
        <v>0</v>
      </c>
      <c r="AL50" s="197">
        <v>0</v>
      </c>
      <c r="AM50" s="190">
        <v>1165662.43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-1165662.43</v>
      </c>
      <c r="AY50" s="190">
        <v>0</v>
      </c>
      <c r="AZ50" s="190">
        <v>1165662.43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-1165662.43</v>
      </c>
      <c r="BI50" s="190">
        <v>0</v>
      </c>
      <c r="BJ50" s="190">
        <v>1165662.43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1165662.43</v>
      </c>
      <c r="BQ50" s="192">
        <v>0</v>
      </c>
      <c r="BR50" s="191">
        <v>0</v>
      </c>
      <c r="BS50" s="200">
        <v>81</v>
      </c>
      <c r="BT50" s="191">
        <v>0</v>
      </c>
      <c r="BU50" s="201">
        <v>0</v>
      </c>
      <c r="BV50" s="191">
        <v>157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-1165662.43</v>
      </c>
      <c r="CH50" s="190">
        <v>0</v>
      </c>
      <c r="CI50" s="190">
        <v>1165662.43</v>
      </c>
      <c r="CJ50" s="190">
        <v>0</v>
      </c>
      <c r="CK50" s="191">
        <v>0</v>
      </c>
      <c r="CL50" s="191">
        <v>0</v>
      </c>
    </row>
    <row r="51" spans="1:90" outlineLevel="3" x14ac:dyDescent="0.25">
      <c r="A51" s="129" t="s">
        <v>423</v>
      </c>
      <c r="B51" s="129" t="s">
        <v>410</v>
      </c>
      <c r="C51" s="129" t="s">
        <v>404</v>
      </c>
      <c r="D51" s="129" t="s">
        <v>405</v>
      </c>
      <c r="E51" s="129" t="s">
        <v>426</v>
      </c>
      <c r="F51" s="129" t="s">
        <v>307</v>
      </c>
      <c r="G51" s="129" t="s">
        <v>412</v>
      </c>
      <c r="H51" s="129" t="s">
        <v>309</v>
      </c>
      <c r="I51" s="187" t="s">
        <v>374</v>
      </c>
      <c r="J51" s="189">
        <v>1</v>
      </c>
      <c r="K51" s="189">
        <v>1</v>
      </c>
      <c r="L51" s="191">
        <v>0</v>
      </c>
      <c r="M51" s="191">
        <v>0</v>
      </c>
      <c r="N51" s="191">
        <v>0</v>
      </c>
      <c r="O51" s="190">
        <v>0</v>
      </c>
      <c r="P51" s="191">
        <v>0</v>
      </c>
      <c r="Q51" s="191">
        <v>0</v>
      </c>
      <c r="R51" s="193" t="s">
        <v>427</v>
      </c>
      <c r="S51" s="254">
        <v>1</v>
      </c>
      <c r="T51" s="193">
        <v>0</v>
      </c>
      <c r="U51" s="194">
        <v>0</v>
      </c>
      <c r="V51" s="190" t="s">
        <v>312</v>
      </c>
      <c r="W51" s="190">
        <v>0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4">
        <v>0</v>
      </c>
      <c r="AD51" s="190">
        <v>0</v>
      </c>
      <c r="AE51" s="190">
        <v>0</v>
      </c>
      <c r="AF51" s="190">
        <v>0</v>
      </c>
      <c r="AG51" s="190">
        <v>0</v>
      </c>
      <c r="AH51" s="195">
        <v>570790</v>
      </c>
      <c r="AI51" s="190">
        <v>0</v>
      </c>
      <c r="AJ51" s="190">
        <v>-570790</v>
      </c>
      <c r="AK51" s="196">
        <v>0</v>
      </c>
      <c r="AL51" s="197">
        <v>0</v>
      </c>
      <c r="AM51" s="190">
        <v>429210</v>
      </c>
      <c r="AN51" s="191">
        <v>0</v>
      </c>
      <c r="AO51" s="197">
        <v>0</v>
      </c>
      <c r="AP51" s="190">
        <v>0</v>
      </c>
      <c r="AQ51" s="198">
        <v>1</v>
      </c>
      <c r="AR51" s="190">
        <v>0</v>
      </c>
      <c r="AS51" s="190">
        <v>0</v>
      </c>
      <c r="AT51" s="190">
        <v>0</v>
      </c>
      <c r="AU51" s="190">
        <v>0</v>
      </c>
      <c r="AV51" s="190">
        <v>0</v>
      </c>
      <c r="AW51" s="190">
        <v>0</v>
      </c>
      <c r="AX51" s="190">
        <v>570790</v>
      </c>
      <c r="AY51" s="190">
        <v>0</v>
      </c>
      <c r="AZ51" s="190">
        <v>-570790</v>
      </c>
      <c r="BA51" s="190">
        <v>0</v>
      </c>
      <c r="BB51" s="190" t="s">
        <v>307</v>
      </c>
      <c r="BC51" s="190" t="s">
        <v>307</v>
      </c>
      <c r="BD51" s="190">
        <v>0</v>
      </c>
      <c r="BE51" s="190">
        <v>0</v>
      </c>
      <c r="BF51" s="190">
        <v>0</v>
      </c>
      <c r="BG51" s="190">
        <v>0</v>
      </c>
      <c r="BH51" s="190">
        <v>570790</v>
      </c>
      <c r="BI51" s="190">
        <v>0</v>
      </c>
      <c r="BJ51" s="190">
        <v>-570790</v>
      </c>
      <c r="BK51" s="190">
        <v>0</v>
      </c>
      <c r="BL51" s="190">
        <v>0</v>
      </c>
      <c r="BM51" s="190" t="s">
        <v>313</v>
      </c>
      <c r="BN51" s="190">
        <v>0</v>
      </c>
      <c r="BO51" s="190" t="b">
        <v>0</v>
      </c>
      <c r="BP51" s="190">
        <v>-570790</v>
      </c>
      <c r="BQ51" s="192">
        <v>0</v>
      </c>
      <c r="BR51" s="191">
        <v>0</v>
      </c>
      <c r="BS51" s="200">
        <v>81</v>
      </c>
      <c r="BT51" s="191">
        <v>0</v>
      </c>
      <c r="BU51" s="201">
        <v>0</v>
      </c>
      <c r="BV51" s="191">
        <v>168</v>
      </c>
      <c r="BW51" s="202">
        <v>0</v>
      </c>
      <c r="BX51" s="202">
        <v>0</v>
      </c>
      <c r="BY51" s="190">
        <v>0</v>
      </c>
      <c r="BZ51" s="190">
        <v>0</v>
      </c>
      <c r="CA51" s="190">
        <v>-1000000</v>
      </c>
      <c r="CB51" s="190">
        <v>-1000000</v>
      </c>
      <c r="CC51" s="190">
        <v>0</v>
      </c>
      <c r="CD51" s="190">
        <v>0</v>
      </c>
      <c r="CE51" s="190">
        <v>0</v>
      </c>
      <c r="CF51" s="190">
        <v>0</v>
      </c>
      <c r="CG51" s="190">
        <v>570790</v>
      </c>
      <c r="CH51" s="190">
        <v>0</v>
      </c>
      <c r="CI51" s="190">
        <v>-570790</v>
      </c>
      <c r="CJ51" s="190">
        <v>0</v>
      </c>
      <c r="CK51" s="191">
        <v>0</v>
      </c>
      <c r="CL51" s="191">
        <v>0</v>
      </c>
    </row>
    <row r="52" spans="1:90" outlineLevel="3" x14ac:dyDescent="0.25">
      <c r="A52" s="129" t="s">
        <v>423</v>
      </c>
      <c r="B52" s="129" t="s">
        <v>410</v>
      </c>
      <c r="C52" s="129" t="s">
        <v>404</v>
      </c>
      <c r="D52" s="129" t="s">
        <v>405</v>
      </c>
      <c r="E52" s="129" t="s">
        <v>428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0</v>
      </c>
      <c r="Q52" s="191">
        <v>0</v>
      </c>
      <c r="R52" s="193" t="s">
        <v>429</v>
      </c>
      <c r="S52" s="254">
        <v>1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0</v>
      </c>
      <c r="AD52" s="190">
        <v>0</v>
      </c>
      <c r="AE52" s="190">
        <v>0</v>
      </c>
      <c r="AF52" s="190">
        <v>0</v>
      </c>
      <c r="AG52" s="190">
        <v>0</v>
      </c>
      <c r="AH52" s="195">
        <v>-470790</v>
      </c>
      <c r="AI52" s="190">
        <v>0</v>
      </c>
      <c r="AJ52" s="190">
        <v>470790</v>
      </c>
      <c r="AK52" s="196">
        <v>0</v>
      </c>
      <c r="AL52" s="197">
        <v>0</v>
      </c>
      <c r="AM52" s="190">
        <v>470790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0</v>
      </c>
      <c r="AU52" s="190">
        <v>0</v>
      </c>
      <c r="AV52" s="190">
        <v>0</v>
      </c>
      <c r="AW52" s="190">
        <v>0</v>
      </c>
      <c r="AX52" s="190">
        <v>-470790</v>
      </c>
      <c r="AY52" s="190">
        <v>0</v>
      </c>
      <c r="AZ52" s="190">
        <v>470790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-470790</v>
      </c>
      <c r="BI52" s="190">
        <v>0</v>
      </c>
      <c r="BJ52" s="190">
        <v>470790</v>
      </c>
      <c r="BK52" s="190">
        <v>0</v>
      </c>
      <c r="BL52" s="190">
        <v>0</v>
      </c>
      <c r="BM52" s="190" t="s">
        <v>313</v>
      </c>
      <c r="BN52" s="190">
        <v>0</v>
      </c>
      <c r="BO52" s="190" t="b">
        <v>0</v>
      </c>
      <c r="BP52" s="190">
        <v>470790</v>
      </c>
      <c r="BQ52" s="192">
        <v>0</v>
      </c>
      <c r="BR52" s="191">
        <v>0</v>
      </c>
      <c r="BS52" s="200">
        <v>81</v>
      </c>
      <c r="BT52" s="191">
        <v>0</v>
      </c>
      <c r="BU52" s="201">
        <v>0</v>
      </c>
      <c r="BV52" s="191">
        <v>170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-470790</v>
      </c>
      <c r="CH52" s="190">
        <v>0</v>
      </c>
      <c r="CI52" s="190">
        <v>470790</v>
      </c>
      <c r="CJ52" s="190">
        <v>0</v>
      </c>
      <c r="CK52" s="191">
        <v>0</v>
      </c>
      <c r="CL52" s="191">
        <v>0</v>
      </c>
    </row>
    <row r="53" spans="1:90" outlineLevel="3" x14ac:dyDescent="0.25">
      <c r="A53" s="129" t="s">
        <v>423</v>
      </c>
      <c r="B53" s="129" t="s">
        <v>410</v>
      </c>
      <c r="C53" s="129" t="s">
        <v>404</v>
      </c>
      <c r="D53" s="129" t="s">
        <v>405</v>
      </c>
      <c r="E53" s="129" t="s">
        <v>430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7121810</v>
      </c>
      <c r="P53" s="191">
        <v>7121810</v>
      </c>
      <c r="Q53" s="191">
        <v>0</v>
      </c>
      <c r="R53" s="193" t="s">
        <v>431</v>
      </c>
      <c r="S53" s="254">
        <v>0.5</v>
      </c>
      <c r="T53" s="193">
        <v>0</v>
      </c>
      <c r="U53" s="194">
        <v>7121810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7121810</v>
      </c>
      <c r="AD53" s="190">
        <v>0</v>
      </c>
      <c r="AE53" s="190">
        <v>0</v>
      </c>
      <c r="AF53" s="190">
        <v>0</v>
      </c>
      <c r="AG53" s="190">
        <v>0</v>
      </c>
      <c r="AH53" s="195">
        <v>0</v>
      </c>
      <c r="AI53" s="190">
        <v>0</v>
      </c>
      <c r="AJ53" s="190">
        <v>0</v>
      </c>
      <c r="AK53" s="196">
        <v>0</v>
      </c>
      <c r="AL53" s="197">
        <v>0</v>
      </c>
      <c r="AM53" s="190">
        <v>7121810</v>
      </c>
      <c r="AN53" s="191">
        <v>0</v>
      </c>
      <c r="AO53" s="197">
        <v>0</v>
      </c>
      <c r="AP53" s="190">
        <v>7121810</v>
      </c>
      <c r="AQ53" s="198">
        <v>1</v>
      </c>
      <c r="AR53" s="190">
        <v>0</v>
      </c>
      <c r="AS53" s="190">
        <v>7121810</v>
      </c>
      <c r="AT53" s="190">
        <v>0</v>
      </c>
      <c r="AU53" s="190">
        <v>0</v>
      </c>
      <c r="AV53" s="190">
        <v>0</v>
      </c>
      <c r="AW53" s="190">
        <v>0</v>
      </c>
      <c r="AX53" s="190">
        <v>0</v>
      </c>
      <c r="AY53" s="190">
        <v>0</v>
      </c>
      <c r="AZ53" s="190">
        <v>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7121810</v>
      </c>
      <c r="BM53" s="190" t="s">
        <v>313</v>
      </c>
      <c r="BN53" s="190">
        <v>0</v>
      </c>
      <c r="BO53" s="190" t="b">
        <v>0</v>
      </c>
      <c r="BP53" s="190">
        <v>0</v>
      </c>
      <c r="BQ53" s="192">
        <v>0</v>
      </c>
      <c r="BR53" s="191">
        <v>0</v>
      </c>
      <c r="BS53" s="200">
        <v>81</v>
      </c>
      <c r="BT53" s="191">
        <v>0</v>
      </c>
      <c r="BU53" s="201">
        <v>0</v>
      </c>
      <c r="BV53" s="191">
        <v>171</v>
      </c>
      <c r="BW53" s="202">
        <v>0</v>
      </c>
      <c r="BX53" s="202">
        <v>0</v>
      </c>
      <c r="BY53" s="190">
        <v>0</v>
      </c>
      <c r="BZ53" s="190">
        <v>0</v>
      </c>
      <c r="CA53" s="190">
        <v>0</v>
      </c>
      <c r="CB53" s="190">
        <v>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s="221" customFormat="1" ht="20.100000000000001" customHeight="1" outlineLevel="2" x14ac:dyDescent="0.25">
      <c r="A54" s="204" t="s">
        <v>432</v>
      </c>
      <c r="B54" s="204"/>
      <c r="C54" s="204"/>
      <c r="D54" s="204"/>
      <c r="E54" s="204"/>
      <c r="F54" s="204"/>
      <c r="G54" s="204"/>
      <c r="H54" s="204"/>
      <c r="I54" s="205"/>
      <c r="J54" s="207"/>
      <c r="K54" s="207"/>
      <c r="L54" s="209"/>
      <c r="M54" s="209"/>
      <c r="N54" s="209"/>
      <c r="O54" s="208"/>
      <c r="P54" s="209"/>
      <c r="Q54" s="209"/>
      <c r="R54" s="211">
        <v>0</v>
      </c>
      <c r="S54" s="256">
        <v>3.5</v>
      </c>
      <c r="T54" s="211">
        <v>0</v>
      </c>
      <c r="U54" s="212">
        <v>7121810</v>
      </c>
      <c r="V54" s="208"/>
      <c r="W54" s="208">
        <v>0</v>
      </c>
      <c r="X54" s="208">
        <v>0</v>
      </c>
      <c r="Y54" s="208">
        <v>0</v>
      </c>
      <c r="Z54" s="208">
        <v>0</v>
      </c>
      <c r="AA54" s="208">
        <v>0</v>
      </c>
      <c r="AB54" s="208">
        <v>0</v>
      </c>
      <c r="AC54" s="212">
        <v>7121810</v>
      </c>
      <c r="AD54" s="208">
        <v>0</v>
      </c>
      <c r="AE54" s="208">
        <v>0</v>
      </c>
      <c r="AF54" s="208">
        <v>0</v>
      </c>
      <c r="AG54" s="208">
        <v>0</v>
      </c>
      <c r="AH54" s="213">
        <v>-1065662.43</v>
      </c>
      <c r="AI54" s="208">
        <v>0</v>
      </c>
      <c r="AJ54" s="208">
        <v>1065662.43</v>
      </c>
      <c r="AK54" s="214">
        <v>0</v>
      </c>
      <c r="AL54" s="215"/>
      <c r="AM54" s="208">
        <v>9187472.4299999997</v>
      </c>
      <c r="AN54" s="209"/>
      <c r="AO54" s="215"/>
      <c r="AP54" s="208">
        <v>7121810</v>
      </c>
      <c r="AQ54" s="216"/>
      <c r="AR54" s="208"/>
      <c r="AS54" s="208"/>
      <c r="AT54" s="208">
        <v>0</v>
      </c>
      <c r="AU54" s="208">
        <v>0</v>
      </c>
      <c r="AV54" s="208">
        <v>0</v>
      </c>
      <c r="AW54" s="208">
        <v>0</v>
      </c>
      <c r="AX54" s="208">
        <v>-1065662.43</v>
      </c>
      <c r="AY54" s="208">
        <v>0</v>
      </c>
      <c r="AZ54" s="208">
        <v>1065662.43</v>
      </c>
      <c r="BA54" s="208">
        <v>0</v>
      </c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10"/>
      <c r="BR54" s="209"/>
      <c r="BS54" s="218"/>
      <c r="BT54" s="209"/>
      <c r="BU54" s="219"/>
      <c r="BV54" s="209"/>
      <c r="BW54" s="220"/>
      <c r="BX54" s="220"/>
      <c r="BY54" s="208"/>
      <c r="BZ54" s="208"/>
      <c r="CA54" s="208">
        <v>-1000000</v>
      </c>
      <c r="CB54" s="208"/>
      <c r="CC54" s="208"/>
      <c r="CD54" s="208"/>
      <c r="CE54" s="208"/>
      <c r="CF54" s="208"/>
      <c r="CG54" s="208"/>
      <c r="CH54" s="208"/>
      <c r="CI54" s="208"/>
      <c r="CJ54" s="208"/>
      <c r="CK54" s="209"/>
      <c r="CL54" s="209"/>
    </row>
    <row r="55" spans="1:90" outlineLevel="3" x14ac:dyDescent="0.25">
      <c r="A55" s="129" t="s">
        <v>433</v>
      </c>
      <c r="B55" s="129" t="s">
        <v>410</v>
      </c>
      <c r="C55" s="129" t="s">
        <v>404</v>
      </c>
      <c r="D55" s="129" t="s">
        <v>405</v>
      </c>
      <c r="E55" s="129" t="s">
        <v>434</v>
      </c>
      <c r="F55" s="129" t="s">
        <v>435</v>
      </c>
      <c r="G55" s="129" t="s">
        <v>412</v>
      </c>
      <c r="H55" s="129" t="s">
        <v>356</v>
      </c>
      <c r="I55" s="187" t="s">
        <v>356</v>
      </c>
      <c r="J55" s="188">
        <v>1</v>
      </c>
      <c r="K55" s="189">
        <v>1</v>
      </c>
      <c r="L55" s="191">
        <v>0</v>
      </c>
      <c r="M55" s="191">
        <v>0</v>
      </c>
      <c r="N55" s="191">
        <v>1</v>
      </c>
      <c r="O55" s="190">
        <v>0</v>
      </c>
      <c r="P55" s="191">
        <v>0</v>
      </c>
      <c r="Q55" s="191">
        <v>0</v>
      </c>
      <c r="R55" s="193" t="s">
        <v>436</v>
      </c>
      <c r="S55" s="254">
        <v>1</v>
      </c>
      <c r="T55" s="193">
        <v>0</v>
      </c>
      <c r="U55" s="194">
        <v>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0</v>
      </c>
      <c r="AD55" s="190">
        <v>0</v>
      </c>
      <c r="AE55" s="190">
        <v>0</v>
      </c>
      <c r="AF55" s="190">
        <v>0</v>
      </c>
      <c r="AG55" s="190">
        <v>0</v>
      </c>
      <c r="AH55" s="195">
        <v>-3486752</v>
      </c>
      <c r="AI55" s="190">
        <v>0</v>
      </c>
      <c r="AJ55" s="190">
        <v>3486752</v>
      </c>
      <c r="AK55" s="196">
        <v>0</v>
      </c>
      <c r="AL55" s="197">
        <v>0</v>
      </c>
      <c r="AM55" s="190">
        <v>3486752</v>
      </c>
      <c r="AN55" s="197">
        <v>0</v>
      </c>
      <c r="AO55" s="197">
        <v>0</v>
      </c>
      <c r="AP55" s="190">
        <v>0</v>
      </c>
      <c r="AQ55" s="198">
        <v>1</v>
      </c>
      <c r="AR55" s="190">
        <v>0</v>
      </c>
      <c r="AS55" s="190">
        <v>0</v>
      </c>
      <c r="AT55" s="190">
        <v>0</v>
      </c>
      <c r="AU55" s="190">
        <v>0</v>
      </c>
      <c r="AV55" s="190">
        <v>0</v>
      </c>
      <c r="AW55" s="190">
        <v>0</v>
      </c>
      <c r="AX55" s="190">
        <v>-3486752</v>
      </c>
      <c r="AY55" s="190">
        <v>0</v>
      </c>
      <c r="AZ55" s="190">
        <v>3486752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-3486752</v>
      </c>
      <c r="BI55" s="190">
        <v>0</v>
      </c>
      <c r="BJ55" s="190">
        <v>3486752</v>
      </c>
      <c r="BK55" s="190">
        <v>0</v>
      </c>
      <c r="BL55" s="190">
        <v>0</v>
      </c>
      <c r="BM55" s="190" t="s">
        <v>313</v>
      </c>
      <c r="BN55" s="190">
        <v>0</v>
      </c>
      <c r="BO55" s="190" t="b">
        <v>0</v>
      </c>
      <c r="BP55" s="190">
        <v>3486752</v>
      </c>
      <c r="BQ55" s="191">
        <v>0</v>
      </c>
      <c r="BR55" s="191">
        <v>0</v>
      </c>
      <c r="BS55" s="200">
        <v>74</v>
      </c>
      <c r="BT55" s="191">
        <v>0</v>
      </c>
      <c r="BU55" s="201">
        <v>0</v>
      </c>
      <c r="BV55" s="191">
        <v>82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-3486752</v>
      </c>
      <c r="CH55" s="190">
        <v>0</v>
      </c>
      <c r="CI55" s="190">
        <v>3486752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25">
      <c r="A56" s="204" t="s">
        <v>437</v>
      </c>
      <c r="B56" s="204"/>
      <c r="C56" s="204"/>
      <c r="D56" s="204"/>
      <c r="E56" s="204"/>
      <c r="F56" s="204"/>
      <c r="G56" s="204"/>
      <c r="H56" s="204"/>
      <c r="I56" s="205"/>
      <c r="J56" s="206"/>
      <c r="K56" s="207"/>
      <c r="L56" s="209"/>
      <c r="M56" s="209"/>
      <c r="N56" s="209"/>
      <c r="O56" s="208"/>
      <c r="P56" s="209"/>
      <c r="Q56" s="209"/>
      <c r="R56" s="211">
        <v>0</v>
      </c>
      <c r="S56" s="256">
        <v>1</v>
      </c>
      <c r="T56" s="211">
        <v>0</v>
      </c>
      <c r="U56" s="212">
        <v>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0</v>
      </c>
      <c r="AD56" s="208">
        <v>0</v>
      </c>
      <c r="AE56" s="208">
        <v>0</v>
      </c>
      <c r="AF56" s="208">
        <v>0</v>
      </c>
      <c r="AG56" s="208">
        <v>0</v>
      </c>
      <c r="AH56" s="213">
        <v>-3486752</v>
      </c>
      <c r="AI56" s="208">
        <v>0</v>
      </c>
      <c r="AJ56" s="208">
        <v>3486752</v>
      </c>
      <c r="AK56" s="214">
        <v>0</v>
      </c>
      <c r="AL56" s="215"/>
      <c r="AM56" s="208">
        <v>3486752</v>
      </c>
      <c r="AN56" s="215"/>
      <c r="AO56" s="215"/>
      <c r="AP56" s="208">
        <v>0</v>
      </c>
      <c r="AQ56" s="216"/>
      <c r="AR56" s="208"/>
      <c r="AS56" s="208"/>
      <c r="AT56" s="208">
        <v>0</v>
      </c>
      <c r="AU56" s="208">
        <v>0</v>
      </c>
      <c r="AV56" s="208">
        <v>0</v>
      </c>
      <c r="AW56" s="208">
        <v>0</v>
      </c>
      <c r="AX56" s="208">
        <v>-3486752</v>
      </c>
      <c r="AY56" s="208">
        <v>0</v>
      </c>
      <c r="AZ56" s="208">
        <v>3486752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9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25">
      <c r="A57" s="129" t="s">
        <v>438</v>
      </c>
      <c r="B57" s="129" t="s">
        <v>410</v>
      </c>
      <c r="C57" s="129" t="s">
        <v>404</v>
      </c>
      <c r="D57" s="129" t="s">
        <v>405</v>
      </c>
      <c r="E57" s="129" t="s">
        <v>439</v>
      </c>
      <c r="F57" s="129" t="s">
        <v>440</v>
      </c>
      <c r="G57" s="129" t="s">
        <v>412</v>
      </c>
      <c r="H57" s="129" t="s">
        <v>356</v>
      </c>
      <c r="I57" s="187" t="s">
        <v>356</v>
      </c>
      <c r="J57" s="189">
        <v>156250</v>
      </c>
      <c r="K57" s="189">
        <v>156250</v>
      </c>
      <c r="L57" s="191">
        <v>1.6385876381021205E-2</v>
      </c>
      <c r="M57" s="191">
        <v>0</v>
      </c>
      <c r="N57" s="191">
        <v>0.94576971028179335</v>
      </c>
      <c r="O57" s="190">
        <v>5.4735185020466339</v>
      </c>
      <c r="P57" s="191">
        <v>5.5439673718800018</v>
      </c>
      <c r="Q57" s="191">
        <v>-7.0448869833367844E-2</v>
      </c>
      <c r="R57" s="193" t="s">
        <v>441</v>
      </c>
      <c r="S57" s="254">
        <v>1</v>
      </c>
      <c r="T57" s="193">
        <v>0</v>
      </c>
      <c r="U57" s="194">
        <v>855237.2659447866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866244.90185625025</v>
      </c>
      <c r="AD57" s="190">
        <v>-11007.635911463643</v>
      </c>
      <c r="AE57" s="190">
        <v>0</v>
      </c>
      <c r="AF57" s="190">
        <v>11007.635911463643</v>
      </c>
      <c r="AG57" s="190">
        <v>0</v>
      </c>
      <c r="AH57" s="195">
        <v>-89452.141437076265</v>
      </c>
      <c r="AI57" s="190">
        <v>0</v>
      </c>
      <c r="AJ57" s="190">
        <v>89452.141437076265</v>
      </c>
      <c r="AK57" s="196">
        <v>0</v>
      </c>
      <c r="AL57" s="197">
        <v>0</v>
      </c>
      <c r="AM57" s="190">
        <v>944689.40738186287</v>
      </c>
      <c r="AN57" s="197">
        <v>0</v>
      </c>
      <c r="AO57" s="197">
        <v>21922.510392577198</v>
      </c>
      <c r="AP57" s="190">
        <v>1711868.3881841477</v>
      </c>
      <c r="AQ57" s="198">
        <v>1</v>
      </c>
      <c r="AR57" s="190">
        <v>1265336.4287949775</v>
      </c>
      <c r="AS57" s="190">
        <v>8.5625</v>
      </c>
      <c r="AT57" s="190">
        <v>-111247.49642672704</v>
      </c>
      <c r="AU57" s="190">
        <v>0</v>
      </c>
      <c r="AV57" s="190">
        <v>111247.49642672704</v>
      </c>
      <c r="AW57" s="190">
        <v>0</v>
      </c>
      <c r="AX57" s="190">
        <v>-89452.141437076265</v>
      </c>
      <c r="AY57" s="190">
        <v>0</v>
      </c>
      <c r="AZ57" s="190">
        <v>89452.141437076265</v>
      </c>
      <c r="BA57" s="190">
        <v>0</v>
      </c>
      <c r="BB57" s="190">
        <v>8.5625</v>
      </c>
      <c r="BC57" s="190">
        <v>8.640625</v>
      </c>
      <c r="BD57" s="190">
        <v>-100239.8605152634</v>
      </c>
      <c r="BE57" s="190">
        <v>0</v>
      </c>
      <c r="BF57" s="190">
        <v>100239.8605152634</v>
      </c>
      <c r="BG57" s="190">
        <v>0</v>
      </c>
      <c r="BH57" s="190">
        <v>-78444.505525612622</v>
      </c>
      <c r="BI57" s="190">
        <v>0</v>
      </c>
      <c r="BJ57" s="190">
        <v>78444.505525612622</v>
      </c>
      <c r="BK57" s="190">
        <v>0</v>
      </c>
      <c r="BL57" s="190">
        <v>1711868.3881841477</v>
      </c>
      <c r="BM57" s="190" t="s">
        <v>324</v>
      </c>
      <c r="BN57" s="190">
        <v>0</v>
      </c>
      <c r="BO57" s="190" t="b">
        <v>0</v>
      </c>
      <c r="BP57" s="190">
        <v>78444.505525612622</v>
      </c>
      <c r="BQ57" s="191">
        <v>0</v>
      </c>
      <c r="BR57" s="191">
        <v>0</v>
      </c>
      <c r="BS57" s="200">
        <v>75</v>
      </c>
      <c r="BT57" s="191">
        <v>0</v>
      </c>
      <c r="BU57" s="201">
        <v>147776.51723153022</v>
      </c>
      <c r="BV57" s="191">
        <v>85</v>
      </c>
      <c r="BW57" s="202">
        <v>8.5625</v>
      </c>
      <c r="BX57" s="202">
        <v>8.5625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-78444.505525612622</v>
      </c>
      <c r="CH57" s="190">
        <v>0</v>
      </c>
      <c r="CI57" s="190">
        <v>78444.505525612622</v>
      </c>
      <c r="CJ57" s="190">
        <v>0</v>
      </c>
      <c r="CK57" s="191">
        <v>0</v>
      </c>
      <c r="CL57" s="191">
        <v>0</v>
      </c>
    </row>
    <row r="58" spans="1:90" outlineLevel="3" x14ac:dyDescent="0.25">
      <c r="A58" s="129" t="s">
        <v>438</v>
      </c>
      <c r="B58" s="129" t="s">
        <v>410</v>
      </c>
      <c r="C58" s="129" t="s">
        <v>404</v>
      </c>
      <c r="D58" s="129" t="s">
        <v>405</v>
      </c>
      <c r="E58" s="129" t="s">
        <v>442</v>
      </c>
      <c r="F58" s="129" t="s">
        <v>354</v>
      </c>
      <c r="G58" s="129" t="s">
        <v>412</v>
      </c>
      <c r="H58" s="129" t="s">
        <v>356</v>
      </c>
      <c r="I58" s="187" t="s">
        <v>356</v>
      </c>
      <c r="J58" s="189">
        <v>78000</v>
      </c>
      <c r="K58" s="189">
        <v>78000</v>
      </c>
      <c r="L58" s="191">
        <v>3.0925836607776352E-2</v>
      </c>
      <c r="M58" s="191">
        <v>0.5</v>
      </c>
      <c r="N58" s="191">
        <v>0.44103956083816581</v>
      </c>
      <c r="O58" s="190">
        <v>2.9378089784254766</v>
      </c>
      <c r="P58" s="191">
        <v>2.6458290838380072</v>
      </c>
      <c r="Q58" s="191">
        <v>0.29197989458746942</v>
      </c>
      <c r="R58" s="193" t="s">
        <v>443</v>
      </c>
      <c r="S58" s="254">
        <v>0</v>
      </c>
      <c r="T58" s="193">
        <v>0</v>
      </c>
      <c r="U58" s="194">
        <v>229149.10031718717</v>
      </c>
      <c r="V58" s="190" t="s">
        <v>312</v>
      </c>
      <c r="W58" s="190">
        <v>319285.07707427966</v>
      </c>
      <c r="X58" s="190">
        <v>0</v>
      </c>
      <c r="Y58" s="190">
        <v>319285.07707427966</v>
      </c>
      <c r="Z58" s="190">
        <v>0</v>
      </c>
      <c r="AA58" s="190">
        <v>0</v>
      </c>
      <c r="AB58" s="190">
        <v>0</v>
      </c>
      <c r="AC58" s="194">
        <v>206374.66853936456</v>
      </c>
      <c r="AD58" s="190">
        <v>22774.43177782261</v>
      </c>
      <c r="AE58" s="190">
        <v>0</v>
      </c>
      <c r="AF58" s="190">
        <v>-22774.43177782261</v>
      </c>
      <c r="AG58" s="190">
        <v>0</v>
      </c>
      <c r="AH58" s="195">
        <v>17384.237239525071</v>
      </c>
      <c r="AI58" s="190">
        <v>0</v>
      </c>
      <c r="AJ58" s="190">
        <v>-17384.237239525071</v>
      </c>
      <c r="AK58" s="196">
        <v>0</v>
      </c>
      <c r="AL58" s="197">
        <v>0</v>
      </c>
      <c r="AM58" s="190">
        <v>211764.8630776621</v>
      </c>
      <c r="AN58" s="197">
        <v>0</v>
      </c>
      <c r="AO58" s="197">
        <v>44776.745678484185</v>
      </c>
      <c r="AP58" s="190">
        <v>140980.7076861134</v>
      </c>
      <c r="AQ58" s="198">
        <v>1</v>
      </c>
      <c r="AR58" s="190">
        <v>638570.15414855932</v>
      </c>
      <c r="AS58" s="190">
        <v>18.5625</v>
      </c>
      <c r="AT58" s="190">
        <v>56505.175413076417</v>
      </c>
      <c r="AU58" s="190">
        <v>0</v>
      </c>
      <c r="AV58" s="190">
        <v>-56505.175413076417</v>
      </c>
      <c r="AW58" s="190">
        <v>0</v>
      </c>
      <c r="AX58" s="190">
        <v>17384.237239525071</v>
      </c>
      <c r="AY58" s="190">
        <v>0</v>
      </c>
      <c r="AZ58" s="190">
        <v>-17384.237239525071</v>
      </c>
      <c r="BA58" s="190">
        <v>0</v>
      </c>
      <c r="BB58" s="190">
        <v>18.5625</v>
      </c>
      <c r="BC58" s="190">
        <v>18.3125</v>
      </c>
      <c r="BD58" s="190">
        <v>33730.743635253806</v>
      </c>
      <c r="BE58" s="190">
        <v>0</v>
      </c>
      <c r="BF58" s="190">
        <v>-33730.743635253806</v>
      </c>
      <c r="BG58" s="190">
        <v>0</v>
      </c>
      <c r="BH58" s="190">
        <v>-5390.1945382975391</v>
      </c>
      <c r="BI58" s="190">
        <v>0</v>
      </c>
      <c r="BJ58" s="190">
        <v>5390.1945382975391</v>
      </c>
      <c r="BK58" s="190">
        <v>0</v>
      </c>
      <c r="BL58" s="190">
        <v>140980.7076861134</v>
      </c>
      <c r="BM58" s="190" t="s">
        <v>324</v>
      </c>
      <c r="BN58" s="190">
        <v>0</v>
      </c>
      <c r="BO58" s="190" t="b">
        <v>0</v>
      </c>
      <c r="BP58" s="190">
        <v>5390.1945382975391</v>
      </c>
      <c r="BQ58" s="191">
        <v>0</v>
      </c>
      <c r="BR58" s="191">
        <v>0</v>
      </c>
      <c r="BS58" s="200">
        <v>75</v>
      </c>
      <c r="BT58" s="191">
        <v>0</v>
      </c>
      <c r="BU58" s="201">
        <v>34401.085745376935</v>
      </c>
      <c r="BV58" s="191">
        <v>88</v>
      </c>
      <c r="BW58" s="202">
        <v>18.5625</v>
      </c>
      <c r="BX58" s="202">
        <v>18.5625</v>
      </c>
      <c r="BY58" s="190">
        <v>0</v>
      </c>
      <c r="BZ58" s="190">
        <v>0</v>
      </c>
      <c r="CA58" s="190">
        <v>0</v>
      </c>
      <c r="CB58" s="190">
        <v>0</v>
      </c>
      <c r="CC58" s="190">
        <v>0</v>
      </c>
      <c r="CD58" s="190">
        <v>0</v>
      </c>
      <c r="CE58" s="190">
        <v>0</v>
      </c>
      <c r="CF58" s="190">
        <v>0</v>
      </c>
      <c r="CG58" s="190">
        <v>-5390.1945382975391</v>
      </c>
      <c r="CH58" s="190">
        <v>0</v>
      </c>
      <c r="CI58" s="190">
        <v>5390.1945382975391</v>
      </c>
      <c r="CJ58" s="190">
        <v>0</v>
      </c>
      <c r="CK58" s="191">
        <v>0.5</v>
      </c>
      <c r="CL58" s="191">
        <v>0</v>
      </c>
    </row>
    <row r="59" spans="1:90" s="221" customFormat="1" ht="20.100000000000001" customHeight="1" outlineLevel="2" x14ac:dyDescent="0.25">
      <c r="A59" s="204" t="s">
        <v>444</v>
      </c>
      <c r="B59" s="204"/>
      <c r="C59" s="204"/>
      <c r="D59" s="204"/>
      <c r="E59" s="204"/>
      <c r="F59" s="204"/>
      <c r="G59" s="204"/>
      <c r="H59" s="204"/>
      <c r="I59" s="205"/>
      <c r="J59" s="207"/>
      <c r="K59" s="207"/>
      <c r="L59" s="209"/>
      <c r="M59" s="209"/>
      <c r="N59" s="209"/>
      <c r="O59" s="208"/>
      <c r="P59" s="209"/>
      <c r="Q59" s="209"/>
      <c r="R59" s="211">
        <v>0</v>
      </c>
      <c r="S59" s="256">
        <v>1</v>
      </c>
      <c r="T59" s="211">
        <v>0</v>
      </c>
      <c r="U59" s="212">
        <v>1084386.3662619737</v>
      </c>
      <c r="V59" s="208"/>
      <c r="W59" s="208">
        <v>319285.07707427966</v>
      </c>
      <c r="X59" s="208">
        <v>0</v>
      </c>
      <c r="Y59" s="208">
        <v>319285.07707427966</v>
      </c>
      <c r="Z59" s="208">
        <v>0</v>
      </c>
      <c r="AA59" s="208">
        <v>0</v>
      </c>
      <c r="AB59" s="208">
        <v>0</v>
      </c>
      <c r="AC59" s="212">
        <v>1072619.5703956147</v>
      </c>
      <c r="AD59" s="208">
        <v>11766.795866358967</v>
      </c>
      <c r="AE59" s="208">
        <v>0</v>
      </c>
      <c r="AF59" s="208">
        <v>-11766.795866358967</v>
      </c>
      <c r="AG59" s="208">
        <v>0</v>
      </c>
      <c r="AH59" s="213">
        <v>-72067.904197551194</v>
      </c>
      <c r="AI59" s="208">
        <v>0</v>
      </c>
      <c r="AJ59" s="208">
        <v>72067.904197551194</v>
      </c>
      <c r="AK59" s="214">
        <v>0</v>
      </c>
      <c r="AL59" s="215"/>
      <c r="AM59" s="208">
        <v>1156454.2704595251</v>
      </c>
      <c r="AN59" s="215"/>
      <c r="AO59" s="215"/>
      <c r="AP59" s="208">
        <v>1852849.0958702611</v>
      </c>
      <c r="AQ59" s="216"/>
      <c r="AR59" s="208"/>
      <c r="AS59" s="208"/>
      <c r="AT59" s="208">
        <v>-54742.321013650624</v>
      </c>
      <c r="AU59" s="208">
        <v>0</v>
      </c>
      <c r="AV59" s="208">
        <v>54742.321013650624</v>
      </c>
      <c r="AW59" s="208">
        <v>0</v>
      </c>
      <c r="AX59" s="208">
        <v>-72067.904197551194</v>
      </c>
      <c r="AY59" s="208">
        <v>0</v>
      </c>
      <c r="AZ59" s="208">
        <v>72067.904197551194</v>
      </c>
      <c r="BA59" s="208">
        <v>0</v>
      </c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9"/>
      <c r="BR59" s="209"/>
      <c r="BS59" s="218"/>
      <c r="BT59" s="209"/>
      <c r="BU59" s="219"/>
      <c r="BV59" s="209"/>
      <c r="BW59" s="220"/>
      <c r="BX59" s="220"/>
      <c r="BY59" s="208"/>
      <c r="BZ59" s="208"/>
      <c r="CA59" s="208">
        <v>0</v>
      </c>
      <c r="CB59" s="208"/>
      <c r="CC59" s="208"/>
      <c r="CD59" s="208"/>
      <c r="CE59" s="208"/>
      <c r="CF59" s="208"/>
      <c r="CG59" s="208"/>
      <c r="CH59" s="208"/>
      <c r="CI59" s="208"/>
      <c r="CJ59" s="208"/>
      <c r="CK59" s="209"/>
      <c r="CL59" s="209"/>
    </row>
    <row r="60" spans="1:90" s="236" customFormat="1" ht="30" customHeight="1" outlineLevel="1" x14ac:dyDescent="0.25">
      <c r="A60" s="204"/>
      <c r="B60" s="204" t="s">
        <v>445</v>
      </c>
      <c r="C60" s="204"/>
      <c r="D60" s="204"/>
      <c r="E60" s="204"/>
      <c r="F60" s="204"/>
      <c r="G60" s="204"/>
      <c r="H60" s="204"/>
      <c r="I60" s="205"/>
      <c r="J60" s="222"/>
      <c r="K60" s="222"/>
      <c r="L60" s="224"/>
      <c r="M60" s="224"/>
      <c r="N60" s="224"/>
      <c r="O60" s="223"/>
      <c r="P60" s="224"/>
      <c r="Q60" s="224"/>
      <c r="R60" s="226">
        <v>0</v>
      </c>
      <c r="S60" s="257">
        <v>10.1</v>
      </c>
      <c r="T60" s="226">
        <v>0</v>
      </c>
      <c r="U60" s="227">
        <v>9537116.9037619736</v>
      </c>
      <c r="V60" s="223"/>
      <c r="W60" s="223">
        <v>319285.07707427966</v>
      </c>
      <c r="X60" s="223">
        <v>0</v>
      </c>
      <c r="Y60" s="223">
        <v>319285.07707427966</v>
      </c>
      <c r="Z60" s="223">
        <v>0</v>
      </c>
      <c r="AA60" s="223">
        <v>0</v>
      </c>
      <c r="AB60" s="223">
        <v>0</v>
      </c>
      <c r="AC60" s="227">
        <v>9527250.3453956153</v>
      </c>
      <c r="AD60" s="223">
        <v>9866.5583663589641</v>
      </c>
      <c r="AE60" s="223">
        <v>0</v>
      </c>
      <c r="AF60" s="223">
        <v>-9866.5583663589641</v>
      </c>
      <c r="AG60" s="223">
        <v>0</v>
      </c>
      <c r="AH60" s="228">
        <v>-38676672.841697551</v>
      </c>
      <c r="AI60" s="223">
        <v>0</v>
      </c>
      <c r="AJ60" s="223">
        <v>38676672.841697551</v>
      </c>
      <c r="AK60" s="229">
        <v>0</v>
      </c>
      <c r="AL60" s="230"/>
      <c r="AM60" s="223">
        <v>49038559.175459526</v>
      </c>
      <c r="AN60" s="230"/>
      <c r="AO60" s="230"/>
      <c r="AP60" s="223">
        <v>10626356.011870259</v>
      </c>
      <c r="AQ60" s="231"/>
      <c r="AR60" s="223"/>
      <c r="AS60" s="223"/>
      <c r="AT60" s="223">
        <v>-50941.846013650531</v>
      </c>
      <c r="AU60" s="223">
        <v>0</v>
      </c>
      <c r="AV60" s="223">
        <v>50941.846013650531</v>
      </c>
      <c r="AW60" s="223">
        <v>0</v>
      </c>
      <c r="AX60" s="223">
        <v>-38676672.841697551</v>
      </c>
      <c r="AY60" s="223">
        <v>0</v>
      </c>
      <c r="AZ60" s="223">
        <v>38676672.841697551</v>
      </c>
      <c r="BA60" s="223">
        <v>0</v>
      </c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4"/>
      <c r="BR60" s="224"/>
      <c r="BS60" s="233"/>
      <c r="BT60" s="224"/>
      <c r="BU60" s="234"/>
      <c r="BV60" s="224"/>
      <c r="BW60" s="235"/>
      <c r="BX60" s="235"/>
      <c r="BY60" s="223"/>
      <c r="BZ60" s="223"/>
      <c r="CA60" s="223">
        <v>-824769.43</v>
      </c>
      <c r="CB60" s="223"/>
      <c r="CC60" s="223"/>
      <c r="CD60" s="223"/>
      <c r="CE60" s="223"/>
      <c r="CF60" s="223"/>
      <c r="CG60" s="223"/>
      <c r="CH60" s="223"/>
      <c r="CI60" s="223"/>
      <c r="CJ60" s="223"/>
      <c r="CK60" s="224"/>
      <c r="CL60" s="224"/>
    </row>
    <row r="61" spans="1:90" outlineLevel="3" x14ac:dyDescent="0.25">
      <c r="A61" s="129" t="s">
        <v>446</v>
      </c>
      <c r="B61" s="129" t="s">
        <v>447</v>
      </c>
      <c r="C61" s="129" t="s">
        <v>404</v>
      </c>
      <c r="D61" s="129" t="s">
        <v>405</v>
      </c>
      <c r="E61" s="129" t="s">
        <v>448</v>
      </c>
      <c r="F61" s="129" t="s">
        <v>435</v>
      </c>
      <c r="G61" s="129" t="s">
        <v>449</v>
      </c>
      <c r="H61" s="129" t="s">
        <v>450</v>
      </c>
      <c r="I61" s="187" t="s">
        <v>451</v>
      </c>
      <c r="J61" s="188">
        <v>375000</v>
      </c>
      <c r="K61" s="189">
        <v>375000</v>
      </c>
      <c r="L61" s="191">
        <v>0</v>
      </c>
      <c r="M61" s="191">
        <v>0</v>
      </c>
      <c r="N61" s="191">
        <v>0</v>
      </c>
      <c r="O61" s="190">
        <v>216.56166666666667</v>
      </c>
      <c r="P61" s="192">
        <v>216.56166666666667</v>
      </c>
      <c r="Q61" s="192">
        <v>0</v>
      </c>
      <c r="R61" s="193" t="s">
        <v>452</v>
      </c>
      <c r="S61" s="254">
        <v>0.625</v>
      </c>
      <c r="T61" s="193">
        <v>0</v>
      </c>
      <c r="U61" s="194">
        <v>81210625</v>
      </c>
      <c r="V61" s="190" t="s">
        <v>312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4">
        <v>81210625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81210625</v>
      </c>
      <c r="AN61" s="197">
        <v>0</v>
      </c>
      <c r="AO61" s="191">
        <v>0</v>
      </c>
      <c r="AP61" s="190">
        <v>81210625</v>
      </c>
      <c r="AQ61" s="198">
        <v>1</v>
      </c>
      <c r="AR61" s="190">
        <v>0</v>
      </c>
      <c r="AS61" s="190">
        <v>216.56166666666667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 t="s">
        <v>307</v>
      </c>
      <c r="BC61" s="190" t="s">
        <v>307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81210625</v>
      </c>
      <c r="BM61" s="190" t="s">
        <v>313</v>
      </c>
      <c r="BN61" s="190">
        <v>0</v>
      </c>
      <c r="BO61" s="190" t="b">
        <v>0</v>
      </c>
      <c r="BP61" s="190">
        <v>0</v>
      </c>
      <c r="BQ61" s="191">
        <v>100</v>
      </c>
      <c r="BR61" s="191">
        <v>37500000</v>
      </c>
      <c r="BS61" s="200">
        <v>73</v>
      </c>
      <c r="BT61" s="191">
        <v>0</v>
      </c>
      <c r="BU61" s="201">
        <v>0</v>
      </c>
      <c r="BV61" s="191">
        <v>78</v>
      </c>
      <c r="BW61" s="202">
        <v>0</v>
      </c>
      <c r="BX61" s="202">
        <v>0</v>
      </c>
      <c r="BY61" s="190">
        <v>0</v>
      </c>
      <c r="BZ61" s="190">
        <v>0</v>
      </c>
      <c r="CA61" s="190">
        <v>0</v>
      </c>
      <c r="CB61" s="190">
        <v>0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</v>
      </c>
      <c r="CL61" s="191">
        <v>0</v>
      </c>
    </row>
    <row r="62" spans="1:90" s="221" customFormat="1" ht="20.100000000000001" customHeight="1" outlineLevel="2" x14ac:dyDescent="0.25">
      <c r="A62" s="204" t="s">
        <v>453</v>
      </c>
      <c r="B62" s="204"/>
      <c r="C62" s="204"/>
      <c r="D62" s="204"/>
      <c r="E62" s="204"/>
      <c r="F62" s="204"/>
      <c r="G62" s="204"/>
      <c r="H62" s="204"/>
      <c r="I62" s="205"/>
      <c r="J62" s="206"/>
      <c r="K62" s="207"/>
      <c r="L62" s="209"/>
      <c r="M62" s="209"/>
      <c r="N62" s="209"/>
      <c r="O62" s="208"/>
      <c r="P62" s="210"/>
      <c r="Q62" s="210"/>
      <c r="R62" s="211">
        <v>0</v>
      </c>
      <c r="S62" s="256">
        <v>0.625</v>
      </c>
      <c r="T62" s="211">
        <v>0</v>
      </c>
      <c r="U62" s="212">
        <v>81210625</v>
      </c>
      <c r="V62" s="208"/>
      <c r="W62" s="208">
        <v>0</v>
      </c>
      <c r="X62" s="208">
        <v>0</v>
      </c>
      <c r="Y62" s="208">
        <v>0</v>
      </c>
      <c r="Z62" s="208">
        <v>0</v>
      </c>
      <c r="AA62" s="208">
        <v>0</v>
      </c>
      <c r="AB62" s="208">
        <v>0</v>
      </c>
      <c r="AC62" s="212">
        <v>81210625</v>
      </c>
      <c r="AD62" s="208">
        <v>0</v>
      </c>
      <c r="AE62" s="208">
        <v>0</v>
      </c>
      <c r="AF62" s="208">
        <v>0</v>
      </c>
      <c r="AG62" s="208">
        <v>0</v>
      </c>
      <c r="AH62" s="213">
        <v>0</v>
      </c>
      <c r="AI62" s="208">
        <v>0</v>
      </c>
      <c r="AJ62" s="208">
        <v>0</v>
      </c>
      <c r="AK62" s="214">
        <v>0</v>
      </c>
      <c r="AL62" s="215"/>
      <c r="AM62" s="208">
        <v>81210625</v>
      </c>
      <c r="AN62" s="215"/>
      <c r="AO62" s="209"/>
      <c r="AP62" s="208">
        <v>81210625</v>
      </c>
      <c r="AQ62" s="216"/>
      <c r="AR62" s="208"/>
      <c r="AS62" s="208"/>
      <c r="AT62" s="208">
        <v>0</v>
      </c>
      <c r="AU62" s="208">
        <v>0</v>
      </c>
      <c r="AV62" s="208">
        <v>0</v>
      </c>
      <c r="AW62" s="208">
        <v>0</v>
      </c>
      <c r="AX62" s="208">
        <v>0</v>
      </c>
      <c r="AY62" s="208">
        <v>0</v>
      </c>
      <c r="AZ62" s="208">
        <v>0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0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outlineLevel="3" x14ac:dyDescent="0.25">
      <c r="A63" s="129" t="s">
        <v>327</v>
      </c>
      <c r="B63" s="129" t="s">
        <v>447</v>
      </c>
      <c r="C63" s="129" t="s">
        <v>404</v>
      </c>
      <c r="D63" s="129" t="s">
        <v>405</v>
      </c>
      <c r="E63" s="129" t="s">
        <v>454</v>
      </c>
      <c r="F63" s="129" t="s">
        <v>307</v>
      </c>
      <c r="G63" s="129" t="s">
        <v>455</v>
      </c>
      <c r="H63" s="129" t="s">
        <v>309</v>
      </c>
      <c r="I63" s="187" t="s">
        <v>333</v>
      </c>
      <c r="J63" s="189">
        <v>1</v>
      </c>
      <c r="K63" s="189">
        <v>1</v>
      </c>
      <c r="L63" s="191">
        <v>0</v>
      </c>
      <c r="M63" s="191">
        <v>0</v>
      </c>
      <c r="N63" s="191">
        <v>0</v>
      </c>
      <c r="O63" s="190">
        <v>1250000</v>
      </c>
      <c r="P63" s="191">
        <v>1250000</v>
      </c>
      <c r="Q63" s="191">
        <v>0</v>
      </c>
      <c r="R63" s="193" t="s">
        <v>456</v>
      </c>
      <c r="S63" s="254">
        <v>1</v>
      </c>
      <c r="T63" s="193">
        <v>0</v>
      </c>
      <c r="U63" s="194">
        <v>1250000</v>
      </c>
      <c r="V63" s="190" t="s">
        <v>312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4">
        <v>1250000</v>
      </c>
      <c r="AD63" s="190">
        <v>0</v>
      </c>
      <c r="AE63" s="190">
        <v>0</v>
      </c>
      <c r="AF63" s="190">
        <v>0</v>
      </c>
      <c r="AG63" s="190">
        <v>0</v>
      </c>
      <c r="AH63" s="195">
        <v>0</v>
      </c>
      <c r="AI63" s="190">
        <v>0</v>
      </c>
      <c r="AJ63" s="190">
        <v>0</v>
      </c>
      <c r="AK63" s="196">
        <v>0</v>
      </c>
      <c r="AL63" s="197">
        <v>0</v>
      </c>
      <c r="AM63" s="190">
        <v>1250000</v>
      </c>
      <c r="AN63" s="191">
        <v>0</v>
      </c>
      <c r="AO63" s="197">
        <v>0</v>
      </c>
      <c r="AP63" s="190">
        <v>1250000</v>
      </c>
      <c r="AQ63" s="198">
        <v>1</v>
      </c>
      <c r="AR63" s="190">
        <v>0</v>
      </c>
      <c r="AS63" s="190">
        <v>1250000</v>
      </c>
      <c r="AT63" s="190">
        <v>0</v>
      </c>
      <c r="AU63" s="190">
        <v>0</v>
      </c>
      <c r="AV63" s="190">
        <v>0</v>
      </c>
      <c r="AW63" s="190">
        <v>0</v>
      </c>
      <c r="AX63" s="190">
        <v>0</v>
      </c>
      <c r="AY63" s="190">
        <v>0</v>
      </c>
      <c r="AZ63" s="190">
        <v>0</v>
      </c>
      <c r="BA63" s="190">
        <v>0</v>
      </c>
      <c r="BB63" s="190" t="s">
        <v>307</v>
      </c>
      <c r="BC63" s="190" t="s">
        <v>307</v>
      </c>
      <c r="BD63" s="190">
        <v>0</v>
      </c>
      <c r="BE63" s="190">
        <v>0</v>
      </c>
      <c r="BF63" s="190">
        <v>0</v>
      </c>
      <c r="BG63" s="190">
        <v>0</v>
      </c>
      <c r="BH63" s="190">
        <v>0</v>
      </c>
      <c r="BI63" s="190">
        <v>0</v>
      </c>
      <c r="BJ63" s="190">
        <v>0</v>
      </c>
      <c r="BK63" s="190">
        <v>0</v>
      </c>
      <c r="BL63" s="190">
        <v>1250000</v>
      </c>
      <c r="BM63" s="190" t="s">
        <v>313</v>
      </c>
      <c r="BN63" s="190">
        <v>0</v>
      </c>
      <c r="BO63" s="190" t="b">
        <v>0</v>
      </c>
      <c r="BP63" s="190">
        <v>0</v>
      </c>
      <c r="BQ63" s="192">
        <v>0</v>
      </c>
      <c r="BR63" s="191">
        <v>0</v>
      </c>
      <c r="BS63" s="200">
        <v>78</v>
      </c>
      <c r="BT63" s="191">
        <v>0</v>
      </c>
      <c r="BU63" s="201">
        <v>0</v>
      </c>
      <c r="BV63" s="191">
        <v>111</v>
      </c>
      <c r="BW63" s="202">
        <v>0</v>
      </c>
      <c r="BX63" s="202">
        <v>0</v>
      </c>
      <c r="BY63" s="190">
        <v>0</v>
      </c>
      <c r="BZ63" s="190">
        <v>0</v>
      </c>
      <c r="CA63" s="190">
        <v>0</v>
      </c>
      <c r="CB63" s="190">
        <v>0</v>
      </c>
      <c r="CC63" s="190">
        <v>0</v>
      </c>
      <c r="CD63" s="190">
        <v>0</v>
      </c>
      <c r="CE63" s="190">
        <v>0</v>
      </c>
      <c r="CF63" s="190">
        <v>0</v>
      </c>
      <c r="CG63" s="190">
        <v>0</v>
      </c>
      <c r="CH63" s="190">
        <v>0</v>
      </c>
      <c r="CI63" s="190">
        <v>0</v>
      </c>
      <c r="CJ63" s="190">
        <v>0</v>
      </c>
      <c r="CK63" s="191">
        <v>0</v>
      </c>
      <c r="CL63" s="191">
        <v>0</v>
      </c>
    </row>
    <row r="64" spans="1:90" outlineLevel="3" x14ac:dyDescent="0.25">
      <c r="A64" s="129" t="s">
        <v>327</v>
      </c>
      <c r="B64" s="129" t="s">
        <v>447</v>
      </c>
      <c r="C64" s="129" t="s">
        <v>404</v>
      </c>
      <c r="D64" s="129" t="s">
        <v>405</v>
      </c>
      <c r="E64" s="129" t="s">
        <v>457</v>
      </c>
      <c r="F64" s="129" t="s">
        <v>307</v>
      </c>
      <c r="G64" s="129" t="s">
        <v>449</v>
      </c>
      <c r="H64" s="237" t="s">
        <v>413</v>
      </c>
      <c r="I64" s="187" t="s">
        <v>458</v>
      </c>
      <c r="J64" s="189">
        <v>1</v>
      </c>
      <c r="K64" s="189">
        <v>1</v>
      </c>
      <c r="L64" s="191">
        <v>0</v>
      </c>
      <c r="M64" s="191">
        <v>0</v>
      </c>
      <c r="N64" s="191">
        <v>0</v>
      </c>
      <c r="O64" s="190">
        <v>1663000</v>
      </c>
      <c r="P64" s="191">
        <v>1663000</v>
      </c>
      <c r="Q64" s="191">
        <v>0</v>
      </c>
      <c r="R64" s="193" t="s">
        <v>459</v>
      </c>
      <c r="S64" s="254">
        <v>1</v>
      </c>
      <c r="T64" s="193">
        <v>0</v>
      </c>
      <c r="U64" s="194">
        <v>1663000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1663000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1663000</v>
      </c>
      <c r="AN64" s="191">
        <v>0</v>
      </c>
      <c r="AO64" s="197">
        <v>0</v>
      </c>
      <c r="AP64" s="190">
        <v>1663000</v>
      </c>
      <c r="AQ64" s="198">
        <v>1</v>
      </c>
      <c r="AR64" s="190">
        <v>0</v>
      </c>
      <c r="AS64" s="190">
        <v>1663000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1663000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0</v>
      </c>
      <c r="BR64" s="191">
        <v>0</v>
      </c>
      <c r="BS64" s="200">
        <v>78</v>
      </c>
      <c r="BT64" s="191">
        <v>0</v>
      </c>
      <c r="BU64" s="201">
        <v>0</v>
      </c>
      <c r="BV64" s="191">
        <v>115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25">
      <c r="A65" s="204" t="s">
        <v>347</v>
      </c>
      <c r="B65" s="204"/>
      <c r="C65" s="204"/>
      <c r="D65" s="204"/>
      <c r="E65" s="204"/>
      <c r="F65" s="204"/>
      <c r="G65" s="204"/>
      <c r="H65" s="238"/>
      <c r="I65" s="205"/>
      <c r="J65" s="207"/>
      <c r="K65" s="207"/>
      <c r="L65" s="209"/>
      <c r="M65" s="209"/>
      <c r="N65" s="209"/>
      <c r="O65" s="208"/>
      <c r="P65" s="209"/>
      <c r="Q65" s="209"/>
      <c r="R65" s="211">
        <v>0</v>
      </c>
      <c r="S65" s="256">
        <v>2</v>
      </c>
      <c r="T65" s="211">
        <v>0</v>
      </c>
      <c r="U65" s="212">
        <v>2913000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2913000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2913000</v>
      </c>
      <c r="AN65" s="209"/>
      <c r="AO65" s="215"/>
      <c r="AP65" s="208">
        <v>2913000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25">
      <c r="A66" s="129" t="s">
        <v>409</v>
      </c>
      <c r="B66" s="129" t="s">
        <v>447</v>
      </c>
      <c r="C66" s="129" t="s">
        <v>404</v>
      </c>
      <c r="D66" s="129" t="s">
        <v>405</v>
      </c>
      <c r="E66" s="129" t="s">
        <v>460</v>
      </c>
      <c r="F66" s="129" t="s">
        <v>307</v>
      </c>
      <c r="G66" s="129" t="s">
        <v>449</v>
      </c>
      <c r="H66" s="237" t="s">
        <v>413</v>
      </c>
      <c r="I66" s="187" t="s">
        <v>310</v>
      </c>
      <c r="J66" s="188">
        <v>1000</v>
      </c>
      <c r="K66" s="189">
        <v>1000</v>
      </c>
      <c r="L66" s="191">
        <v>0</v>
      </c>
      <c r="M66" s="191">
        <v>0</v>
      </c>
      <c r="N66" s="191">
        <v>1</v>
      </c>
      <c r="O66" s="190">
        <v>1360</v>
      </c>
      <c r="P66" s="192">
        <v>1360</v>
      </c>
      <c r="Q66" s="192">
        <v>0</v>
      </c>
      <c r="R66" s="193" t="s">
        <v>461</v>
      </c>
      <c r="S66" s="254">
        <v>1</v>
      </c>
      <c r="T66" s="193">
        <v>0</v>
      </c>
      <c r="U66" s="194">
        <v>1360000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1360000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1360000</v>
      </c>
      <c r="AN66" s="197">
        <v>0</v>
      </c>
      <c r="AO66" s="191">
        <v>0</v>
      </c>
      <c r="AP66" s="190">
        <v>1360000</v>
      </c>
      <c r="AQ66" s="198">
        <v>1</v>
      </c>
      <c r="AR66" s="190">
        <v>1360000</v>
      </c>
      <c r="AS66" s="190">
        <v>1360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202">
        <v>1360000</v>
      </c>
      <c r="BM66" s="190" t="s">
        <v>313</v>
      </c>
      <c r="BN66" s="190">
        <v>0</v>
      </c>
      <c r="BO66" s="190" t="b">
        <v>0</v>
      </c>
      <c r="BP66" s="190">
        <v>0</v>
      </c>
      <c r="BQ66" s="191">
        <v>2360</v>
      </c>
      <c r="BR66" s="191">
        <v>2360000</v>
      </c>
      <c r="BS66" s="200">
        <v>72</v>
      </c>
      <c r="BT66" s="191">
        <v>0</v>
      </c>
      <c r="BU66" s="201">
        <v>0</v>
      </c>
      <c r="BV66" s="191">
        <v>35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s="221" customFormat="1" ht="20.100000000000001" customHeight="1" outlineLevel="2" x14ac:dyDescent="0.25">
      <c r="A67" s="204" t="s">
        <v>418</v>
      </c>
      <c r="B67" s="204"/>
      <c r="C67" s="204"/>
      <c r="D67" s="204"/>
      <c r="E67" s="204"/>
      <c r="F67" s="204"/>
      <c r="G67" s="204"/>
      <c r="H67" s="238"/>
      <c r="I67" s="205"/>
      <c r="J67" s="206"/>
      <c r="K67" s="207"/>
      <c r="L67" s="209"/>
      <c r="M67" s="209"/>
      <c r="N67" s="209"/>
      <c r="O67" s="208"/>
      <c r="P67" s="210"/>
      <c r="Q67" s="210"/>
      <c r="R67" s="211">
        <v>0</v>
      </c>
      <c r="S67" s="256">
        <v>1</v>
      </c>
      <c r="T67" s="211">
        <v>0</v>
      </c>
      <c r="U67" s="212">
        <v>1360000</v>
      </c>
      <c r="V67" s="208"/>
      <c r="W67" s="208">
        <v>0</v>
      </c>
      <c r="X67" s="208">
        <v>0</v>
      </c>
      <c r="Y67" s="208">
        <v>0</v>
      </c>
      <c r="Z67" s="208">
        <v>0</v>
      </c>
      <c r="AA67" s="208">
        <v>0</v>
      </c>
      <c r="AB67" s="208">
        <v>0</v>
      </c>
      <c r="AC67" s="212">
        <v>1360000</v>
      </c>
      <c r="AD67" s="208">
        <v>0</v>
      </c>
      <c r="AE67" s="208">
        <v>0</v>
      </c>
      <c r="AF67" s="208">
        <v>0</v>
      </c>
      <c r="AG67" s="208">
        <v>0</v>
      </c>
      <c r="AH67" s="213">
        <v>0</v>
      </c>
      <c r="AI67" s="208">
        <v>0</v>
      </c>
      <c r="AJ67" s="208">
        <v>0</v>
      </c>
      <c r="AK67" s="214">
        <v>0</v>
      </c>
      <c r="AL67" s="215"/>
      <c r="AM67" s="208">
        <v>1360000</v>
      </c>
      <c r="AN67" s="215"/>
      <c r="AO67" s="209"/>
      <c r="AP67" s="208">
        <v>1360000</v>
      </c>
      <c r="AQ67" s="216"/>
      <c r="AR67" s="208"/>
      <c r="AS67" s="208"/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20"/>
      <c r="BM67" s="208"/>
      <c r="BN67" s="208"/>
      <c r="BO67" s="208"/>
      <c r="BP67" s="208"/>
      <c r="BQ67" s="209"/>
      <c r="BR67" s="209"/>
      <c r="BS67" s="218"/>
      <c r="BT67" s="209"/>
      <c r="BU67" s="219"/>
      <c r="BV67" s="209"/>
      <c r="BW67" s="220"/>
      <c r="BX67" s="220"/>
      <c r="BY67" s="208"/>
      <c r="BZ67" s="208"/>
      <c r="CA67" s="208">
        <v>0</v>
      </c>
      <c r="CB67" s="208"/>
      <c r="CC67" s="208"/>
      <c r="CD67" s="208"/>
      <c r="CE67" s="208"/>
      <c r="CF67" s="208"/>
      <c r="CG67" s="208"/>
      <c r="CH67" s="208"/>
      <c r="CI67" s="208"/>
      <c r="CJ67" s="208"/>
      <c r="CK67" s="209"/>
      <c r="CL67" s="209"/>
    </row>
    <row r="68" spans="1:90" outlineLevel="3" x14ac:dyDescent="0.25">
      <c r="A68" s="129" t="s">
        <v>378</v>
      </c>
      <c r="B68" s="129" t="s">
        <v>447</v>
      </c>
      <c r="C68" s="129" t="s">
        <v>404</v>
      </c>
      <c r="D68" s="129" t="s">
        <v>405</v>
      </c>
      <c r="E68" s="129" t="s">
        <v>462</v>
      </c>
      <c r="F68" s="129" t="s">
        <v>463</v>
      </c>
      <c r="G68" s="129" t="s">
        <v>455</v>
      </c>
      <c r="H68" s="129" t="s">
        <v>323</v>
      </c>
      <c r="I68" s="187" t="s">
        <v>310</v>
      </c>
      <c r="J68" s="189">
        <v>59891</v>
      </c>
      <c r="K68" s="189">
        <v>59891</v>
      </c>
      <c r="L68" s="191">
        <v>0</v>
      </c>
      <c r="M68" s="191">
        <v>0</v>
      </c>
      <c r="N68" s="191">
        <v>1</v>
      </c>
      <c r="O68" s="190">
        <v>5.8125</v>
      </c>
      <c r="P68" s="192">
        <v>5.625</v>
      </c>
      <c r="Q68" s="192">
        <v>0.1875</v>
      </c>
      <c r="R68" s="193" t="s">
        <v>464</v>
      </c>
      <c r="S68" s="254">
        <v>0.5</v>
      </c>
      <c r="T68" s="193">
        <v>0</v>
      </c>
      <c r="U68" s="194">
        <v>348116.4375</v>
      </c>
      <c r="V68" s="190" t="s">
        <v>312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4">
        <v>336886.875</v>
      </c>
      <c r="AD68" s="190">
        <v>11229.5625</v>
      </c>
      <c r="AE68" s="190">
        <v>0</v>
      </c>
      <c r="AF68" s="190">
        <v>-11229.5625</v>
      </c>
      <c r="AG68" s="190">
        <v>0</v>
      </c>
      <c r="AH68" s="195">
        <v>78606.9375</v>
      </c>
      <c r="AI68" s="190">
        <v>0</v>
      </c>
      <c r="AJ68" s="190">
        <v>-78606.9375</v>
      </c>
      <c r="AK68" s="196">
        <v>0</v>
      </c>
      <c r="AL68" s="197">
        <v>0</v>
      </c>
      <c r="AM68" s="190">
        <v>269509.5</v>
      </c>
      <c r="AN68" s="191">
        <v>0</v>
      </c>
      <c r="AO68" s="197">
        <v>0</v>
      </c>
      <c r="AP68" s="190">
        <v>385548.3125</v>
      </c>
      <c r="AQ68" s="198">
        <v>1</v>
      </c>
      <c r="AR68" s="190">
        <v>348116.4375</v>
      </c>
      <c r="AS68" s="190">
        <v>5.8125</v>
      </c>
      <c r="AT68" s="190">
        <v>48661.4375</v>
      </c>
      <c r="AU68" s="190">
        <v>0</v>
      </c>
      <c r="AV68" s="190">
        <v>-48661.4375</v>
      </c>
      <c r="AW68" s="190">
        <v>0</v>
      </c>
      <c r="AX68" s="190">
        <v>78606.9375</v>
      </c>
      <c r="AY68" s="190">
        <v>0</v>
      </c>
      <c r="AZ68" s="190">
        <v>-78606.9375</v>
      </c>
      <c r="BA68" s="190">
        <v>0</v>
      </c>
      <c r="BB68" s="190">
        <v>5.8125</v>
      </c>
      <c r="BC68" s="190">
        <v>5.625</v>
      </c>
      <c r="BD68" s="190">
        <v>37431.875</v>
      </c>
      <c r="BE68" s="190">
        <v>0</v>
      </c>
      <c r="BF68" s="190">
        <v>-37431.875</v>
      </c>
      <c r="BG68" s="190">
        <v>0</v>
      </c>
      <c r="BH68" s="190">
        <v>67377.375</v>
      </c>
      <c r="BI68" s="190">
        <v>0</v>
      </c>
      <c r="BJ68" s="190">
        <v>-67377.375</v>
      </c>
      <c r="BK68" s="190">
        <v>0</v>
      </c>
      <c r="BL68" s="190">
        <v>385548.3125</v>
      </c>
      <c r="BM68" s="190" t="s">
        <v>324</v>
      </c>
      <c r="BN68" s="190">
        <v>0</v>
      </c>
      <c r="BO68" s="190" t="b">
        <v>0</v>
      </c>
      <c r="BP68" s="190">
        <v>-67377.375</v>
      </c>
      <c r="BQ68" s="192">
        <v>1.1200000000000001</v>
      </c>
      <c r="BR68" s="191">
        <v>67077.919999999998</v>
      </c>
      <c r="BS68" s="200">
        <v>71</v>
      </c>
      <c r="BT68" s="191">
        <v>11229.5625</v>
      </c>
      <c r="BU68" s="201">
        <v>59891</v>
      </c>
      <c r="BV68" s="191">
        <v>6</v>
      </c>
      <c r="BW68" s="202">
        <v>5.8125</v>
      </c>
      <c r="BX68" s="202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67377.375</v>
      </c>
      <c r="CH68" s="190">
        <v>0</v>
      </c>
      <c r="CI68" s="190">
        <v>-67377.375</v>
      </c>
      <c r="CJ68" s="190">
        <v>0</v>
      </c>
      <c r="CK68" s="191">
        <v>0</v>
      </c>
      <c r="CL68" s="191">
        <v>0</v>
      </c>
    </row>
    <row r="69" spans="1:90" outlineLevel="3" x14ac:dyDescent="0.25">
      <c r="A69" s="129" t="s">
        <v>378</v>
      </c>
      <c r="B69" s="129" t="s">
        <v>447</v>
      </c>
      <c r="C69" s="129" t="s">
        <v>404</v>
      </c>
      <c r="D69" s="129" t="s">
        <v>405</v>
      </c>
      <c r="E69" s="129" t="s">
        <v>466</v>
      </c>
      <c r="F69" s="129" t="s">
        <v>467</v>
      </c>
      <c r="G69" s="129" t="s">
        <v>455</v>
      </c>
      <c r="H69" s="129" t="s">
        <v>323</v>
      </c>
      <c r="I69" s="187" t="s">
        <v>310</v>
      </c>
      <c r="J69" s="189">
        <v>1339286</v>
      </c>
      <c r="K69" s="189">
        <v>1339286</v>
      </c>
      <c r="L69" s="191">
        <v>0</v>
      </c>
      <c r="M69" s="191">
        <v>0.03</v>
      </c>
      <c r="N69" s="191">
        <v>1</v>
      </c>
      <c r="O69" s="190">
        <v>15</v>
      </c>
      <c r="P69" s="192">
        <v>14.875</v>
      </c>
      <c r="Q69" s="192">
        <v>0.125</v>
      </c>
      <c r="R69" s="193">
        <v>0</v>
      </c>
      <c r="S69" s="254">
        <v>1</v>
      </c>
      <c r="T69" s="193">
        <v>0</v>
      </c>
      <c r="U69" s="194">
        <v>20089290</v>
      </c>
      <c r="V69" s="190" t="s">
        <v>312</v>
      </c>
      <c r="W69" s="190">
        <v>602678.69999999995</v>
      </c>
      <c r="X69" s="190">
        <v>0</v>
      </c>
      <c r="Y69" s="190">
        <v>602678.69999999995</v>
      </c>
      <c r="Z69" s="190">
        <v>0</v>
      </c>
      <c r="AA69" s="190">
        <v>0</v>
      </c>
      <c r="AB69" s="190">
        <v>0</v>
      </c>
      <c r="AC69" s="194">
        <v>19921879.25</v>
      </c>
      <c r="AD69" s="190">
        <v>167410.75</v>
      </c>
      <c r="AE69" s="190">
        <v>0</v>
      </c>
      <c r="AF69" s="190">
        <v>-167410.75</v>
      </c>
      <c r="AG69" s="190">
        <v>0</v>
      </c>
      <c r="AH69" s="195">
        <v>-3013393.5</v>
      </c>
      <c r="AI69" s="190">
        <v>0</v>
      </c>
      <c r="AJ69" s="190">
        <v>3013393.5</v>
      </c>
      <c r="AK69" s="196">
        <v>0</v>
      </c>
      <c r="AL69" s="197">
        <v>0</v>
      </c>
      <c r="AM69" s="190">
        <v>23102683.5</v>
      </c>
      <c r="AN69" s="191">
        <v>0</v>
      </c>
      <c r="AO69" s="197">
        <v>0</v>
      </c>
      <c r="AP69" s="190">
        <v>0</v>
      </c>
      <c r="AQ69" s="198">
        <v>1</v>
      </c>
      <c r="AR69" s="190">
        <v>20089290</v>
      </c>
      <c r="AS69" s="190">
        <v>15</v>
      </c>
      <c r="AT69" s="190">
        <v>-2176339.75</v>
      </c>
      <c r="AU69" s="190">
        <v>0</v>
      </c>
      <c r="AV69" s="190">
        <v>2176339.75</v>
      </c>
      <c r="AW69" s="190">
        <v>0</v>
      </c>
      <c r="AX69" s="190">
        <v>-3013393.5</v>
      </c>
      <c r="AY69" s="190">
        <v>0</v>
      </c>
      <c r="AZ69" s="190">
        <v>3013393.5</v>
      </c>
      <c r="BA69" s="190">
        <v>0</v>
      </c>
      <c r="BB69" s="190">
        <v>15</v>
      </c>
      <c r="BC69" s="190">
        <v>14.875</v>
      </c>
      <c r="BD69" s="190">
        <v>-2343750.5</v>
      </c>
      <c r="BE69" s="190">
        <v>0</v>
      </c>
      <c r="BF69" s="190">
        <v>2343750.5</v>
      </c>
      <c r="BG69" s="190">
        <v>0</v>
      </c>
      <c r="BH69" s="190">
        <v>-3180804.25</v>
      </c>
      <c r="BI69" s="190">
        <v>0</v>
      </c>
      <c r="BJ69" s="190">
        <v>3180804.25</v>
      </c>
      <c r="BK69" s="190">
        <v>0</v>
      </c>
      <c r="BL69" s="190">
        <v>0</v>
      </c>
      <c r="BM69" s="190" t="s">
        <v>324</v>
      </c>
      <c r="BN69" s="190">
        <v>0</v>
      </c>
      <c r="BO69" s="190" t="b">
        <v>0</v>
      </c>
      <c r="BP69" s="190">
        <v>3180804.25</v>
      </c>
      <c r="BQ69" s="192">
        <v>0</v>
      </c>
      <c r="BR69" s="191">
        <v>0</v>
      </c>
      <c r="BS69" s="200">
        <v>71</v>
      </c>
      <c r="BT69" s="191">
        <v>167410.75</v>
      </c>
      <c r="BU69" s="201">
        <v>1339286</v>
      </c>
      <c r="BV69" s="191">
        <v>22</v>
      </c>
      <c r="BW69" s="202">
        <v>15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-3180804.25</v>
      </c>
      <c r="CH69" s="190">
        <v>0</v>
      </c>
      <c r="CI69" s="190">
        <v>3180804.25</v>
      </c>
      <c r="CJ69" s="190">
        <v>0</v>
      </c>
      <c r="CK69" s="191">
        <v>0.03</v>
      </c>
      <c r="CL69" s="191">
        <v>0</v>
      </c>
    </row>
    <row r="70" spans="1:90" s="221" customFormat="1" ht="20.100000000000001" customHeight="1" outlineLevel="2" x14ac:dyDescent="0.25">
      <c r="A70" s="204" t="s">
        <v>386</v>
      </c>
      <c r="B70" s="204"/>
      <c r="C70" s="204"/>
      <c r="D70" s="204"/>
      <c r="E70" s="204"/>
      <c r="F70" s="204"/>
      <c r="G70" s="204"/>
      <c r="H70" s="204"/>
      <c r="I70" s="205"/>
      <c r="J70" s="207"/>
      <c r="K70" s="207"/>
      <c r="L70" s="209"/>
      <c r="M70" s="209"/>
      <c r="N70" s="209"/>
      <c r="O70" s="208"/>
      <c r="P70" s="210"/>
      <c r="Q70" s="210"/>
      <c r="R70" s="211">
        <v>0</v>
      </c>
      <c r="S70" s="256">
        <v>1.5</v>
      </c>
      <c r="T70" s="211">
        <v>0</v>
      </c>
      <c r="U70" s="212">
        <v>20437406.4375</v>
      </c>
      <c r="V70" s="208"/>
      <c r="W70" s="208">
        <v>602678.69999999995</v>
      </c>
      <c r="X70" s="208">
        <v>0</v>
      </c>
      <c r="Y70" s="208">
        <v>602678.69999999995</v>
      </c>
      <c r="Z70" s="208">
        <v>0</v>
      </c>
      <c r="AA70" s="208">
        <v>0</v>
      </c>
      <c r="AB70" s="208">
        <v>0</v>
      </c>
      <c r="AC70" s="212">
        <v>20258766.125</v>
      </c>
      <c r="AD70" s="208">
        <v>178640.3125</v>
      </c>
      <c r="AE70" s="208">
        <v>0</v>
      </c>
      <c r="AF70" s="208">
        <v>-178640.3125</v>
      </c>
      <c r="AG70" s="208">
        <v>0</v>
      </c>
      <c r="AH70" s="213">
        <v>-2934786.5625</v>
      </c>
      <c r="AI70" s="208">
        <v>0</v>
      </c>
      <c r="AJ70" s="208">
        <v>2934786.5625</v>
      </c>
      <c r="AK70" s="214">
        <v>0</v>
      </c>
      <c r="AL70" s="215"/>
      <c r="AM70" s="208">
        <v>23372193</v>
      </c>
      <c r="AN70" s="209"/>
      <c r="AO70" s="215"/>
      <c r="AP70" s="208">
        <v>385548.3125</v>
      </c>
      <c r="AQ70" s="216"/>
      <c r="AR70" s="208"/>
      <c r="AS70" s="208"/>
      <c r="AT70" s="208">
        <v>-2127678.3125</v>
      </c>
      <c r="AU70" s="208">
        <v>0</v>
      </c>
      <c r="AV70" s="208">
        <v>2127678.3125</v>
      </c>
      <c r="AW70" s="208">
        <v>0</v>
      </c>
      <c r="AX70" s="208">
        <v>-2934786.5625</v>
      </c>
      <c r="AY70" s="208">
        <v>0</v>
      </c>
      <c r="AZ70" s="208">
        <v>2934786.5625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10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25">
      <c r="A71" s="129" t="s">
        <v>368</v>
      </c>
      <c r="B71" s="129" t="s">
        <v>447</v>
      </c>
      <c r="C71" s="129" t="s">
        <v>404</v>
      </c>
      <c r="D71" s="129" t="s">
        <v>405</v>
      </c>
      <c r="E71" s="129" t="s">
        <v>468</v>
      </c>
      <c r="F71" s="129" t="s">
        <v>307</v>
      </c>
      <c r="G71" s="129" t="s">
        <v>455</v>
      </c>
      <c r="H71" s="129" t="s">
        <v>309</v>
      </c>
      <c r="I71" s="187" t="s">
        <v>374</v>
      </c>
      <c r="J71" s="189">
        <v>1</v>
      </c>
      <c r="K71" s="189">
        <v>1</v>
      </c>
      <c r="L71" s="191">
        <v>0</v>
      </c>
      <c r="M71" s="191">
        <v>0</v>
      </c>
      <c r="N71" s="191">
        <v>0</v>
      </c>
      <c r="O71" s="190">
        <v>2013591.6599838899</v>
      </c>
      <c r="P71" s="191">
        <v>2013591.6599838899</v>
      </c>
      <c r="Q71" s="191">
        <v>0</v>
      </c>
      <c r="R71" s="193" t="s">
        <v>469</v>
      </c>
      <c r="S71" s="258">
        <v>0.75</v>
      </c>
      <c r="T71" s="193">
        <v>0</v>
      </c>
      <c r="U71" s="194">
        <v>2013591.6599838899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2013591.6599838899</v>
      </c>
      <c r="AD71" s="190">
        <v>0</v>
      </c>
      <c r="AE71" s="190">
        <v>0</v>
      </c>
      <c r="AF71" s="190">
        <v>0</v>
      </c>
      <c r="AG71" s="190">
        <v>0</v>
      </c>
      <c r="AH71" s="195">
        <v>0</v>
      </c>
      <c r="AI71" s="190">
        <v>0</v>
      </c>
      <c r="AJ71" s="190">
        <v>0</v>
      </c>
      <c r="AK71" s="196">
        <v>0</v>
      </c>
      <c r="AL71" s="197">
        <v>0</v>
      </c>
      <c r="AM71" s="190">
        <v>2013591.6599838899</v>
      </c>
      <c r="AN71" s="191">
        <v>0</v>
      </c>
      <c r="AO71" s="197">
        <v>0</v>
      </c>
      <c r="AP71" s="190">
        <v>2002698.811523003</v>
      </c>
      <c r="AQ71" s="198">
        <v>1</v>
      </c>
      <c r="AR71" s="190">
        <v>0</v>
      </c>
      <c r="AS71" s="190">
        <v>2013591.6599838899</v>
      </c>
      <c r="AT71" s="190">
        <v>0</v>
      </c>
      <c r="AU71" s="190">
        <v>0</v>
      </c>
      <c r="AV71" s="190">
        <v>0</v>
      </c>
      <c r="AW71" s="190">
        <v>0</v>
      </c>
      <c r="AX71" s="190">
        <v>0</v>
      </c>
      <c r="AY71" s="190">
        <v>0</v>
      </c>
      <c r="AZ71" s="190">
        <v>0</v>
      </c>
      <c r="BA71" s="190">
        <v>0</v>
      </c>
      <c r="BB71" s="190" t="s">
        <v>307</v>
      </c>
      <c r="BC71" s="190" t="s">
        <v>307</v>
      </c>
      <c r="BD71" s="190">
        <v>0</v>
      </c>
      <c r="BE71" s="190">
        <v>0</v>
      </c>
      <c r="BF71" s="190">
        <v>0</v>
      </c>
      <c r="BG71" s="190">
        <v>0</v>
      </c>
      <c r="BH71" s="190">
        <v>0</v>
      </c>
      <c r="BI71" s="190">
        <v>0</v>
      </c>
      <c r="BJ71" s="190">
        <v>0</v>
      </c>
      <c r="BK71" s="190">
        <v>0</v>
      </c>
      <c r="BL71" s="190">
        <v>2002698.811523003</v>
      </c>
      <c r="BM71" s="190" t="s">
        <v>324</v>
      </c>
      <c r="BN71" s="190">
        <v>0</v>
      </c>
      <c r="BO71" s="190" t="b">
        <v>0</v>
      </c>
      <c r="BP71" s="190">
        <v>0</v>
      </c>
      <c r="BQ71" s="192">
        <v>0</v>
      </c>
      <c r="BR71" s="191">
        <v>0</v>
      </c>
      <c r="BS71" s="200">
        <v>79</v>
      </c>
      <c r="BT71" s="191">
        <v>0</v>
      </c>
      <c r="BU71" s="201">
        <v>0</v>
      </c>
      <c r="BV71" s="191">
        <v>153</v>
      </c>
      <c r="BW71" s="202">
        <v>0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0</v>
      </c>
      <c r="CH71" s="190">
        <v>0</v>
      </c>
      <c r="CI71" s="190">
        <v>0</v>
      </c>
      <c r="CJ71" s="190">
        <v>0</v>
      </c>
      <c r="CK71" s="191">
        <v>0</v>
      </c>
      <c r="CL71" s="191">
        <v>0</v>
      </c>
    </row>
    <row r="72" spans="1:90" s="221" customFormat="1" ht="20.100000000000001" customHeight="1" outlineLevel="2" x14ac:dyDescent="0.25">
      <c r="A72" s="204" t="s">
        <v>376</v>
      </c>
      <c r="B72" s="204"/>
      <c r="C72" s="204"/>
      <c r="D72" s="204"/>
      <c r="E72" s="204"/>
      <c r="F72" s="204"/>
      <c r="G72" s="204"/>
      <c r="H72" s="204"/>
      <c r="I72" s="205"/>
      <c r="J72" s="207"/>
      <c r="K72" s="207"/>
      <c r="L72" s="209"/>
      <c r="M72" s="209"/>
      <c r="N72" s="209"/>
      <c r="O72" s="208"/>
      <c r="P72" s="209"/>
      <c r="Q72" s="209"/>
      <c r="R72" s="211">
        <v>0</v>
      </c>
      <c r="S72" s="259">
        <v>0.75</v>
      </c>
      <c r="T72" s="211">
        <v>0</v>
      </c>
      <c r="U72" s="212">
        <v>2013591.6599838899</v>
      </c>
      <c r="V72" s="208"/>
      <c r="W72" s="208">
        <v>0</v>
      </c>
      <c r="X72" s="208">
        <v>0</v>
      </c>
      <c r="Y72" s="208">
        <v>0</v>
      </c>
      <c r="Z72" s="208">
        <v>0</v>
      </c>
      <c r="AA72" s="208">
        <v>0</v>
      </c>
      <c r="AB72" s="208">
        <v>0</v>
      </c>
      <c r="AC72" s="212">
        <v>2013591.6599838899</v>
      </c>
      <c r="AD72" s="208">
        <v>0</v>
      </c>
      <c r="AE72" s="208">
        <v>0</v>
      </c>
      <c r="AF72" s="208">
        <v>0</v>
      </c>
      <c r="AG72" s="208">
        <v>0</v>
      </c>
      <c r="AH72" s="213">
        <v>0</v>
      </c>
      <c r="AI72" s="208">
        <v>0</v>
      </c>
      <c r="AJ72" s="208">
        <v>0</v>
      </c>
      <c r="AK72" s="214">
        <v>0</v>
      </c>
      <c r="AL72" s="215"/>
      <c r="AM72" s="208">
        <v>2013591.6599838899</v>
      </c>
      <c r="AN72" s="209"/>
      <c r="AO72" s="215"/>
      <c r="AP72" s="208">
        <v>2002698.811523003</v>
      </c>
      <c r="AQ72" s="216"/>
      <c r="AR72" s="208"/>
      <c r="AS72" s="208"/>
      <c r="AT72" s="208">
        <v>0</v>
      </c>
      <c r="AU72" s="208">
        <v>0</v>
      </c>
      <c r="AV72" s="208">
        <v>0</v>
      </c>
      <c r="AW72" s="208">
        <v>0</v>
      </c>
      <c r="AX72" s="208">
        <v>0</v>
      </c>
      <c r="AY72" s="208">
        <v>0</v>
      </c>
      <c r="AZ72" s="208">
        <v>0</v>
      </c>
      <c r="BA72" s="208">
        <v>0</v>
      </c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10"/>
      <c r="BR72" s="209"/>
      <c r="BS72" s="218"/>
      <c r="BT72" s="209"/>
      <c r="BU72" s="219"/>
      <c r="BV72" s="209"/>
      <c r="BW72" s="220"/>
      <c r="BX72" s="220"/>
      <c r="BY72" s="208"/>
      <c r="BZ72" s="208"/>
      <c r="CA72" s="208">
        <v>0</v>
      </c>
      <c r="CB72" s="208"/>
      <c r="CC72" s="208"/>
      <c r="CD72" s="208"/>
      <c r="CE72" s="208"/>
      <c r="CF72" s="208"/>
      <c r="CG72" s="208"/>
      <c r="CH72" s="208"/>
      <c r="CI72" s="208"/>
      <c r="CJ72" s="208"/>
      <c r="CK72" s="209"/>
      <c r="CL72" s="209"/>
    </row>
    <row r="73" spans="1:90" outlineLevel="3" x14ac:dyDescent="0.25">
      <c r="A73" s="129" t="s">
        <v>433</v>
      </c>
      <c r="B73" s="129" t="s">
        <v>447</v>
      </c>
      <c r="C73" s="129" t="s">
        <v>404</v>
      </c>
      <c r="D73" s="129" t="s">
        <v>405</v>
      </c>
      <c r="E73" s="129" t="s">
        <v>487</v>
      </c>
      <c r="F73" s="129" t="s">
        <v>435</v>
      </c>
      <c r="G73" s="129" t="s">
        <v>449</v>
      </c>
      <c r="H73" s="129" t="s">
        <v>356</v>
      </c>
      <c r="I73" s="187" t="s">
        <v>356</v>
      </c>
      <c r="J73" s="188">
        <v>1</v>
      </c>
      <c r="K73" s="189">
        <v>1</v>
      </c>
      <c r="L73" s="191">
        <v>0</v>
      </c>
      <c r="M73" s="191">
        <v>0</v>
      </c>
      <c r="N73" s="191">
        <v>1</v>
      </c>
      <c r="O73" s="190">
        <v>23513434.5</v>
      </c>
      <c r="P73" s="191">
        <v>23513434.5</v>
      </c>
      <c r="Q73" s="191">
        <v>0</v>
      </c>
      <c r="R73" s="193" t="s">
        <v>470</v>
      </c>
      <c r="S73" s="254">
        <v>0.75</v>
      </c>
      <c r="T73" s="193">
        <v>0</v>
      </c>
      <c r="U73" s="194">
        <v>23513434.5</v>
      </c>
      <c r="V73" s="190" t="s">
        <v>312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4">
        <v>23513434.5</v>
      </c>
      <c r="AD73" s="190">
        <v>0</v>
      </c>
      <c r="AE73" s="190">
        <v>0</v>
      </c>
      <c r="AF73" s="190">
        <v>0</v>
      </c>
      <c r="AG73" s="190">
        <v>0</v>
      </c>
      <c r="AH73" s="195">
        <v>0</v>
      </c>
      <c r="AI73" s="190">
        <v>0</v>
      </c>
      <c r="AJ73" s="190">
        <v>0</v>
      </c>
      <c r="AK73" s="196">
        <v>0</v>
      </c>
      <c r="AL73" s="197">
        <v>0</v>
      </c>
      <c r="AM73" s="190">
        <v>23513434.5</v>
      </c>
      <c r="AN73" s="197">
        <v>0</v>
      </c>
      <c r="AO73" s="197">
        <v>0</v>
      </c>
      <c r="AP73" s="190">
        <v>23513434.5</v>
      </c>
      <c r="AQ73" s="198">
        <v>1</v>
      </c>
      <c r="AR73" s="190">
        <v>23513434.5</v>
      </c>
      <c r="AS73" s="190">
        <v>23513434.5</v>
      </c>
      <c r="AT73" s="190">
        <v>0</v>
      </c>
      <c r="AU73" s="190">
        <v>0</v>
      </c>
      <c r="AV73" s="190">
        <v>0</v>
      </c>
      <c r="AW73" s="190">
        <v>0</v>
      </c>
      <c r="AX73" s="190">
        <v>0</v>
      </c>
      <c r="AY73" s="190">
        <v>0</v>
      </c>
      <c r="AZ73" s="190">
        <v>0</v>
      </c>
      <c r="BA73" s="190">
        <v>0</v>
      </c>
      <c r="BB73" s="190" t="s">
        <v>307</v>
      </c>
      <c r="BC73" s="190" t="s">
        <v>307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190">
        <v>0</v>
      </c>
      <c r="BK73" s="190">
        <v>0</v>
      </c>
      <c r="BL73" s="190">
        <v>23513434.5</v>
      </c>
      <c r="BM73" s="190" t="s">
        <v>313</v>
      </c>
      <c r="BN73" s="190">
        <v>0</v>
      </c>
      <c r="BO73" s="190" t="b">
        <v>0</v>
      </c>
      <c r="BP73" s="190">
        <v>0</v>
      </c>
      <c r="BQ73" s="191">
        <v>0</v>
      </c>
      <c r="BR73" s="191">
        <v>0</v>
      </c>
      <c r="BS73" s="200">
        <v>74</v>
      </c>
      <c r="BT73" s="191">
        <v>0</v>
      </c>
      <c r="BU73" s="201">
        <v>0</v>
      </c>
      <c r="BV73" s="191">
        <v>81</v>
      </c>
      <c r="BW73" s="202">
        <v>0</v>
      </c>
      <c r="BX73" s="202">
        <v>0</v>
      </c>
      <c r="BY73" s="190">
        <v>0</v>
      </c>
      <c r="BZ73" s="190">
        <v>0</v>
      </c>
      <c r="CA73" s="190">
        <v>0</v>
      </c>
      <c r="CB73" s="190">
        <v>0</v>
      </c>
      <c r="CC73" s="190">
        <v>0</v>
      </c>
      <c r="CD73" s="190">
        <v>0</v>
      </c>
      <c r="CE73" s="190">
        <v>0</v>
      </c>
      <c r="CF73" s="190">
        <v>0</v>
      </c>
      <c r="CG73" s="190">
        <v>0</v>
      </c>
      <c r="CH73" s="190">
        <v>0</v>
      </c>
      <c r="CI73" s="190">
        <v>0</v>
      </c>
      <c r="CJ73" s="190">
        <v>0</v>
      </c>
      <c r="CK73" s="191">
        <v>0</v>
      </c>
      <c r="CL73" s="191">
        <v>0</v>
      </c>
    </row>
    <row r="74" spans="1:90" outlineLevel="3" x14ac:dyDescent="0.25">
      <c r="A74" s="129" t="s">
        <v>433</v>
      </c>
      <c r="B74" s="129" t="s">
        <v>447</v>
      </c>
      <c r="C74" s="129" t="s">
        <v>404</v>
      </c>
      <c r="D74" s="129" t="s">
        <v>405</v>
      </c>
      <c r="E74" s="129" t="s">
        <v>471</v>
      </c>
      <c r="F74" s="129" t="s">
        <v>435</v>
      </c>
      <c r="G74" s="129" t="s">
        <v>455</v>
      </c>
      <c r="H74" s="129" t="s">
        <v>356</v>
      </c>
      <c r="I74" s="187" t="s">
        <v>356</v>
      </c>
      <c r="J74" s="188">
        <v>1</v>
      </c>
      <c r="K74" s="189">
        <v>1</v>
      </c>
      <c r="L74" s="191">
        <v>0</v>
      </c>
      <c r="M74" s="191">
        <v>0</v>
      </c>
      <c r="N74" s="191">
        <v>1</v>
      </c>
      <c r="O74" s="190">
        <v>1374750</v>
      </c>
      <c r="P74" s="191">
        <v>1374750</v>
      </c>
      <c r="Q74" s="191">
        <v>0</v>
      </c>
      <c r="R74" s="193" t="s">
        <v>472</v>
      </c>
      <c r="S74" s="254">
        <v>0.75</v>
      </c>
      <c r="T74" s="193">
        <v>0</v>
      </c>
      <c r="U74" s="194">
        <v>1374750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1374750</v>
      </c>
      <c r="AD74" s="190">
        <v>0</v>
      </c>
      <c r="AE74" s="190">
        <v>0</v>
      </c>
      <c r="AF74" s="190">
        <v>0</v>
      </c>
      <c r="AG74" s="190">
        <v>0</v>
      </c>
      <c r="AH74" s="195">
        <v>0</v>
      </c>
      <c r="AI74" s="190">
        <v>0</v>
      </c>
      <c r="AJ74" s="190">
        <v>0</v>
      </c>
      <c r="AK74" s="196">
        <v>0</v>
      </c>
      <c r="AL74" s="197">
        <v>0</v>
      </c>
      <c r="AM74" s="190">
        <v>1374750</v>
      </c>
      <c r="AN74" s="197">
        <v>0</v>
      </c>
      <c r="AO74" s="197">
        <v>0</v>
      </c>
      <c r="AP74" s="190">
        <v>1374750</v>
      </c>
      <c r="AQ74" s="198">
        <v>1</v>
      </c>
      <c r="AR74" s="190">
        <v>1374750</v>
      </c>
      <c r="AS74" s="190">
        <v>1374750</v>
      </c>
      <c r="AT74" s="190">
        <v>0</v>
      </c>
      <c r="AU74" s="190">
        <v>0</v>
      </c>
      <c r="AV74" s="190">
        <v>0</v>
      </c>
      <c r="AW74" s="190">
        <v>0</v>
      </c>
      <c r="AX74" s="190">
        <v>0</v>
      </c>
      <c r="AY74" s="190">
        <v>0</v>
      </c>
      <c r="AZ74" s="190">
        <v>0</v>
      </c>
      <c r="BA74" s="190">
        <v>0</v>
      </c>
      <c r="BB74" s="190" t="s">
        <v>307</v>
      </c>
      <c r="BC74" s="190" t="s">
        <v>307</v>
      </c>
      <c r="BD74" s="190">
        <v>0</v>
      </c>
      <c r="BE74" s="190">
        <v>0</v>
      </c>
      <c r="BF74" s="190">
        <v>0</v>
      </c>
      <c r="BG74" s="190">
        <v>0</v>
      </c>
      <c r="BH74" s="190">
        <v>0</v>
      </c>
      <c r="BI74" s="190">
        <v>0</v>
      </c>
      <c r="BJ74" s="190">
        <v>0</v>
      </c>
      <c r="BK74" s="190">
        <v>0</v>
      </c>
      <c r="BL74" s="190">
        <v>1374750</v>
      </c>
      <c r="BM74" s="190" t="s">
        <v>313</v>
      </c>
      <c r="BN74" s="190">
        <v>0</v>
      </c>
      <c r="BO74" s="190" t="b">
        <v>0</v>
      </c>
      <c r="BP74" s="190">
        <v>0</v>
      </c>
      <c r="BQ74" s="191">
        <v>0</v>
      </c>
      <c r="BR74" s="191">
        <v>0</v>
      </c>
      <c r="BS74" s="200">
        <v>74</v>
      </c>
      <c r="BT74" s="191">
        <v>0</v>
      </c>
      <c r="BU74" s="201">
        <v>0</v>
      </c>
      <c r="BV74" s="191">
        <v>83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0</v>
      </c>
      <c r="CH74" s="190">
        <v>0</v>
      </c>
      <c r="CI74" s="190">
        <v>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25">
      <c r="A75" s="204" t="s">
        <v>437</v>
      </c>
      <c r="B75" s="204"/>
      <c r="C75" s="204"/>
      <c r="D75" s="204"/>
      <c r="E75" s="204"/>
      <c r="F75" s="204"/>
      <c r="G75" s="204"/>
      <c r="H75" s="204"/>
      <c r="I75" s="205"/>
      <c r="J75" s="206"/>
      <c r="K75" s="207"/>
      <c r="L75" s="209"/>
      <c r="M75" s="209"/>
      <c r="N75" s="209"/>
      <c r="O75" s="208"/>
      <c r="P75" s="209"/>
      <c r="Q75" s="209"/>
      <c r="R75" s="211">
        <v>0</v>
      </c>
      <c r="S75" s="256">
        <v>1.5</v>
      </c>
      <c r="T75" s="211">
        <v>0</v>
      </c>
      <c r="U75" s="212">
        <v>24888184.5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24888184.5</v>
      </c>
      <c r="AD75" s="208">
        <v>0</v>
      </c>
      <c r="AE75" s="208">
        <v>0</v>
      </c>
      <c r="AF75" s="208">
        <v>0</v>
      </c>
      <c r="AG75" s="208">
        <v>0</v>
      </c>
      <c r="AH75" s="213">
        <v>0</v>
      </c>
      <c r="AI75" s="208">
        <v>0</v>
      </c>
      <c r="AJ75" s="208">
        <v>0</v>
      </c>
      <c r="AK75" s="214">
        <v>0</v>
      </c>
      <c r="AL75" s="215"/>
      <c r="AM75" s="208">
        <v>24888184.5</v>
      </c>
      <c r="AN75" s="215"/>
      <c r="AO75" s="215"/>
      <c r="AP75" s="208">
        <v>24888184.5</v>
      </c>
      <c r="AQ75" s="216"/>
      <c r="AR75" s="208"/>
      <c r="AS75" s="208"/>
      <c r="AT75" s="208">
        <v>0</v>
      </c>
      <c r="AU75" s="208">
        <v>0</v>
      </c>
      <c r="AV75" s="208">
        <v>0</v>
      </c>
      <c r="AW75" s="208">
        <v>0</v>
      </c>
      <c r="AX75" s="208">
        <v>0</v>
      </c>
      <c r="AY75" s="208">
        <v>0</v>
      </c>
      <c r="AZ75" s="208">
        <v>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9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25">
      <c r="A76" s="129" t="s">
        <v>480</v>
      </c>
      <c r="B76" s="129" t="s">
        <v>447</v>
      </c>
      <c r="C76" s="129" t="s">
        <v>404</v>
      </c>
      <c r="D76" s="129" t="s">
        <v>405</v>
      </c>
      <c r="E76" s="129" t="s">
        <v>481</v>
      </c>
      <c r="F76" s="129" t="s">
        <v>397</v>
      </c>
      <c r="G76" s="129" t="s">
        <v>355</v>
      </c>
      <c r="H76" s="129" t="s">
        <v>323</v>
      </c>
      <c r="I76" s="187" t="s">
        <v>310</v>
      </c>
      <c r="J76" s="189">
        <v>3314340</v>
      </c>
      <c r="K76" s="189">
        <v>3314340</v>
      </c>
      <c r="L76" s="191">
        <v>0</v>
      </c>
      <c r="M76" s="191">
        <v>0.62</v>
      </c>
      <c r="N76" s="191">
        <v>1</v>
      </c>
      <c r="O76" s="190">
        <v>38.9</v>
      </c>
      <c r="P76" s="192">
        <v>38.46</v>
      </c>
      <c r="Q76" s="192">
        <v>0.43999999999999773</v>
      </c>
      <c r="R76" s="193" t="s">
        <v>465</v>
      </c>
      <c r="S76" s="254">
        <v>1</v>
      </c>
      <c r="T76" s="193">
        <v>0</v>
      </c>
      <c r="U76" s="194">
        <v>128927826</v>
      </c>
      <c r="V76" s="190" t="s">
        <v>477</v>
      </c>
      <c r="W76" s="190">
        <v>79935252.120000005</v>
      </c>
      <c r="X76" s="190">
        <v>0</v>
      </c>
      <c r="Y76" s="190">
        <v>79935252.120000005</v>
      </c>
      <c r="Z76" s="190">
        <v>0</v>
      </c>
      <c r="AA76" s="190">
        <v>0</v>
      </c>
      <c r="AB76" s="190">
        <v>0</v>
      </c>
      <c r="AC76" s="194">
        <v>127469516.40000001</v>
      </c>
      <c r="AD76" s="190">
        <v>1458309.599999994</v>
      </c>
      <c r="AE76" s="190">
        <v>0</v>
      </c>
      <c r="AF76" s="190">
        <v>-1458309.599999994</v>
      </c>
      <c r="AG76" s="190">
        <v>0</v>
      </c>
      <c r="AH76" s="195">
        <v>-19803181.5</v>
      </c>
      <c r="AI76" s="190">
        <v>0</v>
      </c>
      <c r="AJ76" s="190">
        <v>19803181.5</v>
      </c>
      <c r="AK76" s="196">
        <v>0</v>
      </c>
      <c r="AL76" s="197">
        <v>0</v>
      </c>
      <c r="AM76" s="190">
        <v>0</v>
      </c>
      <c r="AN76" s="191">
        <v>0</v>
      </c>
      <c r="AO76" s="197">
        <v>0</v>
      </c>
      <c r="AP76" s="190">
        <v>0</v>
      </c>
      <c r="AQ76" s="198">
        <v>1</v>
      </c>
      <c r="AR76" s="190">
        <v>128927826</v>
      </c>
      <c r="AS76" s="190">
        <v>38.9</v>
      </c>
      <c r="AT76" s="190">
        <v>1756600.2</v>
      </c>
      <c r="AU76" s="190">
        <v>0</v>
      </c>
      <c r="AV76" s="190">
        <v>-1756600.2</v>
      </c>
      <c r="AW76" s="190">
        <v>0</v>
      </c>
      <c r="AX76" s="190">
        <v>-19803181.5</v>
      </c>
      <c r="AY76" s="190">
        <v>0</v>
      </c>
      <c r="AZ76" s="190">
        <v>19803181.5</v>
      </c>
      <c r="BA76" s="190">
        <v>0</v>
      </c>
      <c r="BB76" s="190">
        <v>38.9</v>
      </c>
      <c r="BC76" s="190">
        <v>38.46</v>
      </c>
      <c r="BD76" s="190">
        <v>298290.60000000591</v>
      </c>
      <c r="BE76" s="190">
        <v>0</v>
      </c>
      <c r="BF76" s="190">
        <v>-298290.60000000591</v>
      </c>
      <c r="BG76" s="190">
        <v>0</v>
      </c>
      <c r="BH76" s="190">
        <v>-21261491.099999994</v>
      </c>
      <c r="BI76" s="190">
        <v>0</v>
      </c>
      <c r="BJ76" s="190">
        <v>21261491.099999994</v>
      </c>
      <c r="BK76" s="190">
        <v>0</v>
      </c>
      <c r="BL76" s="190">
        <v>0</v>
      </c>
      <c r="BM76" s="190" t="s">
        <v>324</v>
      </c>
      <c r="BN76" s="190">
        <v>0</v>
      </c>
      <c r="BO76" s="190" t="b">
        <v>0</v>
      </c>
      <c r="BP76" s="190">
        <v>21261491.099999994</v>
      </c>
      <c r="BQ76" s="192">
        <v>11.95</v>
      </c>
      <c r="BR76" s="191">
        <v>39606363</v>
      </c>
      <c r="BS76" s="200">
        <v>82</v>
      </c>
      <c r="BT76" s="191">
        <v>1458309.599999994</v>
      </c>
      <c r="BU76" s="201">
        <v>3314340</v>
      </c>
      <c r="BV76" s="191">
        <v>8</v>
      </c>
      <c r="BW76" s="202">
        <v>38.9</v>
      </c>
      <c r="BX76" s="202">
        <v>0</v>
      </c>
      <c r="BY76" s="190">
        <v>0</v>
      </c>
      <c r="BZ76" s="190">
        <v>0</v>
      </c>
      <c r="CA76" s="190">
        <v>148731007.5</v>
      </c>
      <c r="CB76" s="190">
        <v>148731007.5</v>
      </c>
      <c r="CC76" s="190">
        <v>0</v>
      </c>
      <c r="CD76" s="190">
        <v>0</v>
      </c>
      <c r="CE76" s="190">
        <v>0</v>
      </c>
      <c r="CF76" s="190">
        <v>0</v>
      </c>
      <c r="CG76" s="190">
        <v>-21261491.099999994</v>
      </c>
      <c r="CH76" s="190">
        <v>0</v>
      </c>
      <c r="CI76" s="190">
        <v>21261491.099999994</v>
      </c>
      <c r="CJ76" s="190">
        <v>0</v>
      </c>
      <c r="CK76" s="191">
        <v>0.62</v>
      </c>
      <c r="CL76" s="191">
        <v>0</v>
      </c>
    </row>
    <row r="77" spans="1:90" s="221" customFormat="1" ht="20.100000000000001" customHeight="1" outlineLevel="2" x14ac:dyDescent="0.25">
      <c r="A77" s="204" t="s">
        <v>482</v>
      </c>
      <c r="B77" s="204"/>
      <c r="C77" s="204"/>
      <c r="D77" s="204"/>
      <c r="E77" s="204"/>
      <c r="F77" s="204"/>
      <c r="G77" s="204"/>
      <c r="H77" s="204"/>
      <c r="I77" s="205"/>
      <c r="J77" s="207"/>
      <c r="K77" s="207"/>
      <c r="L77" s="209"/>
      <c r="M77" s="209"/>
      <c r="N77" s="209"/>
      <c r="O77" s="208"/>
      <c r="P77" s="210"/>
      <c r="Q77" s="210"/>
      <c r="R77" s="211">
        <v>0</v>
      </c>
      <c r="S77" s="256">
        <v>1</v>
      </c>
      <c r="T77" s="211">
        <v>0</v>
      </c>
      <c r="U77" s="212">
        <v>128927826</v>
      </c>
      <c r="V77" s="208"/>
      <c r="W77" s="208">
        <v>79935252.120000005</v>
      </c>
      <c r="X77" s="208">
        <v>0</v>
      </c>
      <c r="Y77" s="208">
        <v>79935252.120000005</v>
      </c>
      <c r="Z77" s="208">
        <v>0</v>
      </c>
      <c r="AA77" s="208">
        <v>0</v>
      </c>
      <c r="AB77" s="208">
        <v>0</v>
      </c>
      <c r="AC77" s="212">
        <v>127469516.40000001</v>
      </c>
      <c r="AD77" s="208">
        <v>1458309.599999994</v>
      </c>
      <c r="AE77" s="208">
        <v>0</v>
      </c>
      <c r="AF77" s="208">
        <v>-1458309.599999994</v>
      </c>
      <c r="AG77" s="208">
        <v>0</v>
      </c>
      <c r="AH77" s="213">
        <v>-19803181.5</v>
      </c>
      <c r="AI77" s="208">
        <v>0</v>
      </c>
      <c r="AJ77" s="208">
        <v>19803181.5</v>
      </c>
      <c r="AK77" s="214">
        <v>0</v>
      </c>
      <c r="AL77" s="215"/>
      <c r="AM77" s="208">
        <v>0</v>
      </c>
      <c r="AN77" s="209"/>
      <c r="AO77" s="215"/>
      <c r="AP77" s="208">
        <v>0</v>
      </c>
      <c r="AQ77" s="216"/>
      <c r="AR77" s="208"/>
      <c r="AS77" s="208"/>
      <c r="AT77" s="208">
        <v>1756600.2</v>
      </c>
      <c r="AU77" s="208">
        <v>0</v>
      </c>
      <c r="AV77" s="208">
        <v>-1756600.2</v>
      </c>
      <c r="AW77" s="208">
        <v>0</v>
      </c>
      <c r="AX77" s="208">
        <v>-19803181.5</v>
      </c>
      <c r="AY77" s="208">
        <v>0</v>
      </c>
      <c r="AZ77" s="208">
        <v>19803181.5</v>
      </c>
      <c r="BA77" s="208">
        <v>0</v>
      </c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10"/>
      <c r="BR77" s="209"/>
      <c r="BS77" s="218"/>
      <c r="BT77" s="209"/>
      <c r="BU77" s="219"/>
      <c r="BV77" s="209"/>
      <c r="BW77" s="220"/>
      <c r="BX77" s="220"/>
      <c r="BY77" s="208"/>
      <c r="BZ77" s="208"/>
      <c r="CA77" s="208">
        <v>148731007.5</v>
      </c>
      <c r="CB77" s="208"/>
      <c r="CC77" s="208"/>
      <c r="CD77" s="208"/>
      <c r="CE77" s="208"/>
      <c r="CF77" s="208"/>
      <c r="CG77" s="208"/>
      <c r="CH77" s="208"/>
      <c r="CI77" s="208"/>
      <c r="CJ77" s="208"/>
      <c r="CK77" s="209"/>
      <c r="CL77" s="209"/>
    </row>
    <row r="78" spans="1:90" s="236" customFormat="1" ht="30" customHeight="1" outlineLevel="1" x14ac:dyDescent="0.25">
      <c r="A78" s="204"/>
      <c r="B78" s="204" t="s">
        <v>473</v>
      </c>
      <c r="C78" s="204"/>
      <c r="D78" s="204"/>
      <c r="E78" s="204"/>
      <c r="F78" s="204"/>
      <c r="G78" s="204"/>
      <c r="H78" s="204"/>
      <c r="I78" s="205"/>
      <c r="J78" s="222"/>
      <c r="K78" s="222"/>
      <c r="L78" s="224"/>
      <c r="M78" s="224"/>
      <c r="N78" s="224"/>
      <c r="O78" s="223"/>
      <c r="P78" s="225"/>
      <c r="Q78" s="225"/>
      <c r="R78" s="226">
        <v>0</v>
      </c>
      <c r="S78" s="257">
        <v>8.375</v>
      </c>
      <c r="T78" s="226">
        <v>0</v>
      </c>
      <c r="U78" s="227">
        <v>261750633.59748387</v>
      </c>
      <c r="V78" s="223"/>
      <c r="W78" s="223">
        <v>80537930.820000008</v>
      </c>
      <c r="X78" s="223">
        <v>0</v>
      </c>
      <c r="Y78" s="223">
        <v>80537930.820000008</v>
      </c>
      <c r="Z78" s="223">
        <v>0</v>
      </c>
      <c r="AA78" s="223">
        <v>0</v>
      </c>
      <c r="AB78" s="223">
        <v>0</v>
      </c>
      <c r="AC78" s="227">
        <v>260113683.68498391</v>
      </c>
      <c r="AD78" s="223">
        <v>1636949.912499994</v>
      </c>
      <c r="AE78" s="223">
        <v>0</v>
      </c>
      <c r="AF78" s="223">
        <v>-1636949.912499994</v>
      </c>
      <c r="AG78" s="223">
        <v>0</v>
      </c>
      <c r="AH78" s="228">
        <v>-22737968.0625</v>
      </c>
      <c r="AI78" s="223">
        <v>0</v>
      </c>
      <c r="AJ78" s="223">
        <v>22737968.0625</v>
      </c>
      <c r="AK78" s="229">
        <v>0</v>
      </c>
      <c r="AL78" s="230"/>
      <c r="AM78" s="223">
        <v>135757594.15998387</v>
      </c>
      <c r="AN78" s="224"/>
      <c r="AO78" s="230"/>
      <c r="AP78" s="223">
        <v>112760056.62402301</v>
      </c>
      <c r="AQ78" s="231"/>
      <c r="AR78" s="223"/>
      <c r="AS78" s="223"/>
      <c r="AT78" s="223">
        <v>-371078.11250000005</v>
      </c>
      <c r="AU78" s="223">
        <v>0</v>
      </c>
      <c r="AV78" s="223">
        <v>371078.11250000005</v>
      </c>
      <c r="AW78" s="223">
        <v>0</v>
      </c>
      <c r="AX78" s="223">
        <v>-22737968.0625</v>
      </c>
      <c r="AY78" s="223">
        <v>0</v>
      </c>
      <c r="AZ78" s="223">
        <v>22737968.0625</v>
      </c>
      <c r="BA78" s="223">
        <v>0</v>
      </c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5"/>
      <c r="BR78" s="224"/>
      <c r="BS78" s="233"/>
      <c r="BT78" s="224"/>
      <c r="BU78" s="234"/>
      <c r="BV78" s="224"/>
      <c r="BW78" s="235"/>
      <c r="BX78" s="235"/>
      <c r="BY78" s="223"/>
      <c r="BZ78" s="223"/>
      <c r="CA78" s="223">
        <v>148731007.5</v>
      </c>
      <c r="CB78" s="223"/>
      <c r="CC78" s="223"/>
      <c r="CD78" s="223"/>
      <c r="CE78" s="223"/>
      <c r="CF78" s="223"/>
      <c r="CG78" s="223"/>
      <c r="CH78" s="223"/>
      <c r="CI78" s="223"/>
      <c r="CJ78" s="223"/>
      <c r="CK78" s="224"/>
      <c r="CL78" s="224"/>
    </row>
    <row r="79" spans="1:90" s="221" customFormat="1" ht="20.100000000000001" hidden="1" customHeight="1" x14ac:dyDescent="0.25">
      <c r="A79" s="204" t="s">
        <v>474</v>
      </c>
      <c r="B79" s="204"/>
      <c r="C79" s="204"/>
      <c r="D79" s="204"/>
      <c r="E79" s="204"/>
      <c r="F79" s="204"/>
      <c r="G79" s="204"/>
      <c r="H79" s="204"/>
      <c r="I79" s="205"/>
      <c r="J79" s="207"/>
      <c r="K79" s="207"/>
      <c r="L79" s="209"/>
      <c r="M79" s="209"/>
      <c r="N79" s="209"/>
      <c r="O79" s="208"/>
      <c r="P79" s="210"/>
      <c r="Q79" s="210"/>
      <c r="R79" s="211">
        <v>0</v>
      </c>
      <c r="S79" s="256">
        <v>31.975000000000001</v>
      </c>
      <c r="T79" s="211">
        <v>0</v>
      </c>
      <c r="U79" s="212">
        <v>475744605.49726975</v>
      </c>
      <c r="V79" s="208"/>
      <c r="W79" s="208">
        <v>80857215.897074282</v>
      </c>
      <c r="X79" s="208">
        <v>0</v>
      </c>
      <c r="Y79" s="208">
        <v>80857215.897074282</v>
      </c>
      <c r="Z79" s="208">
        <v>0</v>
      </c>
      <c r="AA79" s="208">
        <v>0</v>
      </c>
      <c r="AB79" s="208">
        <v>0</v>
      </c>
      <c r="AC79" s="212">
        <v>474961853.05644822</v>
      </c>
      <c r="AD79" s="208">
        <v>782752.44082160038</v>
      </c>
      <c r="AE79" s="208">
        <v>0</v>
      </c>
      <c r="AF79" s="208">
        <v>-782752.44082160038</v>
      </c>
      <c r="AG79" s="208">
        <v>0</v>
      </c>
      <c r="AH79" s="213">
        <v>-140987375.39342105</v>
      </c>
      <c r="AI79" s="208">
        <v>0</v>
      </c>
      <c r="AJ79" s="208">
        <v>140987375.39342105</v>
      </c>
      <c r="AK79" s="214">
        <v>0</v>
      </c>
      <c r="AL79" s="215"/>
      <c r="AM79" s="208">
        <v>385997193.01694417</v>
      </c>
      <c r="AN79" s="209"/>
      <c r="AO79" s="215"/>
      <c r="AP79" s="208">
        <v>389569041.5048303</v>
      </c>
      <c r="AQ79" s="216"/>
      <c r="AR79" s="208"/>
      <c r="AS79" s="208"/>
      <c r="AT79" s="208">
        <v>-18185751.559464976</v>
      </c>
      <c r="AU79" s="208">
        <v>0</v>
      </c>
      <c r="AV79" s="208">
        <v>18185751.559464976</v>
      </c>
      <c r="AW79" s="208">
        <v>0</v>
      </c>
      <c r="AX79" s="208">
        <v>-140987375.39342105</v>
      </c>
      <c r="AY79" s="208">
        <v>0</v>
      </c>
      <c r="AZ79" s="208">
        <v>140987375.39342105</v>
      </c>
      <c r="BA79" s="208">
        <v>0</v>
      </c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10"/>
      <c r="BR79" s="209"/>
      <c r="BS79" s="218"/>
      <c r="BT79" s="209"/>
      <c r="BU79" s="219"/>
      <c r="BV79" s="209"/>
      <c r="BW79" s="220"/>
      <c r="BX79" s="220"/>
      <c r="BY79" s="208"/>
      <c r="BZ79" s="208"/>
      <c r="CA79" s="208">
        <v>230734787.87374669</v>
      </c>
      <c r="CB79" s="208"/>
      <c r="CC79" s="208"/>
      <c r="CD79" s="208"/>
      <c r="CE79" s="208"/>
      <c r="CF79" s="208"/>
      <c r="CG79" s="208"/>
      <c r="CH79" s="208"/>
      <c r="CI79" s="208"/>
      <c r="CJ79" s="208"/>
      <c r="CK79" s="209"/>
      <c r="CL79" s="209"/>
    </row>
    <row r="80" spans="1:90" s="236" customFormat="1" ht="30" customHeight="1" thickBot="1" x14ac:dyDescent="0.3">
      <c r="A80" s="239"/>
      <c r="B80" s="239" t="s">
        <v>474</v>
      </c>
      <c r="C80" s="239"/>
      <c r="D80" s="239"/>
      <c r="E80" s="239"/>
      <c r="F80" s="239"/>
      <c r="G80" s="239"/>
      <c r="H80" s="239"/>
      <c r="I80" s="240"/>
      <c r="J80" s="241"/>
      <c r="K80" s="241"/>
      <c r="L80" s="242"/>
      <c r="M80" s="242"/>
      <c r="N80" s="242"/>
      <c r="O80" s="243"/>
      <c r="P80" s="253"/>
      <c r="Q80" s="253"/>
      <c r="R80" s="244">
        <v>0</v>
      </c>
      <c r="S80" s="261">
        <v>31.975000000000001</v>
      </c>
      <c r="T80" s="244">
        <v>0</v>
      </c>
      <c r="U80" s="245">
        <v>475744605.49726975</v>
      </c>
      <c r="V80" s="243"/>
      <c r="W80" s="243">
        <v>80857215.897074282</v>
      </c>
      <c r="X80" s="243">
        <v>0</v>
      </c>
      <c r="Y80" s="243">
        <v>80857215.897074282</v>
      </c>
      <c r="Z80" s="243">
        <v>0</v>
      </c>
      <c r="AA80" s="243">
        <v>0</v>
      </c>
      <c r="AB80" s="243">
        <v>0</v>
      </c>
      <c r="AC80" s="245">
        <v>474961853.05644822</v>
      </c>
      <c r="AD80" s="243">
        <v>782752.44082160038</v>
      </c>
      <c r="AE80" s="243">
        <v>0</v>
      </c>
      <c r="AF80" s="243">
        <v>-782752.44082160038</v>
      </c>
      <c r="AG80" s="243">
        <v>0</v>
      </c>
      <c r="AH80" s="246">
        <v>-140987375.39342105</v>
      </c>
      <c r="AI80" s="243">
        <v>0</v>
      </c>
      <c r="AJ80" s="243">
        <v>140987375.39342105</v>
      </c>
      <c r="AK80" s="247">
        <v>0</v>
      </c>
      <c r="AL80" s="248"/>
      <c r="AM80" s="243">
        <v>385997193.01694417</v>
      </c>
      <c r="AN80" s="242"/>
      <c r="AO80" s="248"/>
      <c r="AP80" s="243">
        <v>389569041.5048303</v>
      </c>
      <c r="AQ80" s="249"/>
      <c r="AR80" s="243"/>
      <c r="AS80" s="243"/>
      <c r="AT80" s="243">
        <v>-18185751.559464976</v>
      </c>
      <c r="AU80" s="243">
        <v>0</v>
      </c>
      <c r="AV80" s="243">
        <v>18185751.559464976</v>
      </c>
      <c r="AW80" s="243">
        <v>0</v>
      </c>
      <c r="AX80" s="243">
        <v>-140987375.39342105</v>
      </c>
      <c r="AY80" s="243">
        <v>0</v>
      </c>
      <c r="AZ80" s="243">
        <v>140987375.39342105</v>
      </c>
      <c r="BA80" s="243">
        <v>0</v>
      </c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53"/>
      <c r="BR80" s="242"/>
      <c r="BS80" s="250"/>
      <c r="BT80" s="242"/>
      <c r="BU80" s="251"/>
      <c r="BV80" s="242"/>
      <c r="BW80" s="252"/>
      <c r="BX80" s="252"/>
      <c r="BY80" s="243"/>
      <c r="BZ80" s="243"/>
      <c r="CA80" s="243">
        <v>230734787.87374669</v>
      </c>
      <c r="CB80" s="243"/>
      <c r="CC80" s="243"/>
      <c r="CD80" s="243"/>
      <c r="CE80" s="243"/>
      <c r="CF80" s="243"/>
      <c r="CG80" s="243"/>
      <c r="CH80" s="243"/>
      <c r="CI80" s="243"/>
      <c r="CJ80" s="243"/>
      <c r="CK80" s="242"/>
      <c r="CL80" s="24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2023-09-16T21:02:02Z</dcterms:modified>
</cp:coreProperties>
</file>