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4BCE15-37DB-4344-8F74-458BFF69879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<sst xmlns="http://schemas.openxmlformats.org/spreadsheetml/2006/main" count="314" uniqueCount="227">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</sst>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36935</v>
      </c>
      <c r="D5" s="61" t="s">
        <v>16</v>
      </c>
      <c r="E5" s="62">
        <f>+C5-1</f>
        <v>36934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190311161.1179705</v>
      </c>
      <c r="D21" s="58"/>
      <c r="E21" s="58"/>
      <c r="F21" s="57"/>
    </row>
    <row r="22" spans="1:6" x14ac:dyDescent="0.25">
      <c r="A22" s="56"/>
      <c r="B22" s="58"/>
      <c r="C22" s="64"/>
      <c r="D22" s="126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96" activePane="bottomLeft" state="frozen"/>
      <selection pane="bottomLeft" activeCell="A118" sqref="A118:B118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108" spans="1:2" x14ac:dyDescent="0.25">
      <c r="A108" s="143">
        <v>36921</v>
      </c>
      <c r="B108" s="121">
        <v>78.5</v>
      </c>
    </row>
    <row r="109" spans="1:2" x14ac:dyDescent="0.25">
      <c r="A109" s="143">
        <v>36922</v>
      </c>
      <c r="B109" s="121">
        <v>80</v>
      </c>
    </row>
    <row r="110" spans="1:2" x14ac:dyDescent="0.25">
      <c r="A110" s="143">
        <v>36923</v>
      </c>
      <c r="B110" s="121">
        <v>78.790000000000006</v>
      </c>
    </row>
    <row r="111" spans="1:2" x14ac:dyDescent="0.25">
      <c r="A111" s="143">
        <v>36924</v>
      </c>
      <c r="B111" s="121">
        <v>79.98</v>
      </c>
    </row>
    <row r="112" spans="1:2" x14ac:dyDescent="0.25">
      <c r="A112" s="143">
        <v>36927</v>
      </c>
      <c r="B112" s="121">
        <v>81.81</v>
      </c>
    </row>
    <row r="113" spans="1:2" x14ac:dyDescent="0.25">
      <c r="A113" s="143">
        <v>36928</v>
      </c>
      <c r="B113" s="121">
        <v>80.150000000000006</v>
      </c>
    </row>
    <row r="114" spans="1:2" x14ac:dyDescent="0.25">
      <c r="A114" s="143">
        <v>36929</v>
      </c>
      <c r="B114" s="121">
        <v>80.349999999999994</v>
      </c>
    </row>
    <row r="115" spans="1:2" x14ac:dyDescent="0.25">
      <c r="A115" s="143">
        <v>36930</v>
      </c>
      <c r="B115" s="121">
        <v>80</v>
      </c>
    </row>
    <row r="116" spans="1:2" x14ac:dyDescent="0.25">
      <c r="A116" s="143">
        <v>36931</v>
      </c>
      <c r="B116" s="121">
        <v>80.2</v>
      </c>
    </row>
    <row r="117" spans="1:2" x14ac:dyDescent="0.25">
      <c r="A117" s="143">
        <v>36934</v>
      </c>
      <c r="B117" s="121">
        <f>79.8</f>
        <v>79.8</v>
      </c>
    </row>
    <row r="118" spans="1:2" x14ac:dyDescent="0.25">
      <c r="A118" s="143">
        <v>36935</v>
      </c>
      <c r="B118" s="121">
        <v>81.150000000000006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2" workbookViewId="0">
      <selection activeCell="I19" sqref="I1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36935</v>
      </c>
      <c r="I2" s="166"/>
      <c r="J2" s="90"/>
      <c r="L2" s="166">
        <f>H2</f>
        <v>36935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81.150000000000006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36935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33051362.948692709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378337195.90525115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36935</v>
      </c>
      <c r="J11" s="13"/>
      <c r="L11" s="7" t="s">
        <v>40</v>
      </c>
      <c r="M11" s="7">
        <f>+Amort!B28</f>
        <v>1613888.888888889</v>
      </c>
      <c r="O11" s="7" t="s">
        <v>34</v>
      </c>
      <c r="P11" s="7">
        <f>E7-I16+'Cash-Int-Trans'!B9</f>
        <v>419414825.71961111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2520046.9486927413</v>
      </c>
      <c r="J13" s="29"/>
      <c r="L13" s="7" t="s">
        <v>225</v>
      </c>
      <c r="M13" s="7">
        <f>IF(I19&gt;0,I19,0)</f>
        <v>11703183.249999965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1613888.888888889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25290805.273221552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28337195.905251142</v>
      </c>
      <c r="J15" s="32" t="s">
        <v>53</v>
      </c>
      <c r="L15" s="85" t="s">
        <v>7</v>
      </c>
      <c r="M15" s="12">
        <f>SUM(M8:M14)</f>
        <v>474705630.99283266</v>
      </c>
      <c r="N15" s="20"/>
      <c r="O15" s="85" t="s">
        <v>7</v>
      </c>
      <c r="P15" s="12">
        <f>SUM(P8:P14)</f>
        <v>474705630.99283266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-12933794.719611112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54056306.023221657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474705630.99283266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11703183.249999965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475705630.99283266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11703183.249999965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14366310.055983547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65759489.273221619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15633689.944016453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517671852.45087588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65759489.273221619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-23564517.624999963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-28337195.905251142</v>
      </c>
      <c r="J35" s="41"/>
      <c r="L35" s="7" t="s">
        <v>72</v>
      </c>
      <c r="M35" s="7">
        <f>I25</f>
        <v>65759489.273221619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190311161.1179705</v>
      </c>
      <c r="K37" s="7"/>
      <c r="L37" s="7" t="s">
        <v>74</v>
      </c>
      <c r="M37" s="7">
        <f>SUM(M34:M36)</f>
        <v>55290805.273221612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25290805.273221552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5.9604644775390625E-8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65759489.273221619</v>
      </c>
    </row>
    <row r="23" spans="1:5" x14ac:dyDescent="0.25">
      <c r="A23" t="s">
        <v>100</v>
      </c>
      <c r="B23" s="7">
        <f>-Financials!I15</f>
        <v>-28337195.905251142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-11703183.249999965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-1613888.888888889</v>
      </c>
    </row>
    <row r="29" spans="1:5" x14ac:dyDescent="0.25">
      <c r="A29" t="s">
        <v>105</v>
      </c>
      <c r="B29" s="7">
        <f>-Financials!E7+Financials!P11</f>
        <v>19414825.719611108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33051362.948692709</v>
      </c>
      <c r="D35" s="7">
        <f>+B20+B12+B13+B38+B16</f>
        <v>33051362.948692743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2520046.9486927413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36935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166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2415618.3741666665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36935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18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104428.57452607498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12933794.719611112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12911111.111111112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36935</v>
      </c>
    </row>
    <row r="61" spans="1:6" x14ac:dyDescent="0.25">
      <c r="A61" t="s">
        <v>75</v>
      </c>
      <c r="B61" s="3">
        <f>+B60-B58</f>
        <v>18</v>
      </c>
    </row>
    <row r="62" spans="1:6" x14ac:dyDescent="0.25">
      <c r="A62" t="s">
        <v>168</v>
      </c>
      <c r="B62" s="48">
        <f>+B59*0.07/360*B61</f>
        <v>22683.608500000002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36935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36935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36935</v>
      </c>
      <c r="B23" s="178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166</v>
      </c>
      <c r="E27" s="111"/>
    </row>
    <row r="28" spans="1:9" s="97" customFormat="1" x14ac:dyDescent="0.25">
      <c r="A28" s="111" t="s">
        <v>26</v>
      </c>
      <c r="B28" s="97">
        <f>F25*B27/(F26-F24)</f>
        <v>1613888.888888889</v>
      </c>
    </row>
    <row r="29" spans="1:9" s="97" customFormat="1" x14ac:dyDescent="0.25">
      <c r="A29" s="111" t="s">
        <v>27</v>
      </c>
      <c r="B29" s="97">
        <f>+B25+B28</f>
        <v>1613888.888888889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6503714.6085000001</v>
      </c>
      <c r="E43" s="7">
        <v>0</v>
      </c>
      <c r="F43" s="7">
        <f>C43*$B$38/360*(A43-A42)</f>
        <v>14077777.777777778</v>
      </c>
      <c r="G43" s="7">
        <f>+C43+D43+E43+F43</f>
        <v>420581492.38627779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420581492.38627779</v>
      </c>
      <c r="D44" s="7">
        <v>0</v>
      </c>
      <c r="E44" s="7">
        <v>0</v>
      </c>
      <c r="F44" s="7">
        <f t="shared" ref="F44:F52" si="13">C44*$B$38/360*(A44-A43)</f>
        <v>15047471.172042385</v>
      </c>
      <c r="G44" s="7">
        <f t="shared" ref="G44:G52" si="14">+C44+D44+E44+F44</f>
        <v>435628963.55832016</v>
      </c>
      <c r="H44" s="7">
        <f t="shared" si="12"/>
        <v>29125248.949820161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435628963.55832016</v>
      </c>
      <c r="D45" s="7">
        <v>0</v>
      </c>
      <c r="E45" s="7">
        <v>0</v>
      </c>
      <c r="F45" s="7">
        <f t="shared" si="13"/>
        <v>15331719.356344214</v>
      </c>
      <c r="G45" s="7">
        <f t="shared" si="14"/>
        <v>450960682.91466439</v>
      </c>
      <c r="H45" s="7">
        <f t="shared" si="12"/>
        <v>44456968.306164376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450960682.91466439</v>
      </c>
      <c r="D46" s="7">
        <v>0</v>
      </c>
      <c r="E46" s="7">
        <v>0</v>
      </c>
      <c r="F46" s="7">
        <f t="shared" si="13"/>
        <v>16134371.099835772</v>
      </c>
      <c r="G46" s="7">
        <f t="shared" si="14"/>
        <v>467095054.01450014</v>
      </c>
      <c r="H46" s="7">
        <f t="shared" si="12"/>
        <v>60591339.406000152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467095054.01450014</v>
      </c>
      <c r="D47" s="7">
        <v>0</v>
      </c>
      <c r="E47" s="7">
        <v>0</v>
      </c>
      <c r="F47" s="7">
        <f t="shared" si="13"/>
        <v>16439150.928788105</v>
      </c>
      <c r="G47" s="7">
        <f t="shared" si="14"/>
        <v>483534204.94328827</v>
      </c>
      <c r="H47" s="7">
        <f t="shared" si="12"/>
        <v>77030490.334788263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483534204.94328827</v>
      </c>
      <c r="D48" s="7">
        <v>0</v>
      </c>
      <c r="E48" s="7">
        <v>0</v>
      </c>
      <c r="F48" s="7">
        <f t="shared" si="13"/>
        <v>17299779.332415428</v>
      </c>
      <c r="G48" s="7">
        <f t="shared" si="14"/>
        <v>500833984.27570367</v>
      </c>
      <c r="H48" s="7">
        <f t="shared" si="12"/>
        <v>94330269.667203695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500833984.27570367</v>
      </c>
      <c r="D49" s="7">
        <v>0</v>
      </c>
      <c r="E49" s="7">
        <v>0</v>
      </c>
      <c r="F49" s="7">
        <f t="shared" si="13"/>
        <v>17723958.221312404</v>
      </c>
      <c r="G49" s="7">
        <f t="shared" si="14"/>
        <v>518557942.49701607</v>
      </c>
      <c r="H49" s="7">
        <f t="shared" si="12"/>
        <v>112054227.8885161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518557942.49701607</v>
      </c>
      <c r="D50" s="7">
        <v>0</v>
      </c>
      <c r="E50" s="7">
        <v>0</v>
      </c>
      <c r="F50" s="7">
        <f t="shared" si="13"/>
        <v>18552850.831559911</v>
      </c>
      <c r="G50" s="7">
        <f t="shared" si="14"/>
        <v>537110793.32857597</v>
      </c>
      <c r="H50" s="7">
        <f t="shared" si="12"/>
        <v>130607078.72007601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537110793.32857597</v>
      </c>
      <c r="D51" s="7">
        <v>0</v>
      </c>
      <c r="E51" s="7">
        <v>0</v>
      </c>
      <c r="F51" s="7">
        <f t="shared" si="13"/>
        <v>18903315.976314053</v>
      </c>
      <c r="G51" s="7">
        <f t="shared" si="14"/>
        <v>556014109.30489004</v>
      </c>
      <c r="H51" s="7">
        <f t="shared" si="12"/>
        <v>149510394.69639006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556014109.30489004</v>
      </c>
      <c r="D52" s="7">
        <v>0</v>
      </c>
      <c r="E52" s="7">
        <v>0</v>
      </c>
      <c r="F52" s="7">
        <f t="shared" si="13"/>
        <v>19892949.2440194</v>
      </c>
      <c r="G52" s="7">
        <f t="shared" si="14"/>
        <v>575907058.54890943</v>
      </c>
      <c r="H52" s="7">
        <f t="shared" si="12"/>
        <v>169403343.94040945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6503714.6085000001</v>
      </c>
      <c r="E53" s="12">
        <f>SUM(E43:E52)</f>
        <v>0</v>
      </c>
      <c r="F53" s="12">
        <f>SUM(F43:F52)</f>
        <v>169403343.94040945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36935</v>
      </c>
      <c r="B55" s="178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166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12911111.111111112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12911111.111111112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36935</v>
      </c>
      <c r="E65" s="158">
        <f>+'Cash-Int-Trans'!B62</f>
        <v>22683.608500000002</v>
      </c>
    </row>
    <row r="66" spans="1:5" x14ac:dyDescent="0.25">
      <c r="E66" s="7">
        <f>SUM(E64:E65)</f>
        <v>6503714.6085000001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" sqref="D2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5.375" bestFit="1" customWidth="1"/>
  </cols>
  <sheetData>
    <row r="1" spans="1:5" x14ac:dyDescent="0.25">
      <c r="D1" s="155" t="s">
        <v>194</v>
      </c>
      <c r="E1" s="52" t="s">
        <v>195</v>
      </c>
    </row>
    <row r="2" spans="1:5" x14ac:dyDescent="0.25">
      <c r="A2" s="58" t="s">
        <v>203</v>
      </c>
      <c r="D2" s="2">
        <f>+Financials!I5</f>
        <v>81.150000000000006</v>
      </c>
    </row>
    <row r="3" spans="1:5" x14ac:dyDescent="0.25">
      <c r="A3" t="s">
        <v>196</v>
      </c>
      <c r="B3" s="3">
        <v>50000000</v>
      </c>
      <c r="D3" s="5">
        <f>B3*D2</f>
        <v>4057500000.0000005</v>
      </c>
      <c r="E3" s="3">
        <f>ROUND(D3/D2+0.49,0)</f>
        <v>50000000</v>
      </c>
    </row>
    <row r="4" spans="1:5" x14ac:dyDescent="0.25">
      <c r="A4" t="s">
        <v>197</v>
      </c>
      <c r="D4" s="50">
        <f>1400000000+1027000000</f>
        <v>2427000000</v>
      </c>
      <c r="E4" s="153">
        <f>ROUND(D4/D2+0.49,0)</f>
        <v>29907579</v>
      </c>
    </row>
    <row r="5" spans="1:5" x14ac:dyDescent="0.25">
      <c r="A5" t="s">
        <v>198</v>
      </c>
      <c r="D5" s="4">
        <f>D3-D4</f>
        <v>1630500000.0000005</v>
      </c>
      <c r="E5" s="48">
        <f>E3-E4</f>
        <v>20092421</v>
      </c>
    </row>
    <row r="6" spans="1:5" x14ac:dyDescent="0.25">
      <c r="A6" t="s">
        <v>199</v>
      </c>
      <c r="D6" s="2"/>
    </row>
    <row r="7" spans="1:5" x14ac:dyDescent="0.25">
      <c r="A7" t="s">
        <v>200</v>
      </c>
      <c r="B7" s="3">
        <v>3876755</v>
      </c>
      <c r="D7" s="4">
        <f>+B7*D2</f>
        <v>314598668.25</v>
      </c>
      <c r="E7" s="3">
        <v>3876755</v>
      </c>
    </row>
    <row r="8" spans="1:5" x14ac:dyDescent="0.25">
      <c r="A8" t="s">
        <v>201</v>
      </c>
      <c r="B8" s="3">
        <v>7809790</v>
      </c>
      <c r="D8" s="4">
        <f>+B8*D2</f>
        <v>633764458.5</v>
      </c>
      <c r="E8" s="3">
        <v>7809790</v>
      </c>
    </row>
    <row r="9" spans="1:5" x14ac:dyDescent="0.25">
      <c r="A9" t="s">
        <v>202</v>
      </c>
      <c r="B9" s="3">
        <v>6326045</v>
      </c>
      <c r="D9" s="50">
        <f>+B9*D2</f>
        <v>513358551.75000006</v>
      </c>
      <c r="E9" s="153">
        <v>6326045</v>
      </c>
    </row>
    <row r="10" spans="1:5" x14ac:dyDescent="0.25">
      <c r="B10" s="3">
        <f>+B7+B8+B9</f>
        <v>18012590</v>
      </c>
      <c r="D10" s="2"/>
    </row>
    <row r="11" spans="1:5" ht="16.5" thickBot="1" x14ac:dyDescent="0.3">
      <c r="A11" t="s">
        <v>25</v>
      </c>
      <c r="D11" s="51">
        <f>D5-SUM(D7:D9)</f>
        <v>168778321.50000048</v>
      </c>
      <c r="E11" s="154">
        <f>E5-SUM(E7:E9)</f>
        <v>2079831</v>
      </c>
    </row>
    <row r="12" spans="1:5" ht="16.5" thickTop="1" x14ac:dyDescent="0.25">
      <c r="A12" s="3" t="s">
        <v>226</v>
      </c>
      <c r="D12" s="131">
        <f>+D11/(B3-SUM(B7:B9))</f>
        <v>5.2763984799019514</v>
      </c>
      <c r="E12" s="48"/>
    </row>
    <row r="13" spans="1:5" x14ac:dyDescent="0.25">
      <c r="D13" s="5"/>
      <c r="E13" s="130"/>
    </row>
    <row r="14" spans="1:5" x14ac:dyDescent="0.25">
      <c r="A14" t="s">
        <v>204</v>
      </c>
      <c r="B14" s="3">
        <f>IF(E11&gt;0,B9,IF(B9+E11&gt;0,+B9+E11,0))</f>
        <v>6326045</v>
      </c>
      <c r="D14" s="5"/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28337195.905251142</v>
      </c>
      <c r="E20" s="156">
        <f>(+Financials!H2-Financials!A3)/(3*365)</f>
        <v>0.15159817351598173</v>
      </c>
      <c r="F20">
        <f>+D18*E20+D20</f>
        <v>0</v>
      </c>
    </row>
    <row r="21" spans="1:6" x14ac:dyDescent="0.25">
      <c r="A21" t="s">
        <v>209</v>
      </c>
      <c r="D21" s="4">
        <f>+D19+D20</f>
        <v>378337195.90525115</v>
      </c>
      <c r="E21" s="156">
        <f>+D21/D17</f>
        <v>0.7046394865202027</v>
      </c>
    </row>
    <row r="22" spans="1:6" x14ac:dyDescent="0.25">
      <c r="D22" s="4"/>
    </row>
    <row r="23" spans="1:6" x14ac:dyDescent="0.25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25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25">
      <c r="D25" s="4">
        <f>+D23+D24</f>
        <v>350000000</v>
      </c>
    </row>
    <row r="26" spans="1:6" x14ac:dyDescent="0.25">
      <c r="A26" t="s">
        <v>207</v>
      </c>
      <c r="D26" s="4">
        <f>-D24*E20</f>
        <v>28337195.905251142</v>
      </c>
      <c r="E26" s="156">
        <f>+E20</f>
        <v>0.15159817351598173</v>
      </c>
      <c r="F26">
        <f>+D24*E26+D26</f>
        <v>0</v>
      </c>
    </row>
    <row r="27" spans="1:6" x14ac:dyDescent="0.25">
      <c r="A27" t="s">
        <v>208</v>
      </c>
      <c r="D27" s="4">
        <f>+D25+D26</f>
        <v>378337195.90525115</v>
      </c>
      <c r="E27" s="156">
        <f>+D27/D23</f>
        <v>0.7046394865202027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2023-09-16T21:02:23Z</dcterms:modified>
</cp:coreProperties>
</file>