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A55C614B-6957-4331-A334-5C684FFA983E}" xr6:coauthVersionLast="47" xr6:coauthVersionMax="47" xr10:uidLastSave="{00000000-0000-0000-0000-000000000000}"/>
  <bookViews>
    <workbookView xWindow="-120" yWindow="-120" windowWidth="38640" windowHeight="15720" activeTab="2"/>
  </bookViews>
  <sheets>
    <sheet name="Value Workbook Overview" sheetId="20" r:id="rId1"/>
    <sheet name="Value Area Map" sheetId="1" r:id="rId2"/>
    <sheet name="Value Summary" sheetId="13" r:id="rId3"/>
    <sheet name="Income Statement Impact" sheetId="16" r:id="rId4"/>
    <sheet name="Bal. Sheet and Cash Flow Impact" sheetId="18" r:id="rId5"/>
    <sheet name="Key Financial Ratios" sheetId="19" r:id="rId6"/>
    <sheet name="General Financial Info Survey" sheetId="17" r:id="rId7"/>
    <sheet name="MRO Supply Chain Survey" sheetId="2" r:id="rId8"/>
    <sheet name="Workforce Mgmt Survey" sheetId="5" r:id="rId9"/>
    <sheet name="IT Survey" sheetId="7" r:id="rId10"/>
    <sheet name="Capital Investment Survey" sheetId="11" r:id="rId11"/>
    <sheet name="Asset Productivity Survey" sheetId="15" r:id="rId12"/>
    <sheet name="Operating Risk Survey" sheetId="9" r:id="rId13"/>
    <sheet name="MRO Supply Chain Value" sheetId="4" r:id="rId14"/>
    <sheet name="Workforce Mgmt Value" sheetId="6" r:id="rId15"/>
    <sheet name="IT Value" sheetId="8" r:id="rId16"/>
    <sheet name="Capital Investment Value" sheetId="12" r:id="rId17"/>
    <sheet name="Asset Productivity Value" sheetId="14" r:id="rId18"/>
    <sheet name="Operating Risk Value" sheetId="10" r:id="rId19"/>
  </sheets>
  <definedNames>
    <definedName name="_xlnm.Print_Area" localSheetId="11">'Asset Productivity Survey'!$A$1:$D$26</definedName>
    <definedName name="_xlnm.Print_Area" localSheetId="17">'Asset Productivity Value'!$A$1:$H$15</definedName>
    <definedName name="_xlnm.Print_Area" localSheetId="4">'Bal. Sheet and Cash Flow Impact'!$B$2:$E$46</definedName>
    <definedName name="_xlnm.Print_Area" localSheetId="10">'Capital Investment Survey'!$A$1:$D$35</definedName>
    <definedName name="_xlnm.Print_Area" localSheetId="16">'Capital Investment Value'!$A$1:$H$23</definedName>
    <definedName name="_xlnm.Print_Area" localSheetId="3">'Income Statement Impact'!$B$2:$E$36</definedName>
    <definedName name="_xlnm.Print_Area" localSheetId="9">'IT Survey'!$A$1:$D$38</definedName>
    <definedName name="_xlnm.Print_Area" localSheetId="15">'IT Value'!$A$1:$H$21</definedName>
    <definedName name="_xlnm.Print_Area" localSheetId="7">'MRO Supply Chain Survey'!$A$1:$D$49</definedName>
    <definedName name="_xlnm.Print_Area" localSheetId="13">'MRO Supply Chain Value'!$A$1:$H$26</definedName>
    <definedName name="_xlnm.Print_Area" localSheetId="12">'Operating Risk Survey'!$A$1:$D$23</definedName>
    <definedName name="_xlnm.Print_Area" localSheetId="18">'Operating Risk Value'!$A$1:$H$19</definedName>
    <definedName name="_xlnm.Print_Area" localSheetId="1">'Value Area Map'!$A$1:$F$19</definedName>
    <definedName name="_xlnm.Print_Area" localSheetId="2">'Value Summary'!$B$3:$J$31</definedName>
    <definedName name="_xlnm.Print_Area" localSheetId="0">'Value Workbook Overview'!$A$1:$B$31</definedName>
    <definedName name="_xlnm.Print_Area" localSheetId="8">'Workforce Mgmt Survey'!$A$1:$D$40</definedName>
    <definedName name="_xlnm.Print_Area" localSheetId="14">'Workforce Mgmt Value'!$A$2:$H$17</definedName>
  </definedNames>
  <calcPr calcId="92512"/>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C17" i="15" l="1"/>
  <c r="C19" i="15"/>
  <c r="C21" i="15"/>
  <c r="C23" i="15"/>
  <c r="C25" i="15"/>
  <c r="C5" i="14"/>
  <c r="E5" i="14"/>
  <c r="F5" i="14"/>
  <c r="C6" i="14"/>
  <c r="E6" i="14"/>
  <c r="F6" i="14"/>
  <c r="F8" i="14"/>
  <c r="C4" i="18"/>
  <c r="D4" i="18"/>
  <c r="E4" i="18"/>
  <c r="C5" i="18"/>
  <c r="D5" i="18"/>
  <c r="E5" i="18"/>
  <c r="C6" i="18"/>
  <c r="E6" i="18"/>
  <c r="C7" i="18"/>
  <c r="D7" i="18"/>
  <c r="E7" i="18"/>
  <c r="C9" i="18"/>
  <c r="E9" i="18"/>
  <c r="C10" i="18"/>
  <c r="D10" i="18"/>
  <c r="E10" i="18"/>
  <c r="C11" i="18"/>
  <c r="D11" i="18"/>
  <c r="E11" i="18"/>
  <c r="D17" i="18"/>
  <c r="D18" i="18"/>
  <c r="D19" i="18"/>
  <c r="D20" i="18"/>
  <c r="D21" i="18"/>
  <c r="D22" i="18"/>
  <c r="D23" i="18"/>
  <c r="D24" i="18"/>
  <c r="D25" i="18"/>
  <c r="D26" i="18"/>
  <c r="D27" i="18"/>
  <c r="D28" i="18"/>
  <c r="D29" i="18"/>
  <c r="D30" i="18"/>
  <c r="D31" i="18"/>
  <c r="D32" i="18"/>
  <c r="D33" i="18"/>
  <c r="D34" i="18"/>
  <c r="D35" i="18"/>
  <c r="D36" i="18"/>
  <c r="D39" i="18"/>
  <c r="D40" i="18"/>
  <c r="D41" i="18"/>
  <c r="D42" i="18"/>
  <c r="D44" i="18"/>
  <c r="D4" i="11"/>
  <c r="D9" i="11"/>
  <c r="D14" i="11"/>
  <c r="D19" i="11"/>
  <c r="C5" i="12"/>
  <c r="E5" i="12"/>
  <c r="F5" i="12"/>
  <c r="C6" i="12"/>
  <c r="E6" i="12"/>
  <c r="F6" i="12"/>
  <c r="C7" i="12"/>
  <c r="E7" i="12"/>
  <c r="F7" i="12"/>
  <c r="C8" i="12"/>
  <c r="D8" i="12"/>
  <c r="E8" i="12"/>
  <c r="F8" i="12"/>
  <c r="C9" i="12"/>
  <c r="D9" i="12"/>
  <c r="E9" i="12"/>
  <c r="F9" i="12"/>
  <c r="F11" i="12"/>
  <c r="C4" i="16"/>
  <c r="E4" i="16"/>
  <c r="D5" i="16"/>
  <c r="D6" i="16"/>
  <c r="D7" i="16"/>
  <c r="C8" i="16"/>
  <c r="E8" i="16"/>
  <c r="C9" i="16"/>
  <c r="E9" i="16"/>
  <c r="C10" i="16"/>
  <c r="E10" i="16"/>
  <c r="D11" i="16"/>
  <c r="D12" i="16"/>
  <c r="D13" i="16"/>
  <c r="D14" i="16"/>
  <c r="D15" i="16"/>
  <c r="D16" i="16"/>
  <c r="D17" i="16"/>
  <c r="D18" i="16"/>
  <c r="D19" i="16"/>
  <c r="D20" i="16"/>
  <c r="D21" i="16"/>
  <c r="D22" i="16"/>
  <c r="D23" i="16"/>
  <c r="D24" i="16"/>
  <c r="D25" i="16"/>
  <c r="D26" i="16"/>
  <c r="D27" i="16"/>
  <c r="C28" i="16"/>
  <c r="D28" i="16"/>
  <c r="E28" i="16"/>
  <c r="C29" i="16"/>
  <c r="E29" i="16"/>
  <c r="D30" i="16"/>
  <c r="C31" i="16"/>
  <c r="D31" i="16"/>
  <c r="E31" i="16"/>
  <c r="C32" i="16"/>
  <c r="D32" i="16"/>
  <c r="E32" i="16"/>
  <c r="C33" i="16"/>
  <c r="D33" i="16"/>
  <c r="E33" i="16"/>
  <c r="C5" i="8"/>
  <c r="D5" i="8"/>
  <c r="E5" i="8"/>
  <c r="F5" i="8"/>
  <c r="C6" i="8"/>
  <c r="D6" i="8"/>
  <c r="E6" i="8"/>
  <c r="F6" i="8"/>
  <c r="C7" i="8"/>
  <c r="D7" i="8"/>
  <c r="E7" i="8"/>
  <c r="F7" i="8"/>
  <c r="C8" i="8"/>
  <c r="E8" i="8"/>
  <c r="F8" i="8"/>
  <c r="C9" i="8"/>
  <c r="D9" i="8"/>
  <c r="F9" i="8"/>
  <c r="F11" i="8"/>
  <c r="C4" i="19"/>
  <c r="D4" i="19"/>
  <c r="C5" i="19"/>
  <c r="D5" i="19"/>
  <c r="C6" i="19"/>
  <c r="D6" i="19"/>
  <c r="C7" i="19"/>
  <c r="D7" i="19"/>
  <c r="D4" i="2"/>
  <c r="D9" i="2"/>
  <c r="D14" i="2"/>
  <c r="D19" i="2"/>
  <c r="C48" i="2"/>
  <c r="C5" i="4"/>
  <c r="D5" i="4"/>
  <c r="E5" i="4"/>
  <c r="F5" i="4"/>
  <c r="C6" i="4"/>
  <c r="D6" i="4"/>
  <c r="E6" i="4"/>
  <c r="F6" i="4"/>
  <c r="C7" i="4"/>
  <c r="D7" i="4"/>
  <c r="E7" i="4"/>
  <c r="F7" i="4"/>
  <c r="C8" i="4"/>
  <c r="D8" i="4"/>
  <c r="E8" i="4"/>
  <c r="F8" i="4"/>
  <c r="F10" i="4"/>
  <c r="C13" i="4"/>
  <c r="D13" i="4"/>
  <c r="E13" i="4"/>
  <c r="C14" i="4"/>
  <c r="D14" i="4"/>
  <c r="E14" i="4"/>
  <c r="C5" i="10"/>
  <c r="D5" i="10"/>
  <c r="E5" i="10"/>
  <c r="F5" i="10"/>
  <c r="C6" i="10"/>
  <c r="D6" i="10"/>
  <c r="E6" i="10"/>
  <c r="F6" i="10"/>
  <c r="C7" i="10"/>
  <c r="E7" i="10"/>
  <c r="F7" i="10"/>
  <c r="F9" i="10"/>
  <c r="D5" i="13"/>
  <c r="H5" i="13"/>
  <c r="I5" i="13"/>
  <c r="J5" i="13"/>
  <c r="D6" i="13"/>
  <c r="H6" i="13"/>
  <c r="I6" i="13"/>
  <c r="J6" i="13"/>
  <c r="D7" i="13"/>
  <c r="E7" i="13"/>
  <c r="H7" i="13"/>
  <c r="I7" i="13"/>
  <c r="J7" i="13"/>
  <c r="D8" i="13"/>
  <c r="H8" i="13"/>
  <c r="I8" i="13"/>
  <c r="J8" i="13"/>
  <c r="D9" i="13"/>
  <c r="H9" i="13"/>
  <c r="I9" i="13"/>
  <c r="J9" i="13"/>
  <c r="D10" i="13"/>
  <c r="H10" i="13"/>
  <c r="I10" i="13"/>
  <c r="J10" i="13"/>
  <c r="D11" i="13"/>
  <c r="H11" i="13"/>
  <c r="I11" i="13"/>
  <c r="J11" i="13"/>
  <c r="D12" i="13"/>
  <c r="H12" i="13"/>
  <c r="I12" i="13"/>
  <c r="J12" i="13"/>
  <c r="D13" i="13"/>
  <c r="H13" i="13"/>
  <c r="I13" i="13"/>
  <c r="J13" i="13"/>
  <c r="D14" i="13"/>
  <c r="H14" i="13"/>
  <c r="I14" i="13"/>
  <c r="J14" i="13"/>
  <c r="D15" i="13"/>
  <c r="H15" i="13"/>
  <c r="I15" i="13"/>
  <c r="J15" i="13"/>
  <c r="D16" i="13"/>
  <c r="H16" i="13"/>
  <c r="I16" i="13"/>
  <c r="J16" i="13"/>
  <c r="D17" i="13"/>
  <c r="H17" i="13"/>
  <c r="I17" i="13"/>
  <c r="J17" i="13"/>
  <c r="D18" i="13"/>
  <c r="H18" i="13"/>
  <c r="I18" i="13"/>
  <c r="J18" i="13"/>
  <c r="D19" i="13"/>
  <c r="H19" i="13"/>
  <c r="I19" i="13"/>
  <c r="J19" i="13"/>
  <c r="D20" i="13"/>
  <c r="H20" i="13"/>
  <c r="I20" i="13"/>
  <c r="J20" i="13"/>
  <c r="C21" i="13"/>
  <c r="D21" i="13"/>
  <c r="H21" i="13"/>
  <c r="I21" i="13"/>
  <c r="J21" i="13"/>
  <c r="C22" i="13"/>
  <c r="D22" i="13"/>
  <c r="H22" i="13"/>
  <c r="I22" i="13"/>
  <c r="J22" i="13"/>
  <c r="D23" i="13"/>
  <c r="H23" i="13"/>
  <c r="I23" i="13"/>
  <c r="J23" i="13"/>
  <c r="D24" i="13"/>
  <c r="H24" i="13"/>
  <c r="I24" i="13"/>
  <c r="J24" i="13"/>
  <c r="D25" i="13"/>
  <c r="H25" i="13"/>
  <c r="I25" i="13"/>
  <c r="J25" i="13"/>
  <c r="H27" i="13"/>
  <c r="I27" i="13"/>
  <c r="J27" i="13"/>
  <c r="H28" i="13"/>
  <c r="I28" i="13"/>
  <c r="J28" i="13"/>
  <c r="H29" i="13"/>
  <c r="D4" i="5"/>
  <c r="D9" i="5"/>
  <c r="D14" i="5"/>
  <c r="D19" i="5"/>
  <c r="D24" i="5"/>
  <c r="D29" i="5"/>
  <c r="C5" i="6"/>
  <c r="D5" i="6"/>
  <c r="E5" i="6"/>
  <c r="F5" i="6"/>
  <c r="C6" i="6"/>
  <c r="D6" i="6"/>
  <c r="E6" i="6"/>
  <c r="F6" i="6"/>
  <c r="F8" i="6"/>
</calcChain>
</file>

<file path=xl/comments1.xml><?xml version="1.0" encoding="utf-8"?>
<comments xmlns="http://schemas.openxmlformats.org/spreadsheetml/2006/main">
  <authors>
    <author>Keith D. Smith</author>
  </authors>
  <commentList>
    <comment ref="C4" authorId="0" shapeId="0">
      <text>
        <r>
          <rPr>
            <sz val="12"/>
            <color indexed="81"/>
            <rFont val="Tahoma"/>
            <family val="2"/>
          </rPr>
          <t>Rates the size of the savings opportunity based on answers provided in the survey.  For example, "High" indicates a low level of capability or proficiency and the potential to realize a significant savings opportunity.</t>
        </r>
      </text>
    </comment>
    <comment ref="B5" authorId="0" shapeId="0">
      <text>
        <r>
          <rPr>
            <sz val="12"/>
            <color indexed="81"/>
            <rFont val="Tahoma"/>
            <family val="2"/>
          </rPr>
          <t xml:space="preserve">By consolidating the vendor base and reducing maverick buying, our customers can see significant reductions in piece prices.
</t>
        </r>
      </text>
    </comment>
    <comment ref="B6" authorId="0" shapeId="0">
      <text>
        <r>
          <rPr>
            <sz val="12"/>
            <color indexed="81"/>
            <rFont val="Tahoma"/>
            <family val="2"/>
          </rPr>
          <t>By linking asset management, MRO inventory, and the supplier's order management system our customers can speed up the supply chain, reduce lead times, and drive down inventory levels dramatically.  Also, our asset management solution provides enterprise wide inventory visibility that can reduce purchases of redundant and expensive OEM parts.</t>
        </r>
      </text>
    </comment>
    <comment ref="F6" authorId="0" shapeId="0">
      <text>
        <r>
          <rPr>
            <sz val="12"/>
            <color indexed="81"/>
            <rFont val="Tahoma"/>
            <family val="2"/>
          </rPr>
          <t>Excess inventory is assumed returned to vendor for credit at $0.75 on the dollar</t>
        </r>
      </text>
    </comment>
    <comment ref="B7" authorId="0" shapeId="0">
      <text>
        <r>
          <rPr>
            <sz val="12"/>
            <color indexed="81"/>
            <rFont val="Tahoma"/>
            <family val="2"/>
          </rPr>
          <t>Our customers can save significant admin $ by moving to a completely electronic MRO supply chain that automates and simplifies the purchasing process and labor required.</t>
        </r>
      </text>
    </comment>
    <comment ref="B8" authorId="0" shapeId="0">
      <text>
        <r>
          <rPr>
            <sz val="12"/>
            <color indexed="81"/>
            <rFont val="Tahoma"/>
            <family val="2"/>
          </rPr>
          <t xml:space="preserve">25% Carrying Cost = 
Cost of Capital @ 6%
Obsolescence @ 6%
Handling and Clerical Control @ 5%
Shrinkage @ 3%
Warehouse Expense @2%
Taxes @2%
Insurance @1%
 </t>
        </r>
      </text>
    </comment>
    <comment ref="B13" authorId="0" shapeId="0">
      <text>
        <r>
          <rPr>
            <sz val="12"/>
            <color indexed="81"/>
            <rFont val="Tahoma"/>
            <family val="2"/>
          </rPr>
          <t>By linking asset management, MRO inventory, and the supplier's order management system our customers can speed up the supply chain and reduce lead times significantly.</t>
        </r>
      </text>
    </comment>
    <comment ref="B14" authorId="0" shapeId="0">
      <text>
        <r>
          <rPr>
            <sz val="12"/>
            <color indexed="81"/>
            <rFont val="Tahoma"/>
            <family val="2"/>
          </rPr>
          <t>By lowering inventory levels we can greatly improve this key inventory metric.</t>
        </r>
      </text>
    </comment>
    <comment ref="B20" authorId="0" shapeId="0">
      <text>
        <r>
          <rPr>
            <sz val="12"/>
            <color indexed="81"/>
            <rFont val="Tahoma"/>
            <family val="2"/>
          </rPr>
          <t>"Maverick buyers pay between 18%-27% higher prices compared to Corporate VPA agreements..."
Morgan Stanley Dean Witter</t>
        </r>
      </text>
    </comment>
    <comment ref="B21" authorId="0" shapeId="0">
      <text>
        <r>
          <rPr>
            <sz val="12"/>
            <color indexed="81"/>
            <rFont val="Tahoma"/>
            <family val="2"/>
          </rPr>
          <t>Without effective MRO inventory management processes, industry experience shows 20%-30% of a customer's inventory is in the category of Excess Active items or surplus inventory"
Jim Calvert, President and CEO, IMA</t>
        </r>
        <r>
          <rPr>
            <sz val="8"/>
            <color indexed="81"/>
            <rFont val="Tahoma"/>
          </rPr>
          <t xml:space="preserve">
</t>
        </r>
      </text>
    </comment>
    <comment ref="B22" authorId="0" shapeId="0">
      <text>
        <r>
          <rPr>
            <sz val="12"/>
            <color indexed="81"/>
            <rFont val="Tahoma"/>
            <family val="2"/>
          </rPr>
          <t>Average Cost of Processing 1 Manual Purchase Order: $107
Average Cost of Processing 1 Electronic Purchase Order: $30
Aberdeen, June 1999, "Internet Procurement: The Importance of Maintenance and Repair"</t>
        </r>
      </text>
    </comment>
    <comment ref="B23" authorId="0" shapeId="0">
      <text>
        <r>
          <rPr>
            <sz val="12"/>
            <color indexed="81"/>
            <rFont val="Tahoma"/>
            <family val="2"/>
          </rPr>
          <t>25%-50%, Aberdeen, June 1999, "Internet Procurement: The Importance of Maintenance and Repair"</t>
        </r>
      </text>
    </comment>
  </commentList>
</comments>
</file>

<file path=xl/comments2.xml><?xml version="1.0" encoding="utf-8"?>
<comments xmlns="http://schemas.openxmlformats.org/spreadsheetml/2006/main">
  <authors>
    <author>Keith D. Smith</author>
  </authors>
  <commentList>
    <comment ref="B3" authorId="0" shapeId="0">
      <text>
        <r>
          <rPr>
            <sz val="12"/>
            <color indexed="81"/>
            <rFont val="Tahoma"/>
            <family val="2"/>
          </rPr>
          <t>Drive increased workforce utilization and reduce total labor expense through improved PM/PdM, resource scheduling, skill tracking, data collection, and record keeping.</t>
        </r>
      </text>
    </comment>
    <comment ref="C4" authorId="0" shapeId="0">
      <text>
        <r>
          <rPr>
            <sz val="12"/>
            <color indexed="81"/>
            <rFont val="Tahoma"/>
            <family val="2"/>
          </rPr>
          <t>Rates the size of the savings opportunity based on answers provided in the survey.  For example, "High" indicates a low level of capability or proficiency and the potential to realize a significant savings opportunity.</t>
        </r>
      </text>
    </comment>
  </commentList>
</comments>
</file>

<file path=xl/comments3.xml><?xml version="1.0" encoding="utf-8"?>
<comments xmlns="http://schemas.openxmlformats.org/spreadsheetml/2006/main">
  <authors>
    <author>Keith D. Smith</author>
  </authors>
  <commentList>
    <comment ref="C4" authorId="0" shapeId="0">
      <text>
        <r>
          <rPr>
            <sz val="12"/>
            <color indexed="81"/>
            <rFont val="Tahoma"/>
            <family val="2"/>
          </rPr>
          <t>Rates the size of the savings opportunity based on answers provided in the survey.  For example, "High" indicates a low level of capability or proficiency and the potential to realize a significant savings opportunity.</t>
        </r>
      </text>
    </comment>
    <comment ref="B5" authorId="0" shapeId="0">
      <text>
        <r>
          <rPr>
            <sz val="12"/>
            <color indexed="81"/>
            <rFont val="Tahoma"/>
            <family val="2"/>
          </rPr>
          <t>Time spent visiting and maintaining desktops for EAM use will be virtually eliminated if moving from a self-hosted client server application to a DSTM hosted web-architected application.</t>
        </r>
      </text>
    </comment>
    <comment ref="B6" authorId="0" shapeId="0">
      <text>
        <r>
          <rPr>
            <sz val="12"/>
            <color indexed="81"/>
            <rFont val="Tahoma"/>
            <family val="2"/>
          </rPr>
          <t>Time spent maintaining the database for EAM use will be eliminated if moving from a self-hosted client server application to a DSTM hosted web-architected application.</t>
        </r>
      </text>
    </comment>
    <comment ref="B7" authorId="0" shapeId="0">
      <text>
        <r>
          <rPr>
            <sz val="12"/>
            <color indexed="81"/>
            <rFont val="Tahoma"/>
            <family val="2"/>
          </rPr>
          <t>Using DSTM's dataBridge integration tool to tie together other shop floor applications and financials our customer's can eliminate all associated double entry  and reduce labor costs.</t>
        </r>
      </text>
    </comment>
    <comment ref="B8" authorId="0" shapeId="0">
      <text>
        <r>
          <rPr>
            <sz val="12"/>
            <color indexed="81"/>
            <rFont val="Tahoma"/>
            <family val="2"/>
          </rPr>
          <t>By using DSTM's dataBridge integration tool to tie together 7i with other shop floor applications and financials, our customer's will speed information flows, reduce clerical errors, and greatly improve asset related decision making.
Customer's can expect to capture a % savings related to the size of the asset base.   Improved data reliability allows for much better asset maintenance and management which extends asset life, improves analysis, and makes for better informed capital purchasing decisions.</t>
        </r>
      </text>
    </comment>
    <comment ref="B9" authorId="0" shapeId="0">
      <text>
        <r>
          <rPr>
            <sz val="12"/>
            <color indexed="81"/>
            <rFont val="Tahoma"/>
            <family val="2"/>
          </rPr>
          <t>7i is a fully web-architected product.  Other so-called web-enabled products still need to employ additional software or hardware to achieve reasonable performance over a WAN.</t>
        </r>
      </text>
    </comment>
    <comment ref="B17" authorId="0" shapeId="0">
      <text>
        <r>
          <rPr>
            <sz val="12"/>
            <color indexed="81"/>
            <rFont val="Tahoma"/>
            <family val="2"/>
          </rPr>
          <t>"With hosted services, companies report a five-year ROI of 404%, noting not only the cost benefits but an increased ablility to focus on their core business and improve the work environment",  IDC</t>
        </r>
      </text>
    </comment>
  </commentList>
</comments>
</file>

<file path=xl/comments4.xml><?xml version="1.0" encoding="utf-8"?>
<comments xmlns="http://schemas.openxmlformats.org/spreadsheetml/2006/main">
  <authors>
    <author>Keith D. Smith</author>
  </authors>
  <commentList>
    <comment ref="C4" authorId="0" shapeId="0">
      <text>
        <r>
          <rPr>
            <sz val="12"/>
            <color indexed="81"/>
            <rFont val="Tahoma"/>
            <family val="2"/>
          </rPr>
          <t>Rates the size of the savings opportunity based on answers provided in the survey.  For example, "High" indicates a low level of capability or proficiency and the potential to realize a significant savings opportunity.</t>
        </r>
      </text>
    </comment>
    <comment ref="B5" authorId="0" shapeId="0">
      <text>
        <r>
          <rPr>
            <sz val="12"/>
            <color indexed="81"/>
            <rFont val="Tahoma"/>
            <family val="2"/>
          </rPr>
          <t xml:space="preserve">Our customers can reduce net labor expense by improving their tracking and remuneration of warranty claims via 7i.
</t>
        </r>
      </text>
    </comment>
    <comment ref="B6" authorId="0" shapeId="0">
      <text>
        <r>
          <rPr>
            <sz val="12"/>
            <color indexed="81"/>
            <rFont val="Tahoma"/>
            <family val="2"/>
          </rPr>
          <t>7i can help our customers know what assets they have and where they are located thereby reducing redundant asset purchases.</t>
        </r>
      </text>
    </comment>
    <comment ref="B7" authorId="0" shapeId="0">
      <text>
        <r>
          <rPr>
            <sz val="12"/>
            <color indexed="81"/>
            <rFont val="Tahoma"/>
            <family val="2"/>
          </rPr>
          <t>By implementing our EAM system, customers can increase their asset base life and defer or avoid capital purchases.</t>
        </r>
      </text>
    </comment>
    <comment ref="B8" authorId="0" shapeId="0">
      <text>
        <r>
          <rPr>
            <sz val="10"/>
            <color indexed="81"/>
            <rFont val="Tahoma"/>
            <family val="2"/>
          </rPr>
          <t>With our asset tracking capability, our customer can reduce costly asset write-downs due to lack of information about the asset location or state of operation.</t>
        </r>
      </text>
    </comment>
    <comment ref="B9" authorId="0" shapeId="0">
      <text>
        <r>
          <rPr>
            <sz val="12"/>
            <color indexed="81"/>
            <rFont val="Tahoma"/>
            <family val="2"/>
          </rPr>
          <t xml:space="preserve">Physical audits are time intensive and expensive.  We can help our customers save labor expense here with our asset tracking capabilities.
 </t>
        </r>
      </text>
    </comment>
    <comment ref="B19" authorId="0" shapeId="0">
      <text>
        <r>
          <rPr>
            <sz val="12"/>
            <color indexed="81"/>
            <rFont val="Tahoma"/>
            <family val="2"/>
          </rPr>
          <t xml:space="preserve">"Extending the lives of assets worth $20 million dollars for as short a time as 3 months leads to more than $500,000 dollars in immediate savings", Tompkins Associates.  
</t>
        </r>
      </text>
    </comment>
  </commentList>
</comments>
</file>

<file path=xl/comments5.xml><?xml version="1.0" encoding="utf-8"?>
<comments xmlns="http://schemas.openxmlformats.org/spreadsheetml/2006/main">
  <authors>
    <author>Keith D. Smith</author>
  </authors>
  <commentList>
    <comment ref="C4" authorId="0" shapeId="0">
      <text>
        <r>
          <rPr>
            <sz val="12"/>
            <color indexed="81"/>
            <rFont val="Tahoma"/>
            <family val="2"/>
          </rPr>
          <t>Rates the size of the savings opportunity based on answers provided in the survey.  For example, "High" indicates a low level of capability or proficiency and the potential to realize a significant savings opportunity.</t>
        </r>
      </text>
    </comment>
    <comment ref="B5" authorId="0" shapeId="0">
      <text>
        <r>
          <rPr>
            <sz val="12"/>
            <color indexed="81"/>
            <rFont val="Tahoma"/>
            <family val="2"/>
          </rPr>
          <t xml:space="preserve">With 7i, customers can greatly increase the efficiency of repairs and other maintenance tasks performed during scheduled downtime.    The efficiency gains produce an overall reduction in scheduled downtime needed each year to perform these tasks. </t>
        </r>
      </text>
    </comment>
    <comment ref="B6" authorId="0" shapeId="0">
      <text>
        <r>
          <rPr>
            <sz val="10"/>
            <color indexed="81"/>
            <rFont val="Tahoma"/>
            <family val="2"/>
          </rPr>
          <t>With 7i, companies can drive significant improvements in preventative/predictive maintenance processes and a corresponding increase in asset performance, life, and uptime.
In addition, our inventory management module ensures that the right parts are on-hand to provide for a quicker repair and less downtime.</t>
        </r>
      </text>
    </comment>
    <comment ref="B13" authorId="0" shapeId="0">
      <text>
        <r>
          <rPr>
            <sz val="12"/>
            <color indexed="81"/>
            <rFont val="Tahoma"/>
            <family val="2"/>
          </rPr>
          <t xml:space="preserve">Improve production capacity 5%-15%  (Pulsemark Benchmark)
Increase equipment efficiency 20.1% (A.T. Kearney)
</t>
        </r>
      </text>
    </comment>
    <comment ref="B14" authorId="0" shapeId="0">
      <text>
        <r>
          <rPr>
            <sz val="12"/>
            <color indexed="81"/>
            <rFont val="Tahoma"/>
            <family val="2"/>
          </rPr>
          <t>Improve production capacity 5%-15%  (Pulsemark Benchmark)
Increase equipment efficiency 20.1% (A.T. Kearney)</t>
        </r>
      </text>
    </comment>
  </commentList>
</comments>
</file>

<file path=xl/comments6.xml><?xml version="1.0" encoding="utf-8"?>
<comments xmlns="http://schemas.openxmlformats.org/spreadsheetml/2006/main">
  <authors>
    <author>Keith D. Smith</author>
  </authors>
  <commentList>
    <comment ref="B3" authorId="0" shapeId="0">
      <text>
        <r>
          <rPr>
            <sz val="12"/>
            <color indexed="81"/>
            <rFont val="Tahoma"/>
            <family val="2"/>
          </rPr>
          <t>"In the automotive industry, suppliers are expected to work to certain ISO 9001 standards , and more importantly in recent times, QS 9000.  To keep QS 9000 certification, you must have a PM system, which is where Datastream comes in. BorgWarner cannot afford to lose the accreditation, as all of the major manufacturers expect us to have it, and we are audited every six months with the results dictating whether we keep the award."
Andrew Evans, maintenance analyst BorgWarner</t>
        </r>
      </text>
    </comment>
    <comment ref="C4" authorId="0" shapeId="0">
      <text>
        <r>
          <rPr>
            <sz val="12"/>
            <color indexed="81"/>
            <rFont val="Tahoma"/>
            <family val="2"/>
          </rPr>
          <t>Rates the size of the savings opportunity based on answers provided in the survey.  For example, "High" indicates a low level of capability or proficiency and the potential to realize a significant savings opportunity.</t>
        </r>
      </text>
    </comment>
  </commentList>
</comments>
</file>

<file path=xl/sharedStrings.xml><?xml version="1.0" encoding="utf-8"?>
<sst xmlns="http://schemas.openxmlformats.org/spreadsheetml/2006/main" count="588" uniqueCount="379">
  <si>
    <t>Reduction in labor cost for purchasing process</t>
  </si>
  <si>
    <t>Decrease cost of maintenance / increase cash by implemening a warranty managmement program</t>
  </si>
  <si>
    <t>Reduction in inventory carrying cost</t>
  </si>
  <si>
    <t>Safety</t>
  </si>
  <si>
    <t>How DSTM Delivers</t>
  </si>
  <si>
    <t>Purchasing Mgmt/Integrated Procurement</t>
  </si>
  <si>
    <t>Materials Management</t>
  </si>
  <si>
    <t>Asset Module, Work Management</t>
  </si>
  <si>
    <t>Asset Module, Work Mgmt, Scheduling, Inspection Mgmt</t>
  </si>
  <si>
    <t>Asset Module</t>
  </si>
  <si>
    <t>Compliance/ Certification</t>
  </si>
  <si>
    <t>Paris Metro</t>
  </si>
  <si>
    <t>Hosting Service</t>
  </si>
  <si>
    <t>Hosting Lowers TCO by outsourcing what is not mission critical</t>
  </si>
  <si>
    <t>Datastream 7i mobile</t>
  </si>
  <si>
    <t>Reduce labor in the field by using mobile technology to process and respond to work orders</t>
  </si>
  <si>
    <t>dataBridge</t>
  </si>
  <si>
    <t>Data Collection</t>
  </si>
  <si>
    <t>Reduce labor in the plant through use of bar code technology</t>
  </si>
  <si>
    <t>Key Questions</t>
  </si>
  <si>
    <t>Materials Management, DSTM Content Services</t>
  </si>
  <si>
    <t>MRO Supply Chain</t>
  </si>
  <si>
    <t>Value Proposition</t>
  </si>
  <si>
    <t>Strategic</t>
  </si>
  <si>
    <t>Operational</t>
  </si>
  <si>
    <t>Operating Cost</t>
  </si>
  <si>
    <t>Integration</t>
  </si>
  <si>
    <t>Hosting</t>
  </si>
  <si>
    <t>Tactical</t>
  </si>
  <si>
    <t>Operating Risk</t>
  </si>
  <si>
    <t>Capital Asset Investment</t>
  </si>
  <si>
    <t>PM/PdM</t>
  </si>
  <si>
    <t>Warranty Management</t>
  </si>
  <si>
    <t>Footprint</t>
  </si>
  <si>
    <t>Improve enterprise interoperability and decrease I/T integration expense</t>
  </si>
  <si>
    <t>Asset Uptime</t>
  </si>
  <si>
    <t>Increase asset availability and associated revenue by speeding up turn around or shut down maintenance</t>
  </si>
  <si>
    <t>Decrease redundant purchases and write-offs due to inaccurate or incomplete asset record</t>
  </si>
  <si>
    <t>Purchasing Process</t>
  </si>
  <si>
    <t>Asset Life Extension</t>
  </si>
  <si>
    <t>Increase in asset availability and associated revenue through improved PM, PDM</t>
  </si>
  <si>
    <t>Reduce capital purchasing by improving buy vs repair decisions based on performance analysis and repair history</t>
  </si>
  <si>
    <t>Shutdown Optimization</t>
  </si>
  <si>
    <t>Avoid costly shutdowns and legal liability due to safety problems</t>
  </si>
  <si>
    <t>Avoid costly shutdowns and legal liability due to regulatory violations or certification issues</t>
  </si>
  <si>
    <t>Days</t>
  </si>
  <si>
    <t>days</t>
  </si>
  <si>
    <t>Response</t>
  </si>
  <si>
    <t>Total MRO Supply Chain Value</t>
  </si>
  <si>
    <t>A) Please select the statement that best describes the customer's physical MRO inventory control practices</t>
  </si>
  <si>
    <t>B) Please select the statement that best describes the customer's MRO inventory system</t>
  </si>
  <si>
    <t>C) Please select the statement that best describes the customer's MRO purchasing system</t>
  </si>
  <si>
    <t>D) Please select the statement that best describes the customer's integration with the MRO supply chain</t>
  </si>
  <si>
    <t>E) What is total value of MRO inventory on-hand?</t>
  </si>
  <si>
    <t>G) What is the current MRO inventory turns ratio (annual disbursements / average annual inv value)?</t>
  </si>
  <si>
    <t>H) What is the average lead time for generic MRO items?</t>
  </si>
  <si>
    <t xml:space="preserve">I) What is total MRO spend? </t>
  </si>
  <si>
    <t>1) Decentralized with MRO items stored in unsecured cribs</t>
  </si>
  <si>
    <t>1) Paper based or manual system with little or no usage analysis</t>
  </si>
  <si>
    <t>1) Paper based requisitions issued by hand, driven by manual re-order methods</t>
  </si>
  <si>
    <t>1) Communications (e.g., orders, returns) are handled via phone and fax with little or no electronic integration between demand (e.g., work orders) and supply (e.g., distributor)</t>
  </si>
  <si>
    <t>2) Central storeroom with storekeeper but inventory is not assigned to jobs or people</t>
  </si>
  <si>
    <t>2) Decentralized or standalone electronic system with minimal usage analysis</t>
  </si>
  <si>
    <t>2) Requisitions generated electronically, driven by a standalone inventory system</t>
  </si>
  <si>
    <t>2) Your purchasing system communicates directly with most of your suppliers' order management systems but with little or no linkage to an asset management system</t>
  </si>
  <si>
    <t>3) Central storeroom with storekeeper with inventory assigned to specific jobs or people</t>
  </si>
  <si>
    <t>3) Enterprise system integrated with an asset management or CMMS system with detailed EOQ and ABC analysis</t>
  </si>
  <si>
    <t>3) Requisitions generated and approved electronically, driven by an enterprise asset management system</t>
  </si>
  <si>
    <t>3) MRO supply chain is fully integrated.  Asset management system communicates demand directly to the purchasing system that places orders electronically with the suppliers' order management systems</t>
  </si>
  <si>
    <t>Low</t>
  </si>
  <si>
    <t>Current</t>
  </si>
  <si>
    <t>Benefit</t>
  </si>
  <si>
    <t>J) What % of the total MRO Spend is addressable (exclude services, utilities, OEM) by DSTM?</t>
  </si>
  <si>
    <t>F) What % of the inventory on-hand is MRO generic vs. OEM?</t>
  </si>
  <si>
    <t>Reduction in material costs by tightening supply chain, consolidating vendors, leveraging supplier relationships, and improved tracking and adherence to national contracts</t>
  </si>
  <si>
    <t>Reduce Lead Time (Days) for Generic MRO items</t>
  </si>
  <si>
    <t>Additional Related Benefits</t>
  </si>
  <si>
    <t>Customer Success</t>
  </si>
  <si>
    <t>Alaska Ocean Seafood, Flower Auction Holland, US Filter, The Budd Company</t>
  </si>
  <si>
    <t>Reduction in MRO Inventory (excess active, redundant, or obsolete), decrease lead times, increase inventory turns</t>
  </si>
  <si>
    <t>MRO Supply Chain Survey</t>
  </si>
  <si>
    <t>Y</t>
  </si>
  <si>
    <t>N</t>
  </si>
  <si>
    <t>L) Are MRO items expensed (Y/N)?</t>
  </si>
  <si>
    <t>Value Returned</t>
  </si>
  <si>
    <t>Plant Labor</t>
  </si>
  <si>
    <t>Field Labor</t>
  </si>
  <si>
    <t>K) What % of the Addressable Spend is off-contract (non VPA)?</t>
  </si>
  <si>
    <t>M) Total number of MRO purchase orders per year?</t>
  </si>
  <si>
    <t>N) How many employees create, approve, or transmit MRO purchase orders?</t>
  </si>
  <si>
    <t>O) On average, what % of their time is devoted to processing (search, create, approve, transmit, etc) POs?</t>
  </si>
  <si>
    <t>P) What is average fully loaded salary for these employees?</t>
  </si>
  <si>
    <t>Value Points</t>
  </si>
  <si>
    <t>MRO Supply Chain Value</t>
  </si>
  <si>
    <t>Reduce Inventory On-Hand (Generic MRO)</t>
  </si>
  <si>
    <t>Leverage MRO Spend (Reduce Material Cost)</t>
  </si>
  <si>
    <t>MRO Supply Chain Benchmarks</t>
  </si>
  <si>
    <t>High</t>
  </si>
  <si>
    <t>Savings % vs. Opportunity</t>
  </si>
  <si>
    <t>* Sanity Check: Current cost to process 1 purchase order based on responses M-P (generally $50-$150)</t>
  </si>
  <si>
    <t>Workforce Management</t>
  </si>
  <si>
    <t>Material Cost</t>
  </si>
  <si>
    <t>Inventory Levels</t>
  </si>
  <si>
    <t>1) All job scheduling is managed manually</t>
  </si>
  <si>
    <t>3) Job scheduling is managed electronically and can track hours available, hours by trade, report on individual hours and costs, and handle employee substitution</t>
  </si>
  <si>
    <t>2) Job scheduling is managed electronically and can track hours available and/or by trade.</t>
  </si>
  <si>
    <t xml:space="preserve">1) Verbal notification of work request </t>
  </si>
  <si>
    <t>2) Written work request centrally received in maintenance and entered by the maintenance supervisor in a work management database</t>
  </si>
  <si>
    <t>3) Work requests entered electronically by requestor directly into an enterprise level work management system</t>
  </si>
  <si>
    <t>1) Manual ad-hoc generation of work orders</t>
  </si>
  <si>
    <t>2) Work orders generated on a largely ad-hoc basis by a local plant-level system</t>
  </si>
  <si>
    <t>3) Work orders generated electronically from enterprise level asset management solution based on ad-hoc requests and planned maintenance schedules.</t>
  </si>
  <si>
    <t>2) Spot use of data collection technologies in the some areas of the plant</t>
  </si>
  <si>
    <t>3) Extensive use of data collection and bar coding technologies to track assets, compile information, and conduct object audits and physical inventories</t>
  </si>
  <si>
    <t>2) Spot use of mobile technologies to perform data entry tasks and receive information</t>
  </si>
  <si>
    <t>3) Extensive use of mobile technologies to perform data entry tasks and receive information</t>
  </si>
  <si>
    <t>1) Minimal use of mobile technologies</t>
  </si>
  <si>
    <t>1) Minimal use of automated data collection technologies</t>
  </si>
  <si>
    <t>1) Most work performed when equipment fails.  Problems are addressed as they are discovered.  Very little record keeping and data available is poor in quality.  Small % of maintenance time is devoted to prevetative measures.</t>
  </si>
  <si>
    <t>B) Please select the statement that best describes the customer's work order entry process</t>
  </si>
  <si>
    <t>C) Please select the statement that best describes the customer's work order generation process</t>
  </si>
  <si>
    <t>D) Please select the statement that best describes the customer's job scheduling capability</t>
  </si>
  <si>
    <t>E) Please select the statement that best describes the customer's use of data collection/bar coding technologies</t>
  </si>
  <si>
    <t>F) Please select the statement that best describes the customer's use of hand held or mobile technologies</t>
  </si>
  <si>
    <r>
      <t xml:space="preserve">I) Total </t>
    </r>
    <r>
      <rPr>
        <b/>
        <i/>
        <sz val="10"/>
        <rFont val="Arial"/>
        <family val="2"/>
      </rPr>
      <t>overtime</t>
    </r>
    <r>
      <rPr>
        <b/>
        <sz val="10"/>
        <rFont val="Arial"/>
        <family val="2"/>
      </rPr>
      <t xml:space="preserve"> hours logged in the past 12 months?</t>
    </r>
  </si>
  <si>
    <t>A) Please select the statement that best describes the customer's work management practices</t>
  </si>
  <si>
    <t>2) Uses routine inspections, lubrications, adjustments, and minor service to improve equipment MTBF.  Record keeping is sporadic and data quality is somewhat dependable.  Roughly 50% of work is devoted to preventative measures.</t>
  </si>
  <si>
    <t>G) What is the average fully loaded hourly rate (fully loaded = standard rate x 1.22 in general) for a maintenance employee?</t>
  </si>
  <si>
    <t>H) Total maintenance hours (exclude overtime) logged in the past 12 months?</t>
  </si>
  <si>
    <t>Workforce Management Value</t>
  </si>
  <si>
    <t>Workforce Management Benchmarks</t>
  </si>
  <si>
    <t>Total Workforce Management Value</t>
  </si>
  <si>
    <t>Reduce Overtime Expense</t>
  </si>
  <si>
    <t>Air Products, Barrick, FA, Chevron Nigeria</t>
  </si>
  <si>
    <t>Moderate</t>
  </si>
  <si>
    <t>Increase Inventory Turns</t>
  </si>
  <si>
    <t>Decrease maintenance labor cost through proper scheduling and optimizing the maintenance process via EAM</t>
  </si>
  <si>
    <t>Work Management</t>
  </si>
  <si>
    <t>A) Please select the statement that best describes the customer's EAM infrastructure</t>
  </si>
  <si>
    <t>1) No EAM system at present</t>
  </si>
  <si>
    <t>B) Please select the statement that best describes the customer's EAM deployment</t>
  </si>
  <si>
    <t>F) Avg. annual salary (fully loaded) of system administrator?</t>
  </si>
  <si>
    <t>D) Number of potential EAM users?</t>
  </si>
  <si>
    <t>E) Number of system administrators supporting the current EAM application?  Include times spent at user desktops applying upgrades, patches, etc.  Use partial numbers to reflect time split (e.g., 0.5 sys admin = 1 sys admin spending 50% of time on EAM application)</t>
  </si>
  <si>
    <t>H) Avg. annual salary (fully loaded) of DBA?</t>
  </si>
  <si>
    <t>G) Number of Oracle DBAs supporting the current EAM database?  Use partial numbers to reflect time split (e.g., 0.5 DBA = 1 DBA spending 50% of time on EAM database)</t>
  </si>
  <si>
    <t>3) EAM system installed as enterprise wide web-architected application</t>
  </si>
  <si>
    <t>2) EAM installed as a standalone or client-server application running Citrix or other for WAN performance</t>
  </si>
  <si>
    <t>1) Hosted by a third party provider</t>
  </si>
  <si>
    <t>2) Self-hosted</t>
  </si>
  <si>
    <r>
      <t xml:space="preserve">C) If running Citrix or other WAN performance product </t>
    </r>
    <r>
      <rPr>
        <b/>
        <i/>
        <sz val="10"/>
        <rFont val="Arial"/>
        <family val="2"/>
      </rPr>
      <t>solely</t>
    </r>
    <r>
      <rPr>
        <b/>
        <sz val="10"/>
        <rFont val="Arial"/>
        <family val="2"/>
      </rPr>
      <t xml:space="preserve"> for EAM, amount of current support payment?  If Citrix in use for other products, enter $0</t>
    </r>
  </si>
  <si>
    <t>1) No integration, real-time or other, with any applications</t>
  </si>
  <si>
    <t>3) Real-time interfaces exist between EAM and other corporate applications</t>
  </si>
  <si>
    <t>2) Some batch or flat file integration with other corporate applications</t>
  </si>
  <si>
    <t>I/T</t>
  </si>
  <si>
    <t>I/T Value</t>
  </si>
  <si>
    <t>Total I/T Value</t>
  </si>
  <si>
    <t>I/T Benchmarks</t>
  </si>
  <si>
    <t>I/T Survey</t>
  </si>
  <si>
    <t>J) Estimate the number of people performing double data entry due to lack of EAM integration</t>
  </si>
  <si>
    <t>K) Estimate the % of their time spent performing double data entry tasks due to lack of EAM integration</t>
  </si>
  <si>
    <t>Web Solution Lowers TCO because it's deployed and administered from one central server with minimal client footprint</t>
  </si>
  <si>
    <t>L) Average annual salary (fully loaded) of data entry personnel?</t>
  </si>
  <si>
    <t>I) Please select the statement that best describes the EAM integration with other corporate applications (e.g., Oracle   Financials, SAP)</t>
  </si>
  <si>
    <t>3) Utilizes techniques such as vibration analysis, thermography, sonics, etc. to monitor equipment condition to allow for proactive replacement and problem solving instead of failures.  Record keeping is extensive with very high and reliable data quality.  80% of work is devoted to predictive or preventative activities.</t>
  </si>
  <si>
    <t>Reduce System Administration Expense due to DSTM Hosting</t>
  </si>
  <si>
    <t>Reduce Database Administration Expense due to DSTM Hosting</t>
  </si>
  <si>
    <t>Improve Data Reliability and Decision Making due to dataBridge integration tool</t>
  </si>
  <si>
    <t>Decrease Labor Cost Due to Double Entry due to dataBridge integration tool</t>
  </si>
  <si>
    <t>Asset Availability</t>
  </si>
  <si>
    <t>Operating Risk Survey</t>
  </si>
  <si>
    <t>Operating Risk Value</t>
  </si>
  <si>
    <t>Operating Risk Benchmarks</t>
  </si>
  <si>
    <t>Current Annual</t>
  </si>
  <si>
    <t>Reduce Safety Claims Due to Proper Permits Management and Record Keeping</t>
  </si>
  <si>
    <t>Reduce Regulatory Fines Due to Proper Audit Controls and Record Keeping</t>
  </si>
  <si>
    <t>A) Select the statement that best describes the customer's safety permit system</t>
  </si>
  <si>
    <t>2) Safety permits are stored electronically but not auto printed with related work orders</t>
  </si>
  <si>
    <t>1) Safety permits are not readily available nor auto printed with work orders</t>
  </si>
  <si>
    <t>3) Safety permits are stored electronically and printed with the related work order</t>
  </si>
  <si>
    <t>C) Total $ amount of maintenance related safety claims in the past 5 years?</t>
  </si>
  <si>
    <t>1) Maintenance audit trail and record keeping are manual and haphazard</t>
  </si>
  <si>
    <t>B) Select the statement that best describes the customer's audit control and maintenance record keeping</t>
  </si>
  <si>
    <t>3) Maintenance audit trail and record keeping are electronic and comprehensive with strong adherence to corporate guidelines</t>
  </si>
  <si>
    <t>D) Total $ amount of maintenance related regulatory fines in the past 5 years?</t>
  </si>
  <si>
    <t>2) Maintenance audit trail and record keeping are electronic but not pervasive.  Significant gaps exist.</t>
  </si>
  <si>
    <t>Total Operating Risk Value</t>
  </si>
  <si>
    <t>Chevron Nigeria, Dunlop Tire, BAE Systems, Borg-Warner, Kroger, Delta Biotechnology, Thermoplastic Technology, UFE</t>
  </si>
  <si>
    <t>Expected Annual</t>
  </si>
  <si>
    <t>Expected</t>
  </si>
  <si>
    <t>Reduce Revenue Loss Due to Safety or Regulatory related Shutdowns or Loss of Certification</t>
  </si>
  <si>
    <t>E) Estimate total amount of lost annual revenue due to i) loss of ISO or QS certification due to poor maintenance record keeping or insufficient audit capability OR ii) shutdown due to safety or regulatory issues.  Consider lost contracts due to certification loss and loss of production capacity due to shutdowns.</t>
  </si>
  <si>
    <t>Asset Module, Discoverer Reporting</t>
  </si>
  <si>
    <t>Capital Investment Survey</t>
  </si>
  <si>
    <t>A) Please select the statement that best describes the customer's current warranty management system</t>
  </si>
  <si>
    <t xml:space="preserve">3) Fully warranty system tied in or part of an asset management system.  Track asset warranties and process warranty claims and provides for unlimited warranties against any asset.  Accommodates both meter- and date-based warranties and automatically tracks all work orders in the system that have a potential claim. In addition, retrieves the work orders for claim processing and posts specified meter readings for claim and historical purposes and allows for time-elapse warranties on consumable parts not registered as assets.
</t>
  </si>
  <si>
    <t>1) Manual based with no auto notification of warranty expiration or linkage to asset management/work order system.</t>
  </si>
  <si>
    <t>2) Electronic with some expiration notification capabilities.  Time based warranties accomodated but little or no support for meter based.  Some linkage to an asset management/work order system.</t>
  </si>
  <si>
    <t>B) Please select the statement that best describes the customer's asset tracking system</t>
  </si>
  <si>
    <t>1) No asset tracking system in use (rudimentary fixed asset register only).  No ability to determine which assets still exist and where located.</t>
  </si>
  <si>
    <t>2) Fixed asset system in place; administered by accounting.  Asset inventory periodically completed on spot check basis (local level data reported to corporate).  Assets frequently found missing or retired.</t>
  </si>
  <si>
    <t>3) Fixed asset system linked to Asset Mgmt system including GL mapping.  Asset movement tracked in real time, fixed asset system updated.  Little if any discrepancies found and few write-offs experienced.</t>
  </si>
  <si>
    <t xml:space="preserve">3) Enterprise level asset management system in place.  All critical assets are monitored for predictive or condition based maintenance.  Metrics are analyzed for statistically significant variation.  A thorough inspection program is maintained and documented utilizing an enterprise asset management system.  Cost impacts of asset management decisions are documented utilizing an EAM system.  </t>
  </si>
  <si>
    <t>2) Site-level work order system in place with reporting and analysis capabilities.  Some measurements, tracking, and / or reporting of labor and material costs at an asset level.  Maintenance personnel are receiving some training on the maintenance key performance indicators for the assets they maintain.</t>
  </si>
  <si>
    <t>1) Little or no historical data on asset performance and cost to maintain.</t>
  </si>
  <si>
    <t>3) Asset purchases thoroughly analyzed based on prior performance and historical cost of operation metrics.</t>
  </si>
  <si>
    <t>2) Partial data on asset performance and cost to maintain.  But little if any trend analysis used to improve asset purchase decisions.</t>
  </si>
  <si>
    <t>D) Please select the statement that best describes the customer's asset performance and cost history analytics.</t>
  </si>
  <si>
    <t xml:space="preserve">1) No workorder or asset management system in place.  No measurement, tracking, or reporting of labor and material costs at an asset level.  No documentation of failures at an asset level.  No understanding of reoccurring or high dollar failures.  </t>
  </si>
  <si>
    <t>Reduce capital purchasing by increasing asset life and PM efficiency through adoption of a PM/PdM program accompanied by a strong inspection program</t>
  </si>
  <si>
    <t>Asset Module, Inspection Management</t>
  </si>
  <si>
    <t>Asset Tracking</t>
  </si>
  <si>
    <t>Asset History</t>
  </si>
  <si>
    <t>Asset Visibility and Control</t>
  </si>
  <si>
    <t>Capital Asset Investment Value</t>
  </si>
  <si>
    <t>Capital Asset Investment Benchmarks</t>
  </si>
  <si>
    <t>Reduce Redundant Purchases</t>
  </si>
  <si>
    <t>Increase Asset Life/Decrease Asset Purchases</t>
  </si>
  <si>
    <t>Decrease Asset Write-offs</t>
  </si>
  <si>
    <t>Decrease Audit Labor Expense</t>
  </si>
  <si>
    <t>Total Capital Asset Investment Value</t>
  </si>
  <si>
    <t/>
  </si>
  <si>
    <t>Related Questions</t>
  </si>
  <si>
    <t>Barrick Goldstrike, Progress Telecom, AT&amp;T, Sprint</t>
  </si>
  <si>
    <t>n/a</t>
  </si>
  <si>
    <t>Reduce Addressable MRO Spend</t>
  </si>
  <si>
    <t>Reduce Purchasing Process Labor</t>
  </si>
  <si>
    <t>Reduce Carrying Cost (@25%)</t>
  </si>
  <si>
    <t>Net Asset Base, I</t>
  </si>
  <si>
    <t>Safety Claims, A, C</t>
  </si>
  <si>
    <t>Regulatory Fines, B, D</t>
  </si>
  <si>
    <t>Revenue Loss, B, E</t>
  </si>
  <si>
    <t>Reduce System Administration Expense</t>
  </si>
  <si>
    <t>Reduce Database Administration Expense</t>
  </si>
  <si>
    <t>Reduce Data Entry Labor Expense</t>
  </si>
  <si>
    <t>Improve Decision Making/Data Reliability</t>
  </si>
  <si>
    <t>Decrease Misc H/W Expense (e.g., Citrix)</t>
  </si>
  <si>
    <t>DBA Labor, G, H, A, B</t>
  </si>
  <si>
    <t>Sys Admin Labor, A, B, E, F</t>
  </si>
  <si>
    <t>Clerical Labor, J, K, L, I</t>
  </si>
  <si>
    <t>Maintenance Labor, A-F, G, H</t>
  </si>
  <si>
    <t>Overtime Labor, A-F, G, I</t>
  </si>
  <si>
    <t>MRO Spend, A, B, I, J, K</t>
  </si>
  <si>
    <t>Inventory Value, C-F</t>
  </si>
  <si>
    <t>Lead Time, A, B, H</t>
  </si>
  <si>
    <t>Purchasing Labor, C, D, N, O, P</t>
  </si>
  <si>
    <t>Net Asset Base, A, F</t>
  </si>
  <si>
    <t>CAPEX, B, G, H</t>
  </si>
  <si>
    <t>CAPEX, C, G, H</t>
  </si>
  <si>
    <t>Labor Expense, B, I, J, K</t>
  </si>
  <si>
    <t>Net Asset Base, B, F</t>
  </si>
  <si>
    <t>Capital Asset Survey</t>
  </si>
  <si>
    <t>Value Area</t>
  </si>
  <si>
    <t>Value Point</t>
  </si>
  <si>
    <t>Reduce Maintenance Labor Expense</t>
  </si>
  <si>
    <t>I/T Infrastructure</t>
  </si>
  <si>
    <t>Increase Warranty Claims Remuneration</t>
  </si>
  <si>
    <t>Reduce Potential Safety Claims</t>
  </si>
  <si>
    <t>Reduce Potential Regulatory Fines</t>
  </si>
  <si>
    <t>Reduce Potential Revenue Loss Due to Shutdown or Loss of Certification</t>
  </si>
  <si>
    <t>Reduce Potential Revenue Due to Shutdown or Loss of Certification</t>
  </si>
  <si>
    <t>Asset Productivity Survey</t>
  </si>
  <si>
    <t>Sanity Check: Total Unplanned Downtime Hours Per Year</t>
  </si>
  <si>
    <t>Sanity Check: Total Planned Downtime Hours Per Year</t>
  </si>
  <si>
    <r>
      <t xml:space="preserve">Sanity Check: Total Net Income Lost Due to </t>
    </r>
    <r>
      <rPr>
        <u/>
        <sz val="10"/>
        <rFont val="Arial"/>
        <family val="2"/>
      </rPr>
      <t>Unplanned</t>
    </r>
    <r>
      <rPr>
        <sz val="10"/>
        <rFont val="Arial"/>
        <family val="2"/>
      </rPr>
      <t xml:space="preserve"> Downtime</t>
    </r>
  </si>
  <si>
    <r>
      <t xml:space="preserve">Sanity Check: Total Net Income Lost Due to </t>
    </r>
    <r>
      <rPr>
        <u/>
        <sz val="10"/>
        <rFont val="Arial"/>
        <family val="2"/>
      </rPr>
      <t>Planned</t>
    </r>
    <r>
      <rPr>
        <sz val="10"/>
        <rFont val="Arial"/>
        <family val="2"/>
      </rPr>
      <t xml:space="preserve"> Downtime</t>
    </r>
  </si>
  <si>
    <t>Asset Productivity Value</t>
  </si>
  <si>
    <t>Asset Productivity Benchmarks</t>
  </si>
  <si>
    <t>Reduce Planned Downtime</t>
  </si>
  <si>
    <t>Reduce Unplanned Dowtime</t>
  </si>
  <si>
    <r>
      <t xml:space="preserve">A) Please select the statement that best describes the customer's PM system. </t>
    </r>
    <r>
      <rPr>
        <b/>
        <i/>
        <sz val="10"/>
        <rFont val="Arial"/>
        <family val="2"/>
      </rPr>
      <t>(Also used in Capital Investment Survey)</t>
    </r>
  </si>
  <si>
    <r>
      <t>C) Please select the statement that best describes the customer's PM system.  (</t>
    </r>
    <r>
      <rPr>
        <b/>
        <i/>
        <sz val="10"/>
        <rFont val="Arial"/>
        <family val="2"/>
      </rPr>
      <t>Also used in Asset Productivity Survey)</t>
    </r>
  </si>
  <si>
    <t>Value Opportunity   (Low, Moderate, High)</t>
  </si>
  <si>
    <t>Total Asset Productivity Value</t>
  </si>
  <si>
    <t xml:space="preserve"> A</t>
  </si>
  <si>
    <t>A</t>
  </si>
  <si>
    <t>Standard Motor Products, Sigma Manufacturing, Emerson Motors</t>
  </si>
  <si>
    <t>Asset Productivity</t>
  </si>
  <si>
    <t>Reduce Unplanned Downtime</t>
  </si>
  <si>
    <t>Income Statement</t>
  </si>
  <si>
    <t>Revenue</t>
  </si>
  <si>
    <t>Gross Margin</t>
  </si>
  <si>
    <t>Operating Income</t>
  </si>
  <si>
    <t>Net Income</t>
  </si>
  <si>
    <t>Increase Asset Life/Defer Asset Purchases</t>
  </si>
  <si>
    <t>General Financial Information Survey</t>
  </si>
  <si>
    <t>C) Operating Income?</t>
  </si>
  <si>
    <t>B) Gross Margin?</t>
  </si>
  <si>
    <t>A) Total Revenue?</t>
  </si>
  <si>
    <t>Assets</t>
  </si>
  <si>
    <t>Cash</t>
  </si>
  <si>
    <t>Cost Of Sales</t>
  </si>
  <si>
    <t>Net PP&amp;E</t>
  </si>
  <si>
    <t>Total Assets</t>
  </si>
  <si>
    <t>Liabilities</t>
  </si>
  <si>
    <t>Pre-Tax Income</t>
  </si>
  <si>
    <t>Tax</t>
  </si>
  <si>
    <t xml:space="preserve">Current </t>
  </si>
  <si>
    <t>SG&amp;A, Other</t>
  </si>
  <si>
    <t>Interest Expense, Depr. &amp; Amort.</t>
  </si>
  <si>
    <t>D) Pre-Tax Income?</t>
  </si>
  <si>
    <t>E) Net Income?</t>
  </si>
  <si>
    <t>F) Total Net PP&amp;E?</t>
  </si>
  <si>
    <t>G) Total Cash?</t>
  </si>
  <si>
    <t>H) Total Liabilities?</t>
  </si>
  <si>
    <t>I) Total Assets (Balance Sheet)</t>
  </si>
  <si>
    <t>Reduce Purchasing Process Labor*</t>
  </si>
  <si>
    <t>Reduce Maintenance Labor*</t>
  </si>
  <si>
    <t>Decrease Audit Labor*</t>
  </si>
  <si>
    <t>Reduce System Administration Labor*</t>
  </si>
  <si>
    <t>Reduce Database Administration Labor*</t>
  </si>
  <si>
    <t>Reduce Data Entry Labor*</t>
  </si>
  <si>
    <t>Reduce Inventory Carrying Cost (@25%)</t>
  </si>
  <si>
    <t>Reduce Overtime Labor</t>
  </si>
  <si>
    <t>DSTM Impact</t>
  </si>
  <si>
    <t>Pro Forma</t>
  </si>
  <si>
    <t>* Assumed that excess capacity would not be redeployed</t>
  </si>
  <si>
    <t>Other Assets (A/R, etc.)</t>
  </si>
  <si>
    <t>Shareholder's Equity</t>
  </si>
  <si>
    <t>Total Liabilities and Shareholders' Equity</t>
  </si>
  <si>
    <t>Increased Cash Flows From Operations</t>
  </si>
  <si>
    <t>Increased Taxes</t>
  </si>
  <si>
    <t>Increased Cost of Sales</t>
  </si>
  <si>
    <t>Net Cash Flow Improvements from Operations</t>
  </si>
  <si>
    <t>Increased Cash Flows From Investing Activities</t>
  </si>
  <si>
    <t>Net Cash Flow Improvements from Investing Activities</t>
  </si>
  <si>
    <t>Total Net Cash Flow Improvements</t>
  </si>
  <si>
    <t>Profit Margin on Sales</t>
  </si>
  <si>
    <t>Return on Assets</t>
  </si>
  <si>
    <t>Return on Common Stockholder's Equity</t>
  </si>
  <si>
    <t>Earnings Per Share</t>
  </si>
  <si>
    <t>J) Total Number of Shares Outstanding</t>
  </si>
  <si>
    <t>Key Financial Ratios</t>
  </si>
  <si>
    <t>ABC Company Key Financial Ratios</t>
  </si>
  <si>
    <t>ABC Company Business Value Summary</t>
  </si>
  <si>
    <t>7i Web Architecture</t>
  </si>
  <si>
    <t>Sanity Check: Gross Margin Lost Per Hour of Downtime</t>
  </si>
  <si>
    <t>B) Is the company operating within 10% of capacity? (i.e., additional uptime would likely produce additional revenue)</t>
  </si>
  <si>
    <r>
      <t xml:space="preserve">D) As % of total production hours, what are the total </t>
    </r>
    <r>
      <rPr>
        <b/>
        <u/>
        <sz val="10"/>
        <rFont val="Arial"/>
        <family val="2"/>
      </rPr>
      <t>planned</t>
    </r>
    <r>
      <rPr>
        <b/>
        <sz val="10"/>
        <rFont val="Arial"/>
        <family val="2"/>
      </rPr>
      <t xml:space="preserve"> downtime hours each year?</t>
    </r>
  </si>
  <si>
    <t>C) What are the total production hours each year?</t>
  </si>
  <si>
    <r>
      <t xml:space="preserve">E) As % of total production hours, what are the total </t>
    </r>
    <r>
      <rPr>
        <b/>
        <u/>
        <sz val="10"/>
        <rFont val="Arial"/>
        <family val="2"/>
      </rPr>
      <t>unplanned</t>
    </r>
    <r>
      <rPr>
        <b/>
        <sz val="10"/>
        <rFont val="Arial"/>
        <family val="2"/>
      </rPr>
      <t xml:space="preserve"> downtime hours each year?</t>
    </r>
  </si>
  <si>
    <t>E) Total CAPEX last year?</t>
  </si>
  <si>
    <t>F) % of CAPEX that requires tracking and maintenance?</t>
  </si>
  <si>
    <t>G) Number of physical asset audits per year?</t>
  </si>
  <si>
    <t>H) Man-hours to complete each audit?</t>
  </si>
  <si>
    <t>I) Fully loaded cost per man-hour?</t>
  </si>
  <si>
    <t>J) Total asset write-offs in the past five years?</t>
  </si>
  <si>
    <t>1) Value Area Map that categorizes and displays the business areas where DSTM delivers value</t>
  </si>
  <si>
    <t>2) Value Summary page that rolls up and displays the total business value delivered</t>
  </si>
  <si>
    <t>3) Financials Worksheets that show how the delivered business value will impact the Financial Statements</t>
  </si>
  <si>
    <t>Balance Sheet and Cash Flow Improvements</t>
  </si>
  <si>
    <t>4) Surveys that will be used to collect company data in each of the Value Areas</t>
  </si>
  <si>
    <t xml:space="preserve">MRO Supply Chain </t>
  </si>
  <si>
    <t>General Company Financial Information</t>
  </si>
  <si>
    <t xml:space="preserve">Workbook Components: </t>
  </si>
  <si>
    <r>
      <t xml:space="preserve">Workbook Objective: </t>
    </r>
    <r>
      <rPr>
        <sz val="14"/>
        <rFont val="Tahoma"/>
        <family val="2"/>
      </rPr>
      <t>Calculate the business value that Datastream asset management solutions can deliver.</t>
    </r>
  </si>
  <si>
    <t>Workforce Management Survey</t>
  </si>
  <si>
    <t>Year 1</t>
  </si>
  <si>
    <t>Year 2</t>
  </si>
  <si>
    <t>Year 3</t>
  </si>
  <si>
    <t>% Realized</t>
  </si>
  <si>
    <t>Total</t>
  </si>
  <si>
    <t>Value</t>
  </si>
  <si>
    <t>Total Delivered</t>
  </si>
  <si>
    <t>Totals</t>
  </si>
  <si>
    <t>Present Value @ 10% WACC</t>
  </si>
  <si>
    <t>Total 3 Year Present Value</t>
  </si>
  <si>
    <t>ABC Company Year 1 Income Statement</t>
  </si>
  <si>
    <t>ABC Company Year 1 Balance Sheet</t>
  </si>
  <si>
    <t>ABC Company Year 1 Cash Flow Improvements</t>
  </si>
  <si>
    <t>5) Value Calculators that take the collected data, make a judgment about the size of the value opportunity (High, Moderate, Low), and apply industry benchmarks to estimate the value delivered</t>
  </si>
  <si>
    <t>\</t>
  </si>
  <si>
    <t xml:space="preserve"> Required</t>
  </si>
  <si>
    <t>14-90</t>
  </si>
  <si>
    <t>$55/hr</t>
  </si>
  <si>
    <t>too high should be 0.6%</t>
  </si>
  <si>
    <t>includes 750/550 parts</t>
  </si>
  <si>
    <t>(296) 1.5 turbines</t>
  </si>
  <si>
    <t>48* 296 =14,208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</si>
</sst>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5" formatCode="&quot;$&quot;#,##0_);\(&quot;$&quot;#,##0\)"/>
    <numFmt numFmtId="7" formatCode="&quot;$&quot;#,##0.00_);\(&quot;$&quot;#,##0.00\)"/>
    <numFmt numFmtId="44" formatCode="_(&quot;$&quot;* #,##0.00_);_(&quot;$&quot;* \(#,##0.00\);_(&quot;$&quot;* &quot;-&quot;??_);_(@_)"/>
    <numFmt numFmtId="43" formatCode="_(* #,##0.00_);_(* \(#,##0.00\);_(* &quot;-&quot;??_);_(@_)"/>
    <numFmt numFmtId="164" formatCode="&quot;$&quot;#,##0"/>
    <numFmt numFmtId="168" formatCode="_(&quot;$&quot;* #,##0_);_(&quot;$&quot;* \(#,##0\);_(&quot;$&quot;* &quot;-&quot;??_);_(@_)"/>
    <numFmt numFmtId="175" formatCode="_(* #,##0.0_);_(* \(#,##0.0\);_(* &quot;-&quot;??_);_(@_)"/>
    <numFmt numFmtId="176" formatCode="_(* #,##0_);_(* \(#,##0\);_(* &quot;-&quot;??_);_(@_)"/>
    <numFmt numFmtId="177" formatCode="0.0"/>
    <numFmt numFmtId="178" formatCode="0.0%"/>
  </numFmts>
  <fonts count="31" x14ac:knownFonts="1">
    <font>
      <sz val="10"/>
      <name val="Arial"/>
    </font>
    <font>
      <sz val="10"/>
      <name val="Arial"/>
    </font>
    <font>
      <b/>
      <sz val="12"/>
      <name val="Arial"/>
      <family val="2"/>
    </font>
    <font>
      <sz val="10"/>
      <name val="Arial"/>
      <family val="2"/>
    </font>
    <font>
      <b/>
      <sz val="10"/>
      <name val="Arial"/>
      <family val="2"/>
    </font>
    <font>
      <b/>
      <sz val="12"/>
      <color indexed="63"/>
      <name val="Arial"/>
      <family val="2"/>
    </font>
    <font>
      <sz val="10"/>
      <color indexed="9"/>
      <name val="Arial"/>
      <family val="2"/>
    </font>
    <font>
      <u/>
      <sz val="10"/>
      <color indexed="12"/>
      <name val="Arial"/>
    </font>
    <font>
      <sz val="12"/>
      <name val="Arial"/>
      <family val="2"/>
    </font>
    <font>
      <b/>
      <sz val="12"/>
      <color indexed="9"/>
      <name val="Arial"/>
      <family val="2"/>
    </font>
    <font>
      <b/>
      <sz val="10"/>
      <color indexed="9"/>
      <name val="Arial"/>
      <family val="2"/>
    </font>
    <font>
      <sz val="8"/>
      <color indexed="81"/>
      <name val="Tahoma"/>
    </font>
    <font>
      <sz val="12"/>
      <color indexed="81"/>
      <name val="Tahoma"/>
      <family val="2"/>
    </font>
    <font>
      <b/>
      <i/>
      <sz val="10"/>
      <name val="Arial"/>
      <family val="2"/>
    </font>
    <font>
      <sz val="12"/>
      <color indexed="9"/>
      <name val="Arial"/>
      <family val="2"/>
    </font>
    <font>
      <sz val="10"/>
      <color indexed="81"/>
      <name val="Tahoma"/>
      <family val="2"/>
    </font>
    <font>
      <b/>
      <u/>
      <sz val="10"/>
      <name val="Arial"/>
      <family val="2"/>
    </font>
    <font>
      <u/>
      <sz val="10"/>
      <name val="Arial"/>
      <family val="2"/>
    </font>
    <font>
      <b/>
      <sz val="12"/>
      <color indexed="12"/>
      <name val="Arial"/>
      <family val="2"/>
    </font>
    <font>
      <sz val="10"/>
      <color indexed="63"/>
      <name val="Arial"/>
      <family val="2"/>
    </font>
    <font>
      <b/>
      <sz val="14"/>
      <name val="Arial"/>
      <family val="2"/>
    </font>
    <font>
      <sz val="10"/>
      <color indexed="12"/>
      <name val="Arial"/>
      <family val="2"/>
    </font>
    <font>
      <sz val="10"/>
      <color indexed="8"/>
      <name val="Arial"/>
      <family val="2"/>
    </font>
    <font>
      <sz val="12"/>
      <color indexed="8"/>
      <name val="Arial"/>
      <family val="2"/>
    </font>
    <font>
      <b/>
      <sz val="10"/>
      <color indexed="12"/>
      <name val="Arial"/>
      <family val="2"/>
    </font>
    <font>
      <b/>
      <sz val="10"/>
      <color indexed="63"/>
      <name val="Arial"/>
      <family val="2"/>
    </font>
    <font>
      <sz val="12"/>
      <name val="Tahoma"/>
      <family val="2"/>
    </font>
    <font>
      <u/>
      <sz val="14"/>
      <color indexed="12"/>
      <name val="Arial"/>
    </font>
    <font>
      <sz val="14"/>
      <name val="Tahoma"/>
      <family val="2"/>
    </font>
    <font>
      <b/>
      <sz val="14"/>
      <name val="Tahoma"/>
      <family val="2"/>
    </font>
    <font>
      <b/>
      <sz val="14"/>
      <color indexed="63"/>
      <name val="Arial"/>
      <family val="2"/>
    </font>
  </fonts>
  <fills count="6">
    <fill>
      <patternFill patternType="none"/>
    </fill>
    <fill>
      <patternFill patternType="gray125"/>
    </fill>
    <fill>
      <patternFill patternType="solid">
        <fgColor indexed="47"/>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s>
  <borders count="19">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0" fontId="7" fillId="0" borderId="0" applyNumberFormat="0" applyFill="0" applyBorder="0" applyAlignment="0" applyProtection="0">
      <alignment vertical="top"/>
      <protection locked="0"/>
    </xf>
    <xf numFmtId="9" fontId="1" fillId="0" borderId="0" applyFont="0" applyFill="0" applyBorder="0" applyAlignment="0" applyProtection="0"/>
  </cellStyleXfs>
  <cellXfs count="376">
    <xf numFmtId="0" fontId="0" fillId="0" borderId="0" xfId="0"/>
    <xf numFmtId="0" fontId="2" fillId="2" borderId="1" xfId="0" applyFont="1" applyFill="1" applyBorder="1" applyAlignment="1">
      <alignment horizontal="left" vertical="top" wrapText="1"/>
    </xf>
    <xf numFmtId="49" fontId="2" fillId="2" borderId="2" xfId="0" applyNumberFormat="1" applyFont="1" applyFill="1" applyBorder="1" applyAlignment="1">
      <alignment horizontal="center" vertical="top" wrapText="1"/>
    </xf>
    <xf numFmtId="49" fontId="2" fillId="2" borderId="1" xfId="0" applyNumberFormat="1" applyFont="1" applyFill="1" applyBorder="1" applyAlignment="1">
      <alignment horizontal="center" vertical="top" wrapText="1"/>
    </xf>
    <xf numFmtId="0" fontId="2" fillId="2" borderId="1" xfId="0" applyFont="1" applyFill="1" applyBorder="1" applyAlignment="1">
      <alignment horizontal="center" vertical="top" wrapText="1"/>
    </xf>
    <xf numFmtId="0" fontId="4" fillId="3" borderId="2" xfId="0" applyFont="1" applyFill="1" applyBorder="1" applyAlignment="1">
      <alignment horizontal="center"/>
    </xf>
    <xf numFmtId="0" fontId="4" fillId="3" borderId="3" xfId="0" applyFont="1" applyFill="1" applyBorder="1" applyAlignment="1">
      <alignment horizontal="center"/>
    </xf>
    <xf numFmtId="0" fontId="2" fillId="3" borderId="1" xfId="0" applyFont="1" applyFill="1" applyBorder="1" applyAlignment="1">
      <alignment wrapText="1"/>
    </xf>
    <xf numFmtId="0" fontId="4" fillId="3" borderId="4" xfId="0" applyFont="1" applyFill="1" applyBorder="1"/>
    <xf numFmtId="0" fontId="2" fillId="2" borderId="2" xfId="0" applyFont="1" applyFill="1" applyBorder="1" applyAlignment="1">
      <alignment wrapText="1"/>
    </xf>
    <xf numFmtId="0" fontId="4" fillId="2" borderId="2" xfId="0" applyFont="1" applyFill="1" applyBorder="1" applyAlignment="1">
      <alignment horizontal="left" wrapText="1"/>
    </xf>
    <xf numFmtId="0" fontId="3" fillId="3" borderId="1" xfId="0" applyFont="1" applyFill="1" applyBorder="1"/>
    <xf numFmtId="0" fontId="4" fillId="3" borderId="5" xfId="0" applyFont="1" applyFill="1" applyBorder="1" applyAlignment="1">
      <alignment horizontal="center"/>
    </xf>
    <xf numFmtId="0" fontId="4" fillId="3" borderId="1" xfId="0" applyFont="1" applyFill="1" applyBorder="1" applyAlignment="1">
      <alignment horizontal="center"/>
    </xf>
    <xf numFmtId="0" fontId="4" fillId="3" borderId="4" xfId="0" applyFont="1" applyFill="1" applyBorder="1" applyAlignment="1">
      <alignment horizontal="center"/>
    </xf>
    <xf numFmtId="0" fontId="4" fillId="3" borderId="6" xfId="0" applyFont="1" applyFill="1" applyBorder="1" applyAlignment="1">
      <alignment horizontal="center"/>
    </xf>
    <xf numFmtId="0" fontId="4" fillId="3" borderId="6" xfId="0" applyFont="1" applyFill="1" applyBorder="1"/>
    <xf numFmtId="0" fontId="2" fillId="2" borderId="2" xfId="0" applyFont="1" applyFill="1" applyBorder="1" applyAlignment="1">
      <alignment horizontal="left" vertical="top" wrapText="1"/>
    </xf>
    <xf numFmtId="0" fontId="5" fillId="4" borderId="7" xfId="0" applyFont="1" applyFill="1" applyBorder="1" applyAlignment="1">
      <alignment wrapText="1"/>
    </xf>
    <xf numFmtId="0" fontId="2" fillId="4" borderId="7" xfId="0" applyFont="1" applyFill="1" applyBorder="1" applyAlignment="1">
      <alignment horizontal="center"/>
    </xf>
    <xf numFmtId="0" fontId="0" fillId="4" borderId="0" xfId="0" applyFill="1"/>
    <xf numFmtId="0" fontId="0" fillId="4" borderId="0" xfId="0" applyFill="1" applyAlignment="1">
      <alignment wrapText="1"/>
    </xf>
    <xf numFmtId="0" fontId="0" fillId="4" borderId="0" xfId="0" applyFill="1" applyAlignment="1">
      <alignment vertical="center"/>
    </xf>
    <xf numFmtId="0" fontId="4" fillId="4" borderId="0" xfId="0" applyFont="1" applyFill="1" applyAlignment="1">
      <alignment wrapText="1"/>
    </xf>
    <xf numFmtId="164" fontId="8" fillId="4" borderId="8" xfId="0" applyNumberFormat="1" applyFont="1" applyFill="1" applyBorder="1" applyAlignment="1">
      <alignment vertical="center"/>
    </xf>
    <xf numFmtId="0" fontId="8" fillId="4" borderId="0" xfId="0" applyFont="1" applyFill="1" applyAlignment="1">
      <alignment vertical="center"/>
    </xf>
    <xf numFmtId="9" fontId="8" fillId="4" borderId="0" xfId="0" applyNumberFormat="1" applyFont="1" applyFill="1" applyBorder="1" applyAlignment="1">
      <alignment vertical="center"/>
    </xf>
    <xf numFmtId="0" fontId="4" fillId="4" borderId="0" xfId="0" applyFont="1" applyFill="1"/>
    <xf numFmtId="175" fontId="8" fillId="4" borderId="8" xfId="1" applyNumberFormat="1" applyFont="1" applyFill="1" applyBorder="1" applyAlignment="1">
      <alignment vertical="center"/>
    </xf>
    <xf numFmtId="176" fontId="8" fillId="4" borderId="8" xfId="1" applyNumberFormat="1" applyFont="1" applyFill="1" applyBorder="1" applyAlignment="1">
      <alignment vertical="center"/>
    </xf>
    <xf numFmtId="0" fontId="0" fillId="4" borderId="9" xfId="0" applyFill="1" applyBorder="1"/>
    <xf numFmtId="0" fontId="4" fillId="4" borderId="10" xfId="0" applyFont="1" applyFill="1" applyBorder="1" applyAlignment="1">
      <alignment horizontal="center"/>
    </xf>
    <xf numFmtId="0" fontId="4" fillId="4" borderId="3" xfId="0" applyFont="1" applyFill="1" applyBorder="1" applyAlignment="1">
      <alignment horizontal="center"/>
    </xf>
    <xf numFmtId="0" fontId="4" fillId="4" borderId="11" xfId="0" applyFont="1" applyFill="1" applyBorder="1" applyAlignment="1">
      <alignment horizontal="left"/>
    </xf>
    <xf numFmtId="10" fontId="0" fillId="4" borderId="0" xfId="4" applyNumberFormat="1" applyFont="1" applyFill="1" applyBorder="1"/>
    <xf numFmtId="10" fontId="0" fillId="4" borderId="12" xfId="4" applyNumberFormat="1" applyFont="1" applyFill="1" applyBorder="1"/>
    <xf numFmtId="0" fontId="0" fillId="4" borderId="11" xfId="0" applyFill="1" applyBorder="1"/>
    <xf numFmtId="0" fontId="0" fillId="4" borderId="0" xfId="0" applyFill="1" applyBorder="1"/>
    <xf numFmtId="0" fontId="0" fillId="4" borderId="12" xfId="0" applyFill="1" applyBorder="1"/>
    <xf numFmtId="0" fontId="4" fillId="4" borderId="11" xfId="0" applyFont="1" applyFill="1" applyBorder="1"/>
    <xf numFmtId="0" fontId="0" fillId="4" borderId="7" xfId="0" applyFill="1" applyBorder="1"/>
    <xf numFmtId="0" fontId="0" fillId="4" borderId="13" xfId="0" applyFill="1" applyBorder="1"/>
    <xf numFmtId="0" fontId="0" fillId="4" borderId="0" xfId="0" applyFill="1" applyAlignment="1">
      <alignment vertical="top"/>
    </xf>
    <xf numFmtId="0" fontId="4" fillId="4" borderId="9" xfId="0" applyFont="1" applyFill="1" applyBorder="1" applyAlignment="1">
      <alignment horizontal="left"/>
    </xf>
    <xf numFmtId="37" fontId="25" fillId="4" borderId="10" xfId="0" applyNumberFormat="1" applyFont="1" applyFill="1" applyBorder="1" applyAlignment="1">
      <alignment horizontal="center" vertical="top"/>
    </xf>
    <xf numFmtId="37" fontId="4" fillId="4" borderId="10" xfId="0" applyNumberFormat="1" applyFont="1" applyFill="1" applyBorder="1" applyAlignment="1">
      <alignment horizontal="center" vertical="top"/>
    </xf>
    <xf numFmtId="0" fontId="4" fillId="4" borderId="3" xfId="0" applyFont="1" applyFill="1" applyBorder="1" applyAlignment="1">
      <alignment horizontal="center" vertical="top"/>
    </xf>
    <xf numFmtId="0" fontId="0" fillId="4" borderId="11" xfId="0" applyFill="1" applyBorder="1" applyAlignment="1">
      <alignment horizontal="left" indent="2"/>
    </xf>
    <xf numFmtId="5" fontId="19" fillId="4" borderId="0" xfId="0" applyNumberFormat="1" applyFont="1" applyFill="1" applyBorder="1" applyAlignment="1">
      <alignment vertical="top"/>
    </xf>
    <xf numFmtId="5" fontId="24" fillId="4" borderId="0" xfId="0" applyNumberFormat="1" applyFont="1" applyFill="1" applyBorder="1" applyAlignment="1">
      <alignment vertical="top"/>
    </xf>
    <xf numFmtId="5" fontId="0" fillId="4" borderId="12" xfId="0" applyNumberFormat="1" applyFill="1" applyBorder="1"/>
    <xf numFmtId="176" fontId="0" fillId="4" borderId="0" xfId="1" applyNumberFormat="1" applyFont="1" applyFill="1" applyBorder="1"/>
    <xf numFmtId="5" fontId="21" fillId="4" borderId="0" xfId="0" applyNumberFormat="1" applyFont="1" applyFill="1" applyBorder="1" applyAlignment="1">
      <alignment vertical="top"/>
    </xf>
    <xf numFmtId="176" fontId="0" fillId="4" borderId="12" xfId="0" applyNumberFormat="1" applyFill="1" applyBorder="1"/>
    <xf numFmtId="176" fontId="0" fillId="4" borderId="14" xfId="1" applyNumberFormat="1" applyFont="1" applyFill="1" applyBorder="1"/>
    <xf numFmtId="176" fontId="0" fillId="4" borderId="15" xfId="0" applyNumberFormat="1" applyFill="1" applyBorder="1"/>
    <xf numFmtId="176" fontId="0" fillId="4" borderId="12" xfId="1" applyNumberFormat="1" applyFont="1" applyFill="1" applyBorder="1"/>
    <xf numFmtId="5" fontId="0" fillId="4" borderId="14" xfId="0" applyNumberFormat="1" applyFill="1" applyBorder="1"/>
    <xf numFmtId="5" fontId="0" fillId="4" borderId="0" xfId="0" applyNumberFormat="1" applyFill="1" applyBorder="1"/>
    <xf numFmtId="0" fontId="0" fillId="4" borderId="16" xfId="0" applyFill="1" applyBorder="1"/>
    <xf numFmtId="0" fontId="4" fillId="4" borderId="9" xfId="0" applyFont="1" applyFill="1" applyBorder="1"/>
    <xf numFmtId="0" fontId="0" fillId="4" borderId="17" xfId="0" applyFill="1" applyBorder="1"/>
    <xf numFmtId="37" fontId="4" fillId="4" borderId="3" xfId="0" applyNumberFormat="1" applyFont="1" applyFill="1" applyBorder="1" applyAlignment="1">
      <alignment horizontal="center" vertical="top"/>
    </xf>
    <xf numFmtId="176" fontId="21" fillId="4" borderId="12" xfId="1" applyNumberFormat="1" applyFont="1" applyFill="1" applyBorder="1"/>
    <xf numFmtId="0" fontId="3" fillId="4" borderId="11" xfId="0" applyFont="1" applyFill="1" applyBorder="1" applyAlignment="1">
      <alignment horizontal="left" wrapText="1" indent="2"/>
    </xf>
    <xf numFmtId="37" fontId="0" fillId="4" borderId="12" xfId="0" applyNumberFormat="1" applyFill="1" applyBorder="1"/>
    <xf numFmtId="37" fontId="0" fillId="4" borderId="13" xfId="0" applyNumberFormat="1" applyFill="1" applyBorder="1"/>
    <xf numFmtId="0" fontId="4" fillId="4" borderId="11" xfId="0" applyFont="1" applyFill="1" applyBorder="1" applyAlignment="1">
      <alignment horizontal="left" indent="2"/>
    </xf>
    <xf numFmtId="176" fontId="21" fillId="4" borderId="12" xfId="0" applyNumberFormat="1" applyFont="1" applyFill="1" applyBorder="1"/>
    <xf numFmtId="176" fontId="21" fillId="4" borderId="13" xfId="1" applyNumberFormat="1" applyFont="1" applyFill="1" applyBorder="1"/>
    <xf numFmtId="176" fontId="24" fillId="4" borderId="12" xfId="0" applyNumberFormat="1" applyFont="1" applyFill="1" applyBorder="1"/>
    <xf numFmtId="37" fontId="19" fillId="4" borderId="0" xfId="0" applyNumberFormat="1" applyFont="1" applyFill="1" applyBorder="1" applyAlignment="1">
      <alignment vertical="top"/>
    </xf>
    <xf numFmtId="37" fontId="0" fillId="4" borderId="0" xfId="0" applyNumberFormat="1" applyFill="1" applyBorder="1" applyAlignment="1">
      <alignment vertical="top"/>
    </xf>
    <xf numFmtId="0" fontId="0" fillId="4" borderId="11" xfId="0" applyFill="1" applyBorder="1" applyAlignment="1">
      <alignment vertical="top"/>
    </xf>
    <xf numFmtId="0" fontId="4" fillId="4" borderId="11" xfId="0" applyFont="1" applyFill="1" applyBorder="1" applyAlignment="1">
      <alignment vertical="top"/>
    </xf>
    <xf numFmtId="0" fontId="3" fillId="4" borderId="0" xfId="0" applyFont="1" applyFill="1" applyBorder="1" applyAlignment="1">
      <alignment vertical="top"/>
    </xf>
    <xf numFmtId="5" fontId="21" fillId="4" borderId="12" xfId="0" applyNumberFormat="1" applyFont="1" applyFill="1" applyBorder="1" applyAlignment="1">
      <alignment vertical="top"/>
    </xf>
    <xf numFmtId="0" fontId="3" fillId="4" borderId="11" xfId="0" applyFont="1" applyFill="1" applyBorder="1" applyAlignment="1">
      <alignment horizontal="left" indent="2"/>
    </xf>
    <xf numFmtId="176" fontId="21" fillId="4" borderId="0" xfId="1" applyNumberFormat="1" applyFont="1" applyFill="1" applyBorder="1" applyAlignment="1">
      <alignment vertical="top"/>
    </xf>
    <xf numFmtId="0" fontId="3" fillId="4" borderId="12" xfId="0" applyFont="1" applyFill="1" applyBorder="1" applyAlignment="1">
      <alignment vertical="top"/>
    </xf>
    <xf numFmtId="0" fontId="0" fillId="4" borderId="11" xfId="0" applyFill="1" applyBorder="1" applyAlignment="1">
      <alignment horizontal="left" vertical="top" wrapText="1" indent="2"/>
    </xf>
    <xf numFmtId="37" fontId="21" fillId="4" borderId="12" xfId="0" applyNumberFormat="1" applyFont="1" applyFill="1" applyBorder="1" applyAlignment="1">
      <alignment vertical="top"/>
    </xf>
    <xf numFmtId="0" fontId="0" fillId="4" borderId="11" xfId="0" applyFill="1" applyBorder="1" applyAlignment="1">
      <alignment horizontal="left" vertical="top" indent="2"/>
    </xf>
    <xf numFmtId="37" fontId="3" fillId="4" borderId="12" xfId="0" applyNumberFormat="1" applyFont="1" applyFill="1" applyBorder="1" applyAlignment="1">
      <alignment vertical="top"/>
    </xf>
    <xf numFmtId="0" fontId="2" fillId="4" borderId="11" xfId="0" applyFont="1" applyFill="1" applyBorder="1" applyAlignment="1">
      <alignment vertical="top"/>
    </xf>
    <xf numFmtId="5" fontId="18" fillId="4" borderId="12" xfId="0" applyNumberFormat="1" applyFont="1" applyFill="1" applyBorder="1" applyAlignment="1">
      <alignment vertical="top"/>
    </xf>
    <xf numFmtId="0" fontId="0" fillId="4" borderId="0" xfId="0" applyFill="1" applyBorder="1" applyAlignment="1">
      <alignment vertical="top"/>
    </xf>
    <xf numFmtId="0" fontId="0" fillId="4" borderId="12" xfId="0" applyFill="1" applyBorder="1" applyAlignment="1">
      <alignment vertical="top"/>
    </xf>
    <xf numFmtId="0" fontId="0" fillId="4" borderId="16" xfId="0" applyFill="1" applyBorder="1" applyAlignment="1">
      <alignment vertical="top"/>
    </xf>
    <xf numFmtId="37" fontId="19" fillId="4" borderId="7" xfId="0" applyNumberFormat="1" applyFont="1" applyFill="1" applyBorder="1" applyAlignment="1">
      <alignment vertical="top"/>
    </xf>
    <xf numFmtId="0" fontId="0" fillId="4" borderId="7" xfId="0" applyFill="1" applyBorder="1" applyAlignment="1">
      <alignment vertical="top"/>
    </xf>
    <xf numFmtId="0" fontId="0" fillId="4" borderId="13" xfId="0" applyFill="1" applyBorder="1" applyAlignment="1">
      <alignment vertical="top"/>
    </xf>
    <xf numFmtId="37" fontId="22" fillId="4" borderId="0" xfId="0" applyNumberFormat="1" applyFont="1" applyFill="1" applyBorder="1" applyAlignment="1">
      <alignment vertical="top"/>
    </xf>
    <xf numFmtId="37" fontId="23" fillId="4" borderId="0" xfId="0" applyNumberFormat="1" applyFont="1" applyFill="1" applyBorder="1" applyAlignment="1">
      <alignment vertical="top"/>
    </xf>
    <xf numFmtId="37" fontId="19" fillId="4" borderId="0" xfId="0" applyNumberFormat="1" applyFont="1" applyFill="1" applyAlignment="1">
      <alignment vertical="top"/>
    </xf>
    <xf numFmtId="37" fontId="0" fillId="4" borderId="0" xfId="0" applyNumberFormat="1" applyFill="1" applyAlignment="1">
      <alignment vertical="top"/>
    </xf>
    <xf numFmtId="0" fontId="0" fillId="4" borderId="9" xfId="0" applyFill="1" applyBorder="1" applyAlignment="1">
      <alignment vertical="top"/>
    </xf>
    <xf numFmtId="0" fontId="2" fillId="4" borderId="2" xfId="0" applyFont="1" applyFill="1" applyBorder="1" applyAlignment="1">
      <alignment horizontal="left" vertical="top" wrapText="1"/>
    </xf>
    <xf numFmtId="0" fontId="0" fillId="4" borderId="0" xfId="0" applyFill="1" applyAlignment="1">
      <alignment horizontal="left" vertical="top" wrapText="1"/>
    </xf>
    <xf numFmtId="0" fontId="0" fillId="4" borderId="1" xfId="0" applyFill="1" applyBorder="1" applyAlignment="1">
      <alignment vertical="top" wrapText="1"/>
    </xf>
    <xf numFmtId="0" fontId="3" fillId="4" borderId="1" xfId="0" applyFont="1" applyFill="1" applyBorder="1" applyAlignment="1">
      <alignment vertical="top" wrapText="1"/>
    </xf>
    <xf numFmtId="49" fontId="0" fillId="4" borderId="3" xfId="0" applyNumberFormat="1" applyFill="1" applyBorder="1" applyAlignment="1">
      <alignment vertical="top" wrapText="1"/>
    </xf>
    <xf numFmtId="49" fontId="0" fillId="4" borderId="18" xfId="0" applyNumberFormat="1" applyFill="1" applyBorder="1" applyAlignment="1">
      <alignment vertical="top" wrapText="1"/>
    </xf>
    <xf numFmtId="0" fontId="0" fillId="4" borderId="6" xfId="0" applyFill="1" applyBorder="1" applyAlignment="1">
      <alignment vertical="top" wrapText="1"/>
    </xf>
    <xf numFmtId="0" fontId="3" fillId="4" borderId="6" xfId="0" applyFont="1" applyFill="1" applyBorder="1" applyAlignment="1">
      <alignment vertical="top" wrapText="1"/>
    </xf>
    <xf numFmtId="0" fontId="0" fillId="4" borderId="2" xfId="0" applyFill="1" applyBorder="1" applyAlignment="1">
      <alignment vertical="top" wrapText="1"/>
    </xf>
    <xf numFmtId="49" fontId="0" fillId="4" borderId="2" xfId="0" applyNumberFormat="1" applyFill="1" applyBorder="1" applyAlignment="1">
      <alignment vertical="top" wrapText="1"/>
    </xf>
    <xf numFmtId="0" fontId="0" fillId="4" borderId="5" xfId="0" applyFill="1" applyBorder="1" applyAlignment="1">
      <alignment vertical="top" wrapText="1"/>
    </xf>
    <xf numFmtId="0" fontId="0" fillId="4" borderId="0" xfId="0" applyFill="1" applyAlignment="1">
      <alignment vertical="top" wrapText="1"/>
    </xf>
    <xf numFmtId="0" fontId="0" fillId="4" borderId="6" xfId="0" applyFill="1" applyBorder="1" applyAlignment="1">
      <alignment vertical="top"/>
    </xf>
    <xf numFmtId="0" fontId="0" fillId="4" borderId="4" xfId="0" applyFill="1" applyBorder="1" applyAlignment="1">
      <alignment vertical="top"/>
    </xf>
    <xf numFmtId="0" fontId="0" fillId="4" borderId="11" xfId="0" applyFill="1" applyBorder="1" applyAlignment="1">
      <alignment vertical="top" wrapText="1"/>
    </xf>
    <xf numFmtId="0" fontId="0" fillId="4" borderId="1" xfId="0" applyFill="1" applyBorder="1" applyAlignment="1">
      <alignment vertical="top"/>
    </xf>
    <xf numFmtId="0" fontId="0" fillId="4" borderId="13" xfId="0" applyFill="1" applyBorder="1" applyAlignment="1">
      <alignment vertical="top" wrapText="1"/>
    </xf>
    <xf numFmtId="0" fontId="0" fillId="4" borderId="16" xfId="0" applyFill="1" applyBorder="1" applyAlignment="1">
      <alignment vertical="top" wrapText="1"/>
    </xf>
    <xf numFmtId="0" fontId="0" fillId="4" borderId="3" xfId="0" applyFill="1" applyBorder="1" applyAlignment="1">
      <alignment vertical="top" wrapText="1"/>
    </xf>
    <xf numFmtId="0" fontId="0" fillId="4" borderId="4" xfId="0" applyFill="1" applyBorder="1" applyAlignment="1">
      <alignment vertical="top" wrapText="1"/>
    </xf>
    <xf numFmtId="0" fontId="0" fillId="4" borderId="0" xfId="0" applyFill="1" applyBorder="1" applyAlignment="1">
      <alignment vertical="top" wrapText="1"/>
    </xf>
    <xf numFmtId="49" fontId="0" fillId="4" borderId="0" xfId="0" applyNumberFormat="1" applyFill="1" applyAlignment="1">
      <alignment vertical="top" wrapText="1"/>
    </xf>
    <xf numFmtId="0" fontId="3" fillId="4" borderId="0" xfId="0" applyFont="1" applyFill="1" applyBorder="1"/>
    <xf numFmtId="0" fontId="3" fillId="4" borderId="0" xfId="0" applyFont="1" applyFill="1"/>
    <xf numFmtId="0" fontId="4" fillId="4" borderId="16" xfId="0" applyFont="1" applyFill="1" applyBorder="1" applyAlignment="1">
      <alignment horizontal="left"/>
    </xf>
    <xf numFmtId="0" fontId="3" fillId="4" borderId="11" xfId="0" applyFont="1" applyFill="1" applyBorder="1"/>
    <xf numFmtId="168" fontId="3" fillId="4" borderId="12" xfId="2" applyNumberFormat="1" applyFont="1" applyFill="1" applyBorder="1"/>
    <xf numFmtId="7" fontId="0" fillId="4" borderId="7" xfId="0" applyNumberFormat="1" applyFill="1" applyBorder="1"/>
    <xf numFmtId="7" fontId="0" fillId="4" borderId="13" xfId="0" applyNumberFormat="1" applyFill="1" applyBorder="1"/>
    <xf numFmtId="0" fontId="6" fillId="4" borderId="0" xfId="0" applyFont="1" applyFill="1"/>
    <xf numFmtId="0" fontId="9" fillId="4" borderId="0" xfId="0" applyFont="1" applyFill="1" applyAlignment="1">
      <alignment horizontal="center"/>
    </xf>
    <xf numFmtId="0" fontId="2" fillId="4" borderId="0" xfId="0" applyFont="1" applyFill="1" applyBorder="1" applyAlignment="1">
      <alignment horizontal="center"/>
    </xf>
    <xf numFmtId="49" fontId="8" fillId="4" borderId="8" xfId="0" applyNumberFormat="1" applyFont="1" applyFill="1" applyBorder="1" applyAlignment="1">
      <alignment horizontal="center" vertical="center"/>
    </xf>
    <xf numFmtId="0" fontId="9" fillId="4" borderId="0" xfId="0" applyFont="1" applyFill="1"/>
    <xf numFmtId="0" fontId="2" fillId="4" borderId="0" xfId="0" applyFont="1" applyFill="1" applyAlignment="1">
      <alignment horizontal="center"/>
    </xf>
    <xf numFmtId="0" fontId="4" fillId="4" borderId="0" xfId="0" applyFont="1" applyFill="1" applyAlignment="1">
      <alignment horizontal="left" vertical="top" wrapText="1"/>
    </xf>
    <xf numFmtId="0" fontId="8" fillId="4" borderId="8" xfId="0" applyFont="1" applyFill="1" applyBorder="1" applyAlignment="1">
      <alignment horizontal="center" vertical="center"/>
    </xf>
    <xf numFmtId="0" fontId="2" fillId="4" borderId="0" xfId="0" applyFont="1" applyFill="1" applyAlignment="1">
      <alignment horizontal="center" vertical="center"/>
    </xf>
    <xf numFmtId="0" fontId="0" fillId="4" borderId="0" xfId="0" applyFill="1" applyAlignment="1">
      <alignment vertical="center" wrapText="1"/>
    </xf>
    <xf numFmtId="0" fontId="6" fillId="4" borderId="0" xfId="0" applyFont="1" applyFill="1" applyAlignment="1">
      <alignment wrapText="1"/>
    </xf>
    <xf numFmtId="9" fontId="8" fillId="4" borderId="8" xfId="0" applyNumberFormat="1" applyFont="1" applyFill="1" applyBorder="1" applyAlignment="1">
      <alignment vertical="center"/>
    </xf>
    <xf numFmtId="2" fontId="8" fillId="4" borderId="8" xfId="0" applyNumberFormat="1" applyFont="1" applyFill="1" applyBorder="1" applyAlignment="1">
      <alignment vertical="center"/>
    </xf>
    <xf numFmtId="1" fontId="8" fillId="4" borderId="8" xfId="0" applyNumberFormat="1" applyFont="1" applyFill="1" applyBorder="1" applyAlignment="1">
      <alignment vertical="center"/>
    </xf>
    <xf numFmtId="0" fontId="10" fillId="4" borderId="0" xfId="0" applyFont="1" applyFill="1" applyAlignment="1">
      <alignment horizontal="center"/>
    </xf>
    <xf numFmtId="0" fontId="8" fillId="4" borderId="8" xfId="0" applyFont="1" applyFill="1" applyBorder="1" applyAlignment="1">
      <alignment horizontal="center"/>
    </xf>
    <xf numFmtId="0" fontId="8" fillId="4" borderId="0" xfId="0" applyFont="1" applyFill="1" applyAlignment="1">
      <alignment horizontal="center"/>
    </xf>
    <xf numFmtId="0" fontId="8" fillId="4" borderId="0" xfId="0" applyFont="1" applyFill="1" applyBorder="1" applyAlignment="1">
      <alignment horizontal="center"/>
    </xf>
    <xf numFmtId="0" fontId="4" fillId="4" borderId="1" xfId="0" applyFont="1" applyFill="1" applyBorder="1" applyAlignment="1">
      <alignment horizontal="left" wrapText="1"/>
    </xf>
    <xf numFmtId="0" fontId="4" fillId="4" borderId="1" xfId="0" applyFont="1" applyFill="1" applyBorder="1" applyAlignment="1">
      <alignment horizontal="center" wrapText="1"/>
    </xf>
    <xf numFmtId="0" fontId="3" fillId="4" borderId="0" xfId="0" applyFont="1" applyFill="1" applyBorder="1" applyAlignment="1">
      <alignment horizontal="center" vertical="top"/>
    </xf>
    <xf numFmtId="0" fontId="3" fillId="4" borderId="0" xfId="0" applyFont="1" applyFill="1" applyAlignment="1">
      <alignment vertical="top"/>
    </xf>
    <xf numFmtId="0" fontId="3" fillId="4" borderId="9" xfId="0" applyFont="1" applyFill="1" applyBorder="1" applyAlignment="1">
      <alignment wrapText="1"/>
    </xf>
    <xf numFmtId="0" fontId="3" fillId="4" borderId="1" xfId="0" applyFont="1" applyFill="1" applyBorder="1" applyAlignment="1">
      <alignment horizontal="center"/>
    </xf>
    <xf numFmtId="164" fontId="3" fillId="4" borderId="1" xfId="0" applyNumberFormat="1" applyFont="1" applyFill="1" applyBorder="1"/>
    <xf numFmtId="0" fontId="3" fillId="4" borderId="1" xfId="0" applyFont="1" applyFill="1" applyBorder="1"/>
    <xf numFmtId="0" fontId="3" fillId="4" borderId="6" xfId="0" applyFont="1" applyFill="1" applyBorder="1" applyAlignment="1">
      <alignment horizontal="center"/>
    </xf>
    <xf numFmtId="164" fontId="3" fillId="4" borderId="6" xfId="0" applyNumberFormat="1" applyFont="1" applyFill="1" applyBorder="1"/>
    <xf numFmtId="0" fontId="3" fillId="4" borderId="16" xfId="0" applyFont="1" applyFill="1" applyBorder="1" applyAlignment="1">
      <alignment wrapText="1"/>
    </xf>
    <xf numFmtId="0" fontId="3" fillId="4" borderId="4" xfId="0" applyFont="1" applyFill="1" applyBorder="1" applyAlignment="1">
      <alignment horizontal="center"/>
    </xf>
    <xf numFmtId="164" fontId="3" fillId="4" borderId="4" xfId="0" applyNumberFormat="1" applyFont="1" applyFill="1" applyBorder="1"/>
    <xf numFmtId="0" fontId="2" fillId="4" borderId="0" xfId="0" applyFont="1" applyFill="1" applyAlignment="1">
      <alignment wrapText="1"/>
    </xf>
    <xf numFmtId="164" fontId="2" fillId="4" borderId="0" xfId="0" applyNumberFormat="1" applyFont="1" applyFill="1"/>
    <xf numFmtId="0" fontId="4" fillId="4" borderId="0" xfId="0" applyFont="1" applyFill="1" applyBorder="1" applyAlignment="1">
      <alignment horizontal="center"/>
    </xf>
    <xf numFmtId="0" fontId="4" fillId="4" borderId="2" xfId="0" applyFont="1" applyFill="1" applyBorder="1" applyAlignment="1">
      <alignment horizontal="center"/>
    </xf>
    <xf numFmtId="0" fontId="3" fillId="4" borderId="0" xfId="0" applyFont="1" applyFill="1" applyBorder="1" applyAlignment="1">
      <alignment horizontal="center"/>
    </xf>
    <xf numFmtId="44" fontId="0" fillId="4" borderId="0" xfId="2" applyFont="1" applyFill="1"/>
    <xf numFmtId="0" fontId="4" fillId="4" borderId="8" xfId="0" applyFont="1" applyFill="1" applyBorder="1" applyAlignment="1">
      <alignment horizontal="center" vertical="center" wrapText="1"/>
    </xf>
    <xf numFmtId="168" fontId="8" fillId="4" borderId="8" xfId="2" applyNumberFormat="1" applyFont="1" applyFill="1" applyBorder="1" applyAlignment="1">
      <alignment vertical="center"/>
    </xf>
    <xf numFmtId="168" fontId="8" fillId="4" borderId="0" xfId="2" applyNumberFormat="1" applyFont="1" applyFill="1" applyBorder="1" applyAlignment="1">
      <alignment vertical="center"/>
    </xf>
    <xf numFmtId="0" fontId="14" fillId="4" borderId="0" xfId="0" applyFont="1" applyFill="1" applyAlignment="1"/>
    <xf numFmtId="0" fontId="3" fillId="4" borderId="1" xfId="0" applyFont="1" applyFill="1" applyBorder="1" applyAlignment="1">
      <alignment wrapText="1"/>
    </xf>
    <xf numFmtId="164" fontId="3" fillId="4" borderId="1" xfId="0" applyNumberFormat="1" applyFont="1" applyFill="1" applyBorder="1" applyAlignment="1">
      <alignment horizontal="center"/>
    </xf>
    <xf numFmtId="0" fontId="3" fillId="4" borderId="4" xfId="0" applyFont="1" applyFill="1" applyBorder="1" applyAlignment="1">
      <alignment wrapText="1"/>
    </xf>
    <xf numFmtId="164" fontId="3" fillId="4" borderId="4" xfId="0" applyNumberFormat="1" applyFont="1" applyFill="1" applyBorder="1" applyAlignment="1">
      <alignment horizontal="center"/>
    </xf>
    <xf numFmtId="0" fontId="4" fillId="4" borderId="2" xfId="0" applyFont="1" applyFill="1" applyBorder="1" applyAlignment="1">
      <alignment horizontal="left" wrapText="1"/>
    </xf>
    <xf numFmtId="0" fontId="4" fillId="4" borderId="2" xfId="0" applyFont="1" applyFill="1" applyBorder="1" applyAlignment="1">
      <alignment horizontal="center" wrapText="1"/>
    </xf>
    <xf numFmtId="9" fontId="8" fillId="4" borderId="8" xfId="4" applyFont="1" applyFill="1" applyBorder="1" applyAlignment="1">
      <alignment vertical="center"/>
    </xf>
    <xf numFmtId="9" fontId="8" fillId="4" borderId="8" xfId="0" applyNumberFormat="1" applyFont="1" applyFill="1" applyBorder="1" applyAlignment="1">
      <alignment horizontal="center" vertical="center"/>
    </xf>
    <xf numFmtId="0" fontId="6" fillId="4" borderId="0" xfId="0" applyFont="1" applyFill="1" applyAlignment="1">
      <alignment horizontal="center"/>
    </xf>
    <xf numFmtId="176" fontId="8" fillId="4" borderId="0" xfId="1" applyNumberFormat="1" applyFont="1" applyFill="1" applyBorder="1" applyAlignment="1">
      <alignment vertical="center"/>
    </xf>
    <xf numFmtId="0" fontId="3" fillId="4" borderId="6" xfId="0" applyFont="1" applyFill="1" applyBorder="1" applyAlignment="1">
      <alignment wrapText="1"/>
    </xf>
    <xf numFmtId="164" fontId="3" fillId="4" borderId="0" xfId="0" applyNumberFormat="1" applyFont="1" applyFill="1"/>
    <xf numFmtId="164" fontId="3" fillId="4" borderId="7" xfId="0" applyNumberFormat="1" applyFont="1" applyFill="1" applyBorder="1"/>
    <xf numFmtId="0" fontId="8" fillId="4" borderId="0" xfId="0" applyFont="1" applyFill="1" applyAlignment="1">
      <alignment wrapText="1"/>
    </xf>
    <xf numFmtId="49" fontId="8" fillId="4" borderId="0" xfId="0" applyNumberFormat="1" applyFont="1" applyFill="1" applyBorder="1" applyAlignment="1">
      <alignment horizontal="center"/>
    </xf>
    <xf numFmtId="0" fontId="6" fillId="4" borderId="0" xfId="0" applyFont="1" applyFill="1" applyAlignment="1"/>
    <xf numFmtId="0" fontId="0" fillId="4" borderId="0" xfId="0" applyFill="1" applyAlignment="1"/>
    <xf numFmtId="164" fontId="3" fillId="4" borderId="17" xfId="0" applyNumberFormat="1" applyFont="1" applyFill="1" applyBorder="1"/>
    <xf numFmtId="177" fontId="8" fillId="4" borderId="8" xfId="0" applyNumberFormat="1" applyFont="1" applyFill="1" applyBorder="1" applyAlignment="1">
      <alignment vertical="center"/>
    </xf>
    <xf numFmtId="1" fontId="8" fillId="4" borderId="0" xfId="0" applyNumberFormat="1" applyFont="1" applyFill="1" applyBorder="1" applyAlignment="1">
      <alignment vertical="center"/>
    </xf>
    <xf numFmtId="0" fontId="10" fillId="4" borderId="0" xfId="0" applyFont="1" applyFill="1" applyBorder="1" applyAlignment="1">
      <alignment horizontal="center"/>
    </xf>
    <xf numFmtId="0" fontId="6" fillId="4" borderId="0" xfId="0" applyFont="1" applyFill="1" applyBorder="1"/>
    <xf numFmtId="9" fontId="8" fillId="4" borderId="0" xfId="4" applyFont="1" applyFill="1" applyBorder="1" applyAlignment="1">
      <alignment vertical="center"/>
    </xf>
    <xf numFmtId="1" fontId="3" fillId="4" borderId="1" xfId="0" applyNumberFormat="1" applyFont="1" applyFill="1" applyBorder="1"/>
    <xf numFmtId="2" fontId="3" fillId="4" borderId="4" xfId="0" applyNumberFormat="1" applyFont="1" applyFill="1" applyBorder="1"/>
    <xf numFmtId="9" fontId="3" fillId="4" borderId="4" xfId="4" applyFont="1" applyFill="1" applyBorder="1"/>
    <xf numFmtId="0" fontId="3" fillId="3" borderId="9" xfId="0" applyFont="1" applyFill="1" applyBorder="1" applyAlignment="1">
      <alignment wrapText="1"/>
    </xf>
    <xf numFmtId="0" fontId="3" fillId="3" borderId="16" xfId="0" applyFont="1" applyFill="1" applyBorder="1" applyAlignment="1">
      <alignment wrapText="1"/>
    </xf>
    <xf numFmtId="0" fontId="3" fillId="3" borderId="1" xfId="0" applyFont="1" applyFill="1" applyBorder="1" applyAlignment="1">
      <alignment wrapText="1"/>
    </xf>
    <xf numFmtId="0" fontId="3" fillId="3" borderId="4" xfId="0" applyFont="1" applyFill="1" applyBorder="1" applyAlignment="1">
      <alignment wrapText="1"/>
    </xf>
    <xf numFmtId="0" fontId="3" fillId="3" borderId="2" xfId="0" applyFont="1" applyFill="1" applyBorder="1" applyAlignment="1">
      <alignment horizontal="center"/>
    </xf>
    <xf numFmtId="9" fontId="3" fillId="3" borderId="10" xfId="0" applyNumberFormat="1" applyFont="1" applyFill="1" applyBorder="1" applyAlignment="1">
      <alignment horizontal="center"/>
    </xf>
    <xf numFmtId="9" fontId="3" fillId="3" borderId="2" xfId="0" applyNumberFormat="1" applyFont="1" applyFill="1" applyBorder="1" applyAlignment="1">
      <alignment horizontal="center"/>
    </xf>
    <xf numFmtId="0" fontId="3" fillId="3" borderId="9" xfId="0" applyFont="1" applyFill="1" applyBorder="1" applyAlignment="1">
      <alignment horizontal="center"/>
    </xf>
    <xf numFmtId="9" fontId="3" fillId="3" borderId="9" xfId="0" applyNumberFormat="1" applyFont="1" applyFill="1" applyBorder="1" applyAlignment="1">
      <alignment horizontal="center"/>
    </xf>
    <xf numFmtId="9" fontId="3" fillId="3" borderId="1" xfId="0" applyNumberFormat="1" applyFont="1" applyFill="1" applyBorder="1" applyAlignment="1">
      <alignment horizontal="center"/>
    </xf>
    <xf numFmtId="0" fontId="3" fillId="3" borderId="16" xfId="0" applyFont="1" applyFill="1" applyBorder="1" applyAlignment="1">
      <alignment horizontal="center"/>
    </xf>
    <xf numFmtId="9" fontId="3" fillId="3" borderId="16" xfId="0" applyNumberFormat="1" applyFont="1" applyFill="1" applyBorder="1" applyAlignment="1">
      <alignment horizontal="center"/>
    </xf>
    <xf numFmtId="9" fontId="3" fillId="3" borderId="4" xfId="0" applyNumberFormat="1" applyFont="1" applyFill="1" applyBorder="1" applyAlignment="1">
      <alignment horizontal="center"/>
    </xf>
    <xf numFmtId="0" fontId="3" fillId="3" borderId="1" xfId="0" applyFont="1" applyFill="1" applyBorder="1" applyAlignment="1">
      <alignment horizontal="center"/>
    </xf>
    <xf numFmtId="0" fontId="3" fillId="3" borderId="11" xfId="0" applyFont="1" applyFill="1" applyBorder="1" applyAlignment="1">
      <alignment wrapText="1"/>
    </xf>
    <xf numFmtId="0" fontId="3" fillId="3" borderId="6" xfId="0" applyFont="1" applyFill="1" applyBorder="1" applyAlignment="1">
      <alignment horizontal="center"/>
    </xf>
    <xf numFmtId="9" fontId="3" fillId="3" borderId="6" xfId="0" applyNumberFormat="1" applyFont="1" applyFill="1" applyBorder="1" applyAlignment="1">
      <alignment horizontal="center"/>
    </xf>
    <xf numFmtId="0" fontId="3" fillId="3" borderId="4" xfId="0" applyFont="1" applyFill="1" applyBorder="1" applyAlignment="1">
      <alignment horizontal="center"/>
    </xf>
    <xf numFmtId="0" fontId="26" fillId="4" borderId="0" xfId="0" applyFont="1" applyFill="1"/>
    <xf numFmtId="0" fontId="27" fillId="4" borderId="0" xfId="3" applyFont="1" applyFill="1" applyAlignment="1" applyProtection="1"/>
    <xf numFmtId="0" fontId="28" fillId="4" borderId="0" xfId="0" applyFont="1" applyFill="1"/>
    <xf numFmtId="0" fontId="29" fillId="4" borderId="0" xfId="0" applyFont="1" applyFill="1"/>
    <xf numFmtId="0" fontId="27" fillId="4" borderId="0" xfId="3" applyFont="1" applyFill="1" applyAlignment="1" applyProtection="1">
      <alignment horizontal="left" indent="3"/>
    </xf>
    <xf numFmtId="0" fontId="28" fillId="4" borderId="0" xfId="0" applyFont="1" applyFill="1" applyAlignment="1">
      <alignment wrapText="1"/>
    </xf>
    <xf numFmtId="0" fontId="4" fillId="2" borderId="3" xfId="0" applyFont="1" applyFill="1" applyBorder="1" applyAlignment="1">
      <alignment horizontal="center"/>
    </xf>
    <xf numFmtId="0" fontId="2" fillId="4" borderId="7" xfId="0" applyFont="1" applyFill="1" applyBorder="1" applyAlignment="1">
      <alignment horizontal="center" wrapText="1"/>
    </xf>
    <xf numFmtId="0" fontId="2" fillId="4" borderId="0" xfId="0" applyFont="1" applyFill="1" applyBorder="1" applyAlignment="1">
      <alignment horizontal="center" wrapText="1"/>
    </xf>
    <xf numFmtId="49" fontId="8" fillId="4" borderId="8" xfId="0" applyNumberFormat="1" applyFont="1" applyFill="1" applyBorder="1" applyAlignment="1">
      <alignment horizontal="center" vertical="center" wrapText="1"/>
    </xf>
    <xf numFmtId="0" fontId="2" fillId="4" borderId="0" xfId="0" applyFont="1" applyFill="1" applyAlignment="1">
      <alignment horizontal="center" wrapText="1"/>
    </xf>
    <xf numFmtId="0" fontId="8" fillId="4" borderId="8" xfId="0" applyFont="1" applyFill="1" applyBorder="1" applyAlignment="1">
      <alignment horizontal="center" vertical="center" wrapText="1"/>
    </xf>
    <xf numFmtId="0" fontId="2" fillId="4" borderId="0" xfId="0" applyFont="1" applyFill="1" applyAlignment="1">
      <alignment horizontal="center" vertical="center" wrapText="1"/>
    </xf>
    <xf numFmtId="168" fontId="8" fillId="4" borderId="8" xfId="2" applyNumberFormat="1" applyFont="1" applyFill="1" applyBorder="1" applyAlignment="1">
      <alignment vertical="center" wrapText="1"/>
    </xf>
    <xf numFmtId="176" fontId="8" fillId="4" borderId="8" xfId="1" applyNumberFormat="1" applyFont="1" applyFill="1" applyBorder="1" applyAlignment="1">
      <alignment vertical="center" wrapText="1"/>
    </xf>
    <xf numFmtId="0" fontId="8" fillId="4" borderId="0" xfId="0" applyFont="1" applyFill="1" applyAlignment="1">
      <alignment vertical="center" wrapText="1"/>
    </xf>
    <xf numFmtId="1" fontId="8" fillId="4" borderId="8" xfId="0" applyNumberFormat="1" applyFont="1" applyFill="1" applyBorder="1" applyAlignment="1">
      <alignment vertical="center" wrapText="1"/>
    </xf>
    <xf numFmtId="0" fontId="5" fillId="4" borderId="7" xfId="0" quotePrefix="1" applyFont="1" applyFill="1" applyBorder="1" applyAlignment="1">
      <alignment vertical="top" wrapText="1"/>
    </xf>
    <xf numFmtId="0" fontId="4" fillId="4" borderId="0" xfId="0" applyFont="1" applyFill="1" applyAlignment="1">
      <alignment vertical="top" wrapText="1"/>
    </xf>
    <xf numFmtId="0" fontId="4" fillId="4" borderId="0" xfId="0" applyFont="1" applyFill="1" applyBorder="1" applyAlignment="1">
      <alignment vertical="top" wrapText="1"/>
    </xf>
    <xf numFmtId="0" fontId="5" fillId="4" borderId="7" xfId="0" applyFont="1" applyFill="1" applyBorder="1" applyAlignment="1">
      <alignment vertical="top" wrapText="1"/>
    </xf>
    <xf numFmtId="0" fontId="5" fillId="4" borderId="0" xfId="0" applyFont="1" applyFill="1" applyBorder="1" applyAlignment="1">
      <alignment vertical="top" wrapText="1"/>
    </xf>
    <xf numFmtId="0" fontId="2" fillId="2" borderId="2" xfId="0" applyFont="1" applyFill="1" applyBorder="1" applyAlignment="1">
      <alignment vertical="top" wrapText="1"/>
    </xf>
    <xf numFmtId="0" fontId="4" fillId="4" borderId="1" xfId="0" applyFont="1" applyFill="1" applyBorder="1" applyAlignment="1">
      <alignment horizontal="left" vertical="top" wrapText="1"/>
    </xf>
    <xf numFmtId="0" fontId="4" fillId="4" borderId="1" xfId="0" applyFont="1" applyFill="1" applyBorder="1" applyAlignment="1">
      <alignment horizontal="center" vertical="top" wrapText="1"/>
    </xf>
    <xf numFmtId="0" fontId="4" fillId="4" borderId="1" xfId="0" applyFont="1" applyFill="1" applyBorder="1" applyAlignment="1">
      <alignment horizontal="center" vertical="top"/>
    </xf>
    <xf numFmtId="0" fontId="3" fillId="4" borderId="9" xfId="0" applyFont="1" applyFill="1" applyBorder="1" applyAlignment="1">
      <alignment vertical="top" wrapText="1"/>
    </xf>
    <xf numFmtId="0" fontId="3" fillId="4" borderId="1" xfId="0" applyFont="1" applyFill="1" applyBorder="1" applyAlignment="1">
      <alignment horizontal="center" vertical="top"/>
    </xf>
    <xf numFmtId="164" fontId="3" fillId="4" borderId="1" xfId="0" applyNumberFormat="1" applyFont="1" applyFill="1" applyBorder="1" applyAlignment="1">
      <alignment vertical="top"/>
    </xf>
    <xf numFmtId="164" fontId="3" fillId="4" borderId="17" xfId="0" applyNumberFormat="1" applyFont="1" applyFill="1" applyBorder="1" applyAlignment="1">
      <alignment vertical="top"/>
    </xf>
    <xf numFmtId="0" fontId="3" fillId="4" borderId="11" xfId="0" applyFont="1" applyFill="1" applyBorder="1" applyAlignment="1">
      <alignment vertical="top" wrapText="1"/>
    </xf>
    <xf numFmtId="0" fontId="3" fillId="4" borderId="6" xfId="0" applyFont="1" applyFill="1" applyBorder="1" applyAlignment="1">
      <alignment horizontal="center" vertical="top"/>
    </xf>
    <xf numFmtId="164" fontId="3" fillId="4" borderId="6" xfId="0" applyNumberFormat="1" applyFont="1" applyFill="1" applyBorder="1" applyAlignment="1">
      <alignment vertical="top"/>
    </xf>
    <xf numFmtId="164" fontId="3" fillId="4" borderId="0" xfId="0" applyNumberFormat="1" applyFont="1" applyFill="1" applyBorder="1" applyAlignment="1">
      <alignment vertical="top"/>
    </xf>
    <xf numFmtId="0" fontId="0" fillId="4" borderId="12" xfId="0" applyFill="1" applyBorder="1" applyAlignment="1">
      <alignment vertical="top" wrapText="1"/>
    </xf>
    <xf numFmtId="164" fontId="3" fillId="4" borderId="6" xfId="0" applyNumberFormat="1" applyFont="1" applyFill="1" applyBorder="1" applyAlignment="1">
      <alignment horizontal="center" vertical="top"/>
    </xf>
    <xf numFmtId="0" fontId="3" fillId="4" borderId="16" xfId="0" applyFont="1" applyFill="1" applyBorder="1" applyAlignment="1">
      <alignment vertical="top" wrapText="1"/>
    </xf>
    <xf numFmtId="0" fontId="3" fillId="4" borderId="4" xfId="0" applyFont="1" applyFill="1" applyBorder="1" applyAlignment="1">
      <alignment horizontal="center" vertical="top"/>
    </xf>
    <xf numFmtId="164" fontId="3" fillId="4" borderId="4" xfId="0" applyNumberFormat="1" applyFont="1" applyFill="1" applyBorder="1" applyAlignment="1">
      <alignment vertical="top"/>
    </xf>
    <xf numFmtId="164" fontId="3" fillId="4" borderId="7" xfId="0" applyNumberFormat="1" applyFont="1" applyFill="1" applyBorder="1" applyAlignment="1">
      <alignment vertical="top"/>
    </xf>
    <xf numFmtId="0" fontId="2" fillId="4" borderId="0" xfId="0" applyFont="1" applyFill="1" applyAlignment="1">
      <alignment vertical="top" wrapText="1"/>
    </xf>
    <xf numFmtId="0" fontId="6" fillId="4" borderId="0" xfId="0" applyFont="1" applyFill="1" applyAlignment="1">
      <alignment vertical="top"/>
    </xf>
    <xf numFmtId="164" fontId="2" fillId="4" borderId="0" xfId="0" applyNumberFormat="1" applyFont="1" applyFill="1" applyAlignment="1">
      <alignment vertical="top"/>
    </xf>
    <xf numFmtId="0" fontId="2" fillId="3" borderId="1" xfId="0" applyFont="1" applyFill="1" applyBorder="1" applyAlignment="1">
      <alignment vertical="top" wrapText="1"/>
    </xf>
    <xf numFmtId="0" fontId="4" fillId="4" borderId="0" xfId="0" applyFont="1" applyFill="1" applyBorder="1" applyAlignment="1">
      <alignment horizontal="center" vertical="top"/>
    </xf>
    <xf numFmtId="0" fontId="4" fillId="3" borderId="1" xfId="0" applyFont="1" applyFill="1" applyBorder="1" applyAlignment="1">
      <alignment horizontal="center" vertical="top"/>
    </xf>
    <xf numFmtId="0" fontId="4" fillId="3" borderId="3" xfId="0" applyFont="1" applyFill="1" applyBorder="1" applyAlignment="1">
      <alignment horizontal="center" vertical="top"/>
    </xf>
    <xf numFmtId="0" fontId="4" fillId="3" borderId="4" xfId="0" applyFont="1" applyFill="1" applyBorder="1" applyAlignment="1">
      <alignment horizontal="center" vertical="top"/>
    </xf>
    <xf numFmtId="0" fontId="4" fillId="3" borderId="2" xfId="0" applyFont="1" applyFill="1" applyBorder="1" applyAlignment="1">
      <alignment horizontal="center" vertical="top"/>
    </xf>
    <xf numFmtId="0" fontId="3" fillId="3" borderId="2" xfId="0" applyFont="1" applyFill="1" applyBorder="1" applyAlignment="1">
      <alignment vertical="top" wrapText="1"/>
    </xf>
    <xf numFmtId="0" fontId="3" fillId="3" borderId="2" xfId="0" applyFont="1" applyFill="1" applyBorder="1" applyAlignment="1">
      <alignment horizontal="center" vertical="top"/>
    </xf>
    <xf numFmtId="9" fontId="3" fillId="3" borderId="10" xfId="0" applyNumberFormat="1" applyFont="1" applyFill="1" applyBorder="1" applyAlignment="1">
      <alignment horizontal="center" vertical="top"/>
    </xf>
    <xf numFmtId="9" fontId="3" fillId="3" borderId="2" xfId="0" applyNumberFormat="1" applyFont="1" applyFill="1" applyBorder="1" applyAlignment="1">
      <alignment horizontal="center" vertical="top"/>
    </xf>
    <xf numFmtId="178" fontId="0" fillId="3" borderId="2" xfId="4" applyNumberFormat="1" applyFont="1" applyFill="1" applyBorder="1" applyAlignment="1">
      <alignment horizontal="center" vertical="top"/>
    </xf>
    <xf numFmtId="10" fontId="0" fillId="3" borderId="2" xfId="4" applyNumberFormat="1" applyFont="1" applyFill="1" applyBorder="1" applyAlignment="1">
      <alignment horizontal="center" vertical="top"/>
    </xf>
    <xf numFmtId="0" fontId="3" fillId="3" borderId="1" xfId="0" applyFont="1" applyFill="1" applyBorder="1" applyAlignment="1">
      <alignment vertical="top" wrapText="1"/>
    </xf>
    <xf numFmtId="0" fontId="4" fillId="3" borderId="4" xfId="0" applyFont="1" applyFill="1" applyBorder="1" applyAlignment="1">
      <alignment vertical="top" wrapText="1"/>
    </xf>
    <xf numFmtId="0" fontId="0" fillId="3" borderId="2" xfId="0" applyFill="1" applyBorder="1" applyAlignment="1">
      <alignment vertical="top" wrapText="1"/>
    </xf>
    <xf numFmtId="0" fontId="8" fillId="4" borderId="0" xfId="0" applyFont="1" applyFill="1" applyAlignment="1">
      <alignment horizontal="center" vertical="top"/>
    </xf>
    <xf numFmtId="0" fontId="8" fillId="4" borderId="0" xfId="0" applyFont="1" applyFill="1" applyBorder="1" applyAlignment="1">
      <alignment horizontal="center" vertical="top"/>
    </xf>
    <xf numFmtId="0" fontId="4" fillId="4" borderId="2" xfId="0" applyFont="1" applyFill="1" applyBorder="1" applyAlignment="1">
      <alignment horizontal="left" vertical="top" wrapText="1"/>
    </xf>
    <xf numFmtId="0" fontId="4" fillId="4" borderId="2" xfId="0" applyFont="1" applyFill="1" applyBorder="1" applyAlignment="1">
      <alignment horizontal="center" vertical="top" wrapText="1"/>
    </xf>
    <xf numFmtId="0" fontId="4" fillId="4" borderId="2" xfId="0" applyFont="1" applyFill="1" applyBorder="1" applyAlignment="1">
      <alignment horizontal="center" vertical="top"/>
    </xf>
    <xf numFmtId="164" fontId="3" fillId="4" borderId="0" xfId="0" applyNumberFormat="1" applyFont="1" applyFill="1" applyAlignment="1">
      <alignment horizontal="center" vertical="top"/>
    </xf>
    <xf numFmtId="164" fontId="3" fillId="4" borderId="9" xfId="0" applyNumberFormat="1" applyFont="1" applyFill="1" applyBorder="1" applyAlignment="1">
      <alignment vertical="top"/>
    </xf>
    <xf numFmtId="164" fontId="3" fillId="4" borderId="11" xfId="0" applyNumberFormat="1" applyFont="1" applyFill="1" applyBorder="1" applyAlignment="1">
      <alignment vertical="top"/>
    </xf>
    <xf numFmtId="164" fontId="3" fillId="4" borderId="0" xfId="0" applyNumberFormat="1" applyFont="1" applyFill="1" applyAlignment="1">
      <alignment vertical="top"/>
    </xf>
    <xf numFmtId="0" fontId="3" fillId="4" borderId="4" xfId="0" applyFont="1" applyFill="1" applyBorder="1" applyAlignment="1">
      <alignment vertical="top" wrapText="1"/>
    </xf>
    <xf numFmtId="164" fontId="3" fillId="4" borderId="16" xfId="0" applyNumberFormat="1" applyFont="1" applyFill="1" applyBorder="1" applyAlignment="1">
      <alignment vertical="top"/>
    </xf>
    <xf numFmtId="0" fontId="2" fillId="4" borderId="0" xfId="0" applyFont="1" applyFill="1" applyBorder="1" applyAlignment="1">
      <alignment horizontal="center" vertical="top"/>
    </xf>
    <xf numFmtId="0" fontId="8" fillId="4" borderId="0" xfId="0" applyFont="1" applyFill="1" applyAlignment="1">
      <alignment vertical="top" wrapText="1"/>
    </xf>
    <xf numFmtId="49" fontId="8" fillId="4" borderId="0" xfId="0" applyNumberFormat="1" applyFont="1" applyFill="1" applyBorder="1" applyAlignment="1">
      <alignment horizontal="center" vertical="top"/>
    </xf>
    <xf numFmtId="0" fontId="3" fillId="3" borderId="9" xfId="0" applyFont="1" applyFill="1" applyBorder="1" applyAlignment="1">
      <alignment vertical="top"/>
    </xf>
    <xf numFmtId="0" fontId="4" fillId="3" borderId="16" xfId="0" applyFont="1" applyFill="1" applyBorder="1" applyAlignment="1">
      <alignment vertical="top"/>
    </xf>
    <xf numFmtId="0" fontId="4" fillId="3" borderId="5" xfId="0" applyFont="1" applyFill="1" applyBorder="1" applyAlignment="1">
      <alignment horizontal="center" vertical="top"/>
    </xf>
    <xf numFmtId="0" fontId="3" fillId="3" borderId="9" xfId="0" applyFont="1" applyFill="1" applyBorder="1" applyAlignment="1">
      <alignment vertical="top" wrapText="1"/>
    </xf>
    <xf numFmtId="0" fontId="3" fillId="3" borderId="1" xfId="0" applyFont="1" applyFill="1" applyBorder="1" applyAlignment="1">
      <alignment horizontal="center" vertical="top"/>
    </xf>
    <xf numFmtId="178" fontId="3" fillId="3" borderId="1" xfId="0" applyNumberFormat="1" applyFont="1" applyFill="1" applyBorder="1" applyAlignment="1">
      <alignment horizontal="center" vertical="top"/>
    </xf>
    <xf numFmtId="10" fontId="3" fillId="3" borderId="9" xfId="0" applyNumberFormat="1" applyFont="1" applyFill="1" applyBorder="1" applyAlignment="1">
      <alignment horizontal="center" vertical="top"/>
    </xf>
    <xf numFmtId="9" fontId="3" fillId="3" borderId="1" xfId="0" applyNumberFormat="1" applyFont="1" applyFill="1" applyBorder="1" applyAlignment="1">
      <alignment horizontal="center" vertical="top"/>
    </xf>
    <xf numFmtId="0" fontId="3" fillId="3" borderId="11" xfId="0" applyFont="1" applyFill="1" applyBorder="1" applyAlignment="1">
      <alignment vertical="top" wrapText="1"/>
    </xf>
    <xf numFmtId="0" fontId="3" fillId="3" borderId="6" xfId="0" applyFont="1" applyFill="1" applyBorder="1" applyAlignment="1">
      <alignment horizontal="center" vertical="top"/>
    </xf>
    <xf numFmtId="9" fontId="3" fillId="3" borderId="6" xfId="0" applyNumberFormat="1" applyFont="1" applyFill="1" applyBorder="1" applyAlignment="1">
      <alignment horizontal="center" vertical="top"/>
    </xf>
    <xf numFmtId="178" fontId="3" fillId="3" borderId="11" xfId="0" applyNumberFormat="1" applyFont="1" applyFill="1" applyBorder="1" applyAlignment="1">
      <alignment horizontal="center" vertical="top"/>
    </xf>
    <xf numFmtId="9" fontId="3" fillId="3" borderId="11" xfId="0" applyNumberFormat="1" applyFont="1" applyFill="1" applyBorder="1" applyAlignment="1">
      <alignment horizontal="center" vertical="top"/>
    </xf>
    <xf numFmtId="0" fontId="3" fillId="3" borderId="16" xfId="0" applyFont="1" applyFill="1" applyBorder="1" applyAlignment="1">
      <alignment vertical="top" wrapText="1"/>
    </xf>
    <xf numFmtId="0" fontId="3" fillId="3" borderId="4" xfId="0" applyFont="1" applyFill="1" applyBorder="1" applyAlignment="1">
      <alignment horizontal="center" vertical="top"/>
    </xf>
    <xf numFmtId="9" fontId="0" fillId="3" borderId="4" xfId="0" applyNumberFormat="1" applyFill="1" applyBorder="1" applyAlignment="1">
      <alignment horizontal="center" vertical="top"/>
    </xf>
    <xf numFmtId="9" fontId="0" fillId="3" borderId="16" xfId="0" applyNumberFormat="1" applyFill="1" applyBorder="1" applyAlignment="1">
      <alignment horizontal="center" vertical="top"/>
    </xf>
    <xf numFmtId="0" fontId="0" fillId="4" borderId="0" xfId="0" quotePrefix="1" applyFill="1" applyAlignment="1">
      <alignment vertical="top"/>
    </xf>
    <xf numFmtId="0" fontId="3" fillId="3" borderId="18" xfId="0" applyFont="1" applyFill="1" applyBorder="1" applyAlignment="1">
      <alignment vertical="top" wrapText="1"/>
    </xf>
    <xf numFmtId="0" fontId="0" fillId="3" borderId="18" xfId="0" applyFill="1" applyBorder="1" applyAlignment="1">
      <alignment vertical="top" wrapText="1"/>
    </xf>
    <xf numFmtId="0" fontId="2" fillId="4" borderId="0" xfId="0" applyFont="1" applyFill="1" applyBorder="1"/>
    <xf numFmtId="168" fontId="2" fillId="4" borderId="0" xfId="0" applyNumberFormat="1" applyFont="1" applyFill="1" applyBorder="1"/>
    <xf numFmtId="0" fontId="3" fillId="4" borderId="6" xfId="0" applyFont="1" applyFill="1" applyBorder="1"/>
    <xf numFmtId="0" fontId="3" fillId="4" borderId="4" xfId="0" applyFont="1" applyFill="1" applyBorder="1"/>
    <xf numFmtId="9" fontId="3" fillId="4" borderId="1" xfId="4" applyFont="1" applyFill="1" applyBorder="1"/>
    <xf numFmtId="9" fontId="3" fillId="4" borderId="6" xfId="0" applyNumberFormat="1" applyFont="1" applyFill="1" applyBorder="1"/>
    <xf numFmtId="0" fontId="4" fillId="2" borderId="4" xfId="0" applyFont="1" applyFill="1" applyBorder="1" applyAlignment="1">
      <alignment horizontal="center"/>
    </xf>
    <xf numFmtId="0" fontId="4" fillId="2" borderId="2" xfId="0" applyFont="1" applyFill="1" applyBorder="1" applyAlignment="1">
      <alignment horizontal="center"/>
    </xf>
    <xf numFmtId="9" fontId="0" fillId="4" borderId="6" xfId="0" applyNumberFormat="1" applyFill="1" applyBorder="1"/>
    <xf numFmtId="9" fontId="0" fillId="4" borderId="4" xfId="0" applyNumberFormat="1" applyFill="1" applyBorder="1"/>
    <xf numFmtId="168" fontId="3" fillId="4" borderId="1" xfId="2" applyNumberFormat="1" applyFont="1" applyFill="1" applyBorder="1"/>
    <xf numFmtId="168" fontId="3" fillId="4" borderId="6" xfId="2" applyNumberFormat="1" applyFont="1" applyFill="1" applyBorder="1"/>
    <xf numFmtId="168" fontId="3" fillId="4" borderId="4" xfId="2" applyNumberFormat="1" applyFont="1" applyFill="1" applyBorder="1"/>
    <xf numFmtId="0" fontId="4" fillId="2" borderId="1" xfId="0" applyFont="1" applyFill="1" applyBorder="1" applyAlignment="1">
      <alignment horizontal="left"/>
    </xf>
    <xf numFmtId="0" fontId="3" fillId="4" borderId="9" xfId="0" applyFont="1" applyFill="1" applyBorder="1"/>
    <xf numFmtId="168" fontId="3" fillId="4" borderId="5" xfId="2" applyNumberFormat="1" applyFont="1" applyFill="1" applyBorder="1"/>
    <xf numFmtId="168" fontId="3" fillId="4" borderId="13" xfId="2" applyNumberFormat="1" applyFont="1" applyFill="1" applyBorder="1"/>
    <xf numFmtId="0" fontId="4" fillId="2" borderId="5" xfId="0" applyFont="1" applyFill="1" applyBorder="1" applyAlignment="1">
      <alignment horizontal="center"/>
    </xf>
    <xf numFmtId="0" fontId="4" fillId="2" borderId="1" xfId="0" applyFont="1" applyFill="1" applyBorder="1" applyAlignment="1">
      <alignment horizontal="center"/>
    </xf>
    <xf numFmtId="168" fontId="0" fillId="4" borderId="0" xfId="2" applyNumberFormat="1" applyFont="1" applyFill="1"/>
    <xf numFmtId="168" fontId="8" fillId="4" borderId="0" xfId="0" applyNumberFormat="1" applyFont="1" applyFill="1" applyBorder="1"/>
    <xf numFmtId="0" fontId="20" fillId="4" borderId="0" xfId="0" applyFont="1" applyFill="1" applyAlignment="1">
      <alignment vertical="top"/>
    </xf>
    <xf numFmtId="5" fontId="30" fillId="4" borderId="0" xfId="0" applyNumberFormat="1" applyFont="1" applyFill="1" applyBorder="1" applyAlignment="1">
      <alignment vertical="top"/>
    </xf>
    <xf numFmtId="0" fontId="4" fillId="2" borderId="9" xfId="0" applyFont="1" applyFill="1" applyBorder="1" applyAlignment="1">
      <alignment horizontal="left"/>
    </xf>
    <xf numFmtId="0" fontId="2" fillId="2" borderId="1" xfId="0" applyFont="1" applyFill="1" applyBorder="1" applyAlignment="1">
      <alignment horizontal="center"/>
    </xf>
    <xf numFmtId="9" fontId="0" fillId="4" borderId="1" xfId="0" applyNumberFormat="1" applyFill="1" applyBorder="1"/>
    <xf numFmtId="37" fontId="21" fillId="4" borderId="0" xfId="0" applyNumberFormat="1" applyFont="1" applyFill="1" applyBorder="1" applyAlignment="1">
      <alignment vertical="top"/>
    </xf>
    <xf numFmtId="176" fontId="21" fillId="4" borderId="0" xfId="0" applyNumberFormat="1" applyFont="1" applyFill="1" applyBorder="1" applyAlignment="1">
      <alignment vertical="top"/>
    </xf>
    <xf numFmtId="0" fontId="0" fillId="4" borderId="1" xfId="0" applyFill="1" applyBorder="1"/>
    <xf numFmtId="0" fontId="0" fillId="4" borderId="6" xfId="0" applyFill="1" applyBorder="1"/>
    <xf numFmtId="0" fontId="0" fillId="4" borderId="4" xfId="0" applyFill="1" applyBorder="1"/>
    <xf numFmtId="0" fontId="5" fillId="4" borderId="7" xfId="0" applyFont="1" applyFill="1" applyBorder="1" applyAlignment="1">
      <alignment horizontal="left" vertical="top" wrapText="1"/>
    </xf>
    <xf numFmtId="0" fontId="5" fillId="4" borderId="0" xfId="0" applyFont="1" applyFill="1" applyBorder="1" applyAlignment="1">
      <alignment horizontal="left" vertical="top" wrapText="1"/>
    </xf>
    <xf numFmtId="0" fontId="3" fillId="4" borderId="0" xfId="0" applyFont="1" applyFill="1" applyAlignment="1">
      <alignment vertical="top" wrapText="1"/>
    </xf>
    <xf numFmtId="164" fontId="8" fillId="2" borderId="8" xfId="0" applyNumberFormat="1" applyFont="1" applyFill="1" applyBorder="1" applyAlignment="1">
      <alignment vertical="center"/>
    </xf>
    <xf numFmtId="164" fontId="4" fillId="5" borderId="0" xfId="0" applyNumberFormat="1" applyFont="1" applyFill="1" applyBorder="1" applyAlignment="1">
      <alignment vertical="center"/>
    </xf>
    <xf numFmtId="0" fontId="7" fillId="4" borderId="1" xfId="3" applyFill="1" applyBorder="1" applyAlignment="1" applyProtection="1">
      <alignment horizontal="center" vertical="center" wrapText="1"/>
    </xf>
    <xf numFmtId="0" fontId="0" fillId="4" borderId="6" xfId="0" applyFill="1" applyBorder="1" applyAlignment="1">
      <alignment vertical="center" wrapText="1"/>
    </xf>
    <xf numFmtId="0" fontId="0" fillId="4" borderId="4" xfId="0" applyFill="1" applyBorder="1" applyAlignment="1">
      <alignment vertical="center" wrapText="1"/>
    </xf>
    <xf numFmtId="0" fontId="0" fillId="4" borderId="4" xfId="0" applyFill="1" applyBorder="1" applyAlignment="1">
      <alignment horizontal="center" vertical="center" wrapText="1"/>
    </xf>
    <xf numFmtId="0" fontId="7" fillId="4" borderId="6" xfId="3" applyFill="1" applyBorder="1" applyAlignment="1" applyProtection="1">
      <alignment horizontal="center" vertical="center" wrapText="1"/>
    </xf>
    <xf numFmtId="0" fontId="7" fillId="4" borderId="4" xfId="3" applyFill="1" applyBorder="1" applyAlignment="1" applyProtection="1">
      <alignment horizontal="center" vertical="center" wrapText="1"/>
    </xf>
    <xf numFmtId="0" fontId="4" fillId="2" borderId="10" xfId="0" applyFont="1" applyFill="1" applyBorder="1" applyAlignment="1">
      <alignment horizontal="center"/>
    </xf>
    <xf numFmtId="0" fontId="4" fillId="2" borderId="3" xfId="0" applyFont="1" applyFill="1" applyBorder="1" applyAlignment="1">
      <alignment horizontal="center"/>
    </xf>
    <xf numFmtId="0" fontId="2" fillId="2" borderId="18" xfId="0" applyFont="1" applyFill="1" applyBorder="1" applyAlignment="1">
      <alignment horizontal="center"/>
    </xf>
    <xf numFmtId="0" fontId="2" fillId="2" borderId="10" xfId="0" applyFont="1" applyFill="1" applyBorder="1" applyAlignment="1">
      <alignment horizontal="center"/>
    </xf>
    <xf numFmtId="0" fontId="4" fillId="2" borderId="18" xfId="0" applyFont="1" applyFill="1" applyBorder="1" applyAlignment="1">
      <alignment horizontal="center"/>
    </xf>
    <xf numFmtId="0" fontId="3" fillId="4" borderId="1" xfId="0" applyFont="1" applyFill="1" applyBorder="1" applyAlignment="1">
      <alignment vertical="top" wrapText="1"/>
    </xf>
    <xf numFmtId="0" fontId="0" fillId="0" borderId="6" xfId="0" applyBorder="1" applyAlignment="1">
      <alignment vertical="top" wrapText="1"/>
    </xf>
    <xf numFmtId="0" fontId="0" fillId="0" borderId="4" xfId="0" applyBorder="1" applyAlignment="1">
      <alignment vertical="top" wrapText="1"/>
    </xf>
    <xf numFmtId="0" fontId="3" fillId="4" borderId="4" xfId="0" applyFont="1" applyFill="1" applyBorder="1" applyAlignment="1">
      <alignment vertical="top" wrapText="1"/>
    </xf>
    <xf numFmtId="0" fontId="3" fillId="4" borderId="1" xfId="0" quotePrefix="1" applyFont="1" applyFill="1" applyBorder="1" applyAlignment="1">
      <alignment vertical="top" wrapText="1"/>
    </xf>
    <xf numFmtId="0" fontId="3" fillId="4" borderId="6" xfId="0" applyFont="1" applyFill="1" applyBorder="1" applyAlignment="1">
      <alignment vertical="top" wrapText="1"/>
    </xf>
    <xf numFmtId="0" fontId="20" fillId="2" borderId="18" xfId="0" applyFont="1" applyFill="1" applyBorder="1" applyAlignment="1">
      <alignment horizontal="center" vertical="top"/>
    </xf>
    <xf numFmtId="0" fontId="20" fillId="2" borderId="10" xfId="0" applyFont="1" applyFill="1" applyBorder="1" applyAlignment="1">
      <alignment horizontal="center" vertical="top"/>
    </xf>
    <xf numFmtId="0" fontId="20" fillId="2" borderId="3" xfId="0" applyFont="1" applyFill="1" applyBorder="1" applyAlignment="1">
      <alignment horizontal="center" vertical="top"/>
    </xf>
    <xf numFmtId="0" fontId="2" fillId="2" borderId="18" xfId="0" applyFont="1" applyFill="1" applyBorder="1" applyAlignment="1">
      <alignment horizontal="center" vertical="top"/>
    </xf>
    <xf numFmtId="0" fontId="2" fillId="2" borderId="10" xfId="0" applyFont="1" applyFill="1" applyBorder="1" applyAlignment="1">
      <alignment horizontal="center" vertical="top"/>
    </xf>
    <xf numFmtId="0" fontId="2" fillId="2" borderId="3" xfId="0" applyFont="1" applyFill="1" applyBorder="1" applyAlignment="1">
      <alignment horizontal="center" vertical="top"/>
    </xf>
    <xf numFmtId="0" fontId="0" fillId="4" borderId="1" xfId="0" applyFill="1" applyBorder="1" applyAlignment="1">
      <alignment wrapText="1"/>
    </xf>
    <xf numFmtId="0" fontId="0" fillId="4" borderId="6" xfId="0" applyFill="1" applyBorder="1" applyAlignment="1">
      <alignment wrapText="1"/>
    </xf>
    <xf numFmtId="0" fontId="0" fillId="4" borderId="4" xfId="0" applyFill="1" applyBorder="1" applyAlignment="1">
      <alignment wrapText="1"/>
    </xf>
    <xf numFmtId="0" fontId="4" fillId="3" borderId="18" xfId="0" applyFont="1" applyFill="1" applyBorder="1" applyAlignment="1">
      <alignment horizontal="center"/>
    </xf>
    <xf numFmtId="0" fontId="4" fillId="3" borderId="10" xfId="0" applyFont="1" applyFill="1" applyBorder="1" applyAlignment="1">
      <alignment horizontal="center"/>
    </xf>
    <xf numFmtId="0" fontId="4" fillId="3" borderId="3" xfId="0" applyFont="1" applyFill="1" applyBorder="1" applyAlignment="1">
      <alignment horizontal="center"/>
    </xf>
    <xf numFmtId="0" fontId="4" fillId="3" borderId="18" xfId="0" applyFont="1" applyFill="1" applyBorder="1" applyAlignment="1">
      <alignment horizontal="center" vertical="top"/>
    </xf>
    <xf numFmtId="0" fontId="4" fillId="3" borderId="10" xfId="0" applyFont="1" applyFill="1" applyBorder="1" applyAlignment="1">
      <alignment horizontal="center" vertical="top"/>
    </xf>
    <xf numFmtId="0" fontId="4" fillId="3" borderId="3" xfId="0" applyFont="1" applyFill="1" applyBorder="1" applyAlignment="1">
      <alignment horizontal="center" vertical="top"/>
    </xf>
    <xf numFmtId="0" fontId="0" fillId="4" borderId="1" xfId="0" applyFill="1" applyBorder="1" applyAlignment="1">
      <alignment vertical="top" wrapText="1"/>
    </xf>
    <xf numFmtId="0" fontId="0" fillId="4" borderId="6" xfId="0" applyFill="1" applyBorder="1" applyAlignment="1">
      <alignment vertical="top" wrapText="1"/>
    </xf>
    <xf numFmtId="0" fontId="0" fillId="4" borderId="4" xfId="0" applyFill="1" applyBorder="1" applyAlignment="1">
      <alignment vertical="top" wrapText="1"/>
    </xf>
    <xf numFmtId="0" fontId="0" fillId="4" borderId="5" xfId="0" applyFill="1" applyBorder="1" applyAlignment="1">
      <alignment wrapText="1"/>
    </xf>
    <xf numFmtId="0" fontId="0" fillId="4" borderId="13" xfId="0" applyFill="1" applyBorder="1" applyAlignment="1">
      <alignment wrapText="1"/>
    </xf>
  </cellXfs>
  <cellStyles count="5">
    <cellStyle name="Comma" xfId="1" builtinId="3"/>
    <cellStyle name="Currency" xfId="2" builtinId="4"/>
    <cellStyle name="Hyperlink" xfId="3" builtinId="8"/>
    <cellStyle name="Normal" xfId="0" builtinId="0"/>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47625</xdr:colOff>
      <xdr:row>0</xdr:row>
      <xdr:rowOff>161925</xdr:rowOff>
    </xdr:from>
    <xdr:to>
      <xdr:col>1</xdr:col>
      <xdr:colOff>3305175</xdr:colOff>
      <xdr:row>4</xdr:row>
      <xdr:rowOff>180975</xdr:rowOff>
    </xdr:to>
    <xdr:pic>
      <xdr:nvPicPr>
        <xdr:cNvPr id="17409" name="Picture 1">
          <a:extLst>
            <a:ext uri="{FF2B5EF4-FFF2-40B4-BE49-F238E27FC236}">
              <a16:creationId xmlns:a16="http://schemas.microsoft.com/office/drawing/2014/main" id="{4BCA08DD-157A-FA97-BD46-2784D00065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8125" y="161925"/>
          <a:ext cx="3257550" cy="781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314325</xdr:colOff>
      <xdr:row>2</xdr:row>
      <xdr:rowOff>9525</xdr:rowOff>
    </xdr:from>
    <xdr:to>
      <xdr:col>9</xdr:col>
      <xdr:colOff>342900</xdr:colOff>
      <xdr:row>8</xdr:row>
      <xdr:rowOff>9525</xdr:rowOff>
    </xdr:to>
    <xdr:sp macro="" textlink="">
      <xdr:nvSpPr>
        <xdr:cNvPr id="16386" name="Text Box 2">
          <a:extLst>
            <a:ext uri="{FF2B5EF4-FFF2-40B4-BE49-F238E27FC236}">
              <a16:creationId xmlns:a16="http://schemas.microsoft.com/office/drawing/2014/main" id="{BEB841A5-DA17-5FE6-4A20-402F61034400}"/>
            </a:ext>
          </a:extLst>
        </xdr:cNvPr>
        <xdr:cNvSpPr txBox="1">
          <a:spLocks noChangeArrowheads="1"/>
        </xdr:cNvSpPr>
      </xdr:nvSpPr>
      <xdr:spPr bwMode="auto">
        <a:xfrm>
          <a:off x="5676900" y="371475"/>
          <a:ext cx="3657600" cy="771525"/>
        </a:xfrm>
        <a:prstGeom prst="rect">
          <a:avLst/>
        </a:prstGeom>
        <a:solidFill>
          <a:srgbClr val="EAEAEA"/>
        </a:solidFill>
        <a:ln w="38100" cmpd="dbl">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Please provide financial data pertinent to the scope of the EAM project.  For example, if the EAM project is confined to one division, input data (e.g., Total Revenue) for that division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8:B31"/>
  <sheetViews>
    <sheetView topLeftCell="A7" zoomScale="60" workbookViewId="0">
      <selection activeCell="B18" sqref="B18"/>
    </sheetView>
  </sheetViews>
  <sheetFormatPr defaultRowHeight="15" x14ac:dyDescent="0.2"/>
  <cols>
    <col min="1" max="1" width="2.85546875" style="211" customWidth="1"/>
    <col min="2" max="2" width="172.5703125" style="211" customWidth="1"/>
    <col min="3" max="16384" width="9.140625" style="211"/>
  </cols>
  <sheetData>
    <row r="8" spans="2:2" s="213" customFormat="1" ht="18" x14ac:dyDescent="0.25">
      <c r="B8" s="214" t="s">
        <v>355</v>
      </c>
    </row>
    <row r="9" spans="2:2" s="213" customFormat="1" ht="18" x14ac:dyDescent="0.25">
      <c r="B9" s="214" t="s">
        <v>354</v>
      </c>
    </row>
    <row r="10" spans="2:2" ht="3.75" customHeight="1" x14ac:dyDescent="0.2"/>
    <row r="11" spans="2:2" s="213" customFormat="1" ht="18" x14ac:dyDescent="0.25">
      <c r="B11" s="212" t="s">
        <v>347</v>
      </c>
    </row>
    <row r="12" spans="2:2" s="213" customFormat="1" ht="18" x14ac:dyDescent="0.25">
      <c r="B12" s="212" t="s">
        <v>348</v>
      </c>
    </row>
    <row r="13" spans="2:2" s="213" customFormat="1" ht="18" x14ac:dyDescent="0.25">
      <c r="B13" s="213" t="s">
        <v>349</v>
      </c>
    </row>
    <row r="14" spans="2:2" s="213" customFormat="1" ht="18" x14ac:dyDescent="0.25">
      <c r="B14" s="215" t="s">
        <v>279</v>
      </c>
    </row>
    <row r="15" spans="2:2" s="213" customFormat="1" ht="18" x14ac:dyDescent="0.25">
      <c r="B15" s="215" t="s">
        <v>350</v>
      </c>
    </row>
    <row r="16" spans="2:2" s="213" customFormat="1" ht="18" x14ac:dyDescent="0.25">
      <c r="B16" s="215" t="s">
        <v>332</v>
      </c>
    </row>
    <row r="17" spans="2:2" s="213" customFormat="1" ht="18" x14ac:dyDescent="0.25">
      <c r="B17" s="213" t="s">
        <v>351</v>
      </c>
    </row>
    <row r="18" spans="2:2" s="213" customFormat="1" ht="18" x14ac:dyDescent="0.25">
      <c r="B18" s="215" t="s">
        <v>353</v>
      </c>
    </row>
    <row r="19" spans="2:2" s="213" customFormat="1" ht="18" x14ac:dyDescent="0.25">
      <c r="B19" s="215" t="s">
        <v>352</v>
      </c>
    </row>
    <row r="20" spans="2:2" s="213" customFormat="1" ht="18" x14ac:dyDescent="0.25">
      <c r="B20" s="215" t="s">
        <v>100</v>
      </c>
    </row>
    <row r="21" spans="2:2" s="213" customFormat="1" ht="18" x14ac:dyDescent="0.25">
      <c r="B21" s="215" t="s">
        <v>154</v>
      </c>
    </row>
    <row r="22" spans="2:2" s="213" customFormat="1" ht="18" x14ac:dyDescent="0.25">
      <c r="B22" s="215" t="s">
        <v>30</v>
      </c>
    </row>
    <row r="23" spans="2:2" s="213" customFormat="1" ht="18" x14ac:dyDescent="0.25">
      <c r="B23" s="215" t="s">
        <v>277</v>
      </c>
    </row>
    <row r="24" spans="2:2" s="213" customFormat="1" ht="18" x14ac:dyDescent="0.25">
      <c r="B24" s="215" t="s">
        <v>29</v>
      </c>
    </row>
    <row r="25" spans="2:2" s="213" customFormat="1" ht="36" x14ac:dyDescent="0.25">
      <c r="B25" s="216" t="s">
        <v>370</v>
      </c>
    </row>
    <row r="26" spans="2:2" s="213" customFormat="1" ht="18" x14ac:dyDescent="0.25">
      <c r="B26" s="215" t="s">
        <v>352</v>
      </c>
    </row>
    <row r="27" spans="2:2" s="213" customFormat="1" ht="18" x14ac:dyDescent="0.25">
      <c r="B27" s="215" t="s">
        <v>100</v>
      </c>
    </row>
    <row r="28" spans="2:2" s="213" customFormat="1" ht="18" x14ac:dyDescent="0.25">
      <c r="B28" s="215" t="s">
        <v>154</v>
      </c>
    </row>
    <row r="29" spans="2:2" s="213" customFormat="1" ht="18" x14ac:dyDescent="0.25">
      <c r="B29" s="215" t="s">
        <v>30</v>
      </c>
    </row>
    <row r="30" spans="2:2" s="213" customFormat="1" ht="18" x14ac:dyDescent="0.25">
      <c r="B30" s="215" t="s">
        <v>277</v>
      </c>
    </row>
    <row r="31" spans="2:2" s="213" customFormat="1" ht="18" x14ac:dyDescent="0.25">
      <c r="B31" s="215" t="s">
        <v>29</v>
      </c>
    </row>
  </sheetData>
  <phoneticPr fontId="0" type="noConversion"/>
  <hyperlinks>
    <hyperlink ref="B11" location="'Value Area Map'!A1" display="1) Value Area Map that categorizes and displays the business areas where DSTM delivers value"/>
    <hyperlink ref="B12" location="'Value Summary'!A1" display="2) Value Summary page that rolls up and displays the total business value delivered"/>
    <hyperlink ref="B14" location="'Income Statement Impact'!A1" display="Income Statement"/>
    <hyperlink ref="B15" location="'Bal. Sheet and Cash Flow Impact'!A1" display="Balance Sheet and Cash Flow Improvements"/>
    <hyperlink ref="B16" location="'Key Financial Ratios'!A1" display="Key Financial Ratios"/>
    <hyperlink ref="B18" location="'General Financial Info Survey'!A1" display="General Company Financial Information"/>
    <hyperlink ref="B19" location="'MRO Supply Chain Survey'!A1" display="MRO Supply Chain "/>
    <hyperlink ref="B20" location="'Workforce Mgmt Survey'!A1" display="Workforce Management"/>
    <hyperlink ref="B21" location="'IT Survey'!A1" display="I/T"/>
    <hyperlink ref="B22" location="'Capital Investment Survey'!A1" display="Capital Asset Investment"/>
    <hyperlink ref="B23" location="'Asset Productivity Survey'!A1" display="Asset Productivity"/>
    <hyperlink ref="B24" location="'Operating Risk Survey'!A1" display="Operating Risk"/>
    <hyperlink ref="B26" location="'MRO Supply Chain Value'!A1" display="MRO Supply Chain "/>
    <hyperlink ref="B27" location="'Workforce Mgmt Value'!A1" display="Workforce Management"/>
    <hyperlink ref="B28" location="'IT Value'!A1" display="I/T"/>
    <hyperlink ref="B29" location="'Capital Investment Value'!A1" display="Capital Asset Investment"/>
    <hyperlink ref="B30" location="'Asset Productivity Value'!A1" display="Asset Productivity"/>
    <hyperlink ref="B31" location="'Operating Risk Value'!A1" display="Operating Risk"/>
  </hyperlinks>
  <pageMargins left="0.75" right="0.75" top="1" bottom="1" header="0.5" footer="0.5"/>
  <pageSetup scale="70" orientation="landscape"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F78"/>
  <sheetViews>
    <sheetView topLeftCell="B7" zoomScale="70" workbookViewId="0">
      <selection activeCell="C27" sqref="C27"/>
    </sheetView>
  </sheetViews>
  <sheetFormatPr defaultRowHeight="12.75" x14ac:dyDescent="0.2"/>
  <cols>
    <col min="1" max="1" width="3.42578125" style="20" customWidth="1"/>
    <col min="2" max="2" width="106.85546875" style="108" customWidth="1"/>
    <col min="3" max="3" width="15.5703125" style="20" bestFit="1" customWidth="1"/>
    <col min="4" max="4" width="13.42578125" style="126" bestFit="1" customWidth="1"/>
    <col min="5" max="5" width="13.28515625" style="20" bestFit="1" customWidth="1"/>
    <col min="6" max="6" width="13.7109375" style="126" customWidth="1"/>
    <col min="7" max="16384" width="9.140625" style="20"/>
  </cols>
  <sheetData>
    <row r="2" spans="2:6" ht="15.75" x14ac:dyDescent="0.25">
      <c r="B2" s="228" t="s">
        <v>158</v>
      </c>
      <c r="C2" s="19" t="s">
        <v>47</v>
      </c>
      <c r="F2" s="127" t="s">
        <v>81</v>
      </c>
    </row>
    <row r="3" spans="2:6" s="21" customFormat="1" ht="3.75" customHeight="1" thickBot="1" x14ac:dyDescent="0.25">
      <c r="B3" s="108"/>
      <c r="C3" s="135"/>
      <c r="D3" s="136"/>
      <c r="F3" s="136"/>
    </row>
    <row r="4" spans="2:6" ht="15.75" thickBot="1" x14ac:dyDescent="0.25">
      <c r="B4" s="229" t="s">
        <v>138</v>
      </c>
      <c r="C4" s="29">
        <v>1</v>
      </c>
      <c r="E4" s="126">
        <v>1</v>
      </c>
    </row>
    <row r="5" spans="2:6" ht="4.5" customHeight="1" x14ac:dyDescent="0.2">
      <c r="E5" s="126">
        <v>2</v>
      </c>
    </row>
    <row r="6" spans="2:6" ht="15.75" x14ac:dyDescent="0.25">
      <c r="B6" s="108" t="s">
        <v>139</v>
      </c>
      <c r="C6" s="131"/>
      <c r="E6" s="126">
        <v>3</v>
      </c>
      <c r="F6" s="130">
        <v>2</v>
      </c>
    </row>
    <row r="7" spans="2:6" ht="15.75" x14ac:dyDescent="0.25">
      <c r="B7" s="108" t="s">
        <v>147</v>
      </c>
      <c r="C7" s="128"/>
      <c r="E7" s="126">
        <v>4</v>
      </c>
      <c r="F7" s="130">
        <v>3</v>
      </c>
    </row>
    <row r="8" spans="2:6" ht="15.75" x14ac:dyDescent="0.25">
      <c r="B8" s="108" t="s">
        <v>146</v>
      </c>
      <c r="C8" s="131"/>
      <c r="F8" s="126">
        <v>4</v>
      </c>
    </row>
    <row r="9" spans="2:6" ht="4.5" customHeight="1" thickBot="1" x14ac:dyDescent="0.3">
      <c r="C9" s="131"/>
    </row>
    <row r="10" spans="2:6" ht="15.75" thickBot="1" x14ac:dyDescent="0.25">
      <c r="B10" s="229" t="s">
        <v>140</v>
      </c>
      <c r="C10" s="29">
        <v>2</v>
      </c>
      <c r="E10" s="126">
        <v>1</v>
      </c>
    </row>
    <row r="11" spans="2:6" ht="4.5" customHeight="1" x14ac:dyDescent="0.2">
      <c r="E11" s="126">
        <v>2</v>
      </c>
    </row>
    <row r="12" spans="2:6" ht="15.75" x14ac:dyDescent="0.25">
      <c r="B12" s="108" t="s">
        <v>148</v>
      </c>
      <c r="C12" s="131"/>
      <c r="E12" s="126">
        <v>3</v>
      </c>
      <c r="F12" s="130">
        <v>2</v>
      </c>
    </row>
    <row r="13" spans="2:6" ht="19.5" customHeight="1" x14ac:dyDescent="0.25">
      <c r="B13" s="108" t="s">
        <v>149</v>
      </c>
      <c r="C13" s="128"/>
      <c r="E13" s="126">
        <v>4</v>
      </c>
      <c r="F13" s="130">
        <v>3</v>
      </c>
    </row>
    <row r="14" spans="2:6" ht="6" customHeight="1" thickBot="1" x14ac:dyDescent="0.25">
      <c r="B14" s="229"/>
      <c r="C14" s="165"/>
      <c r="D14" s="140"/>
    </row>
    <row r="15" spans="2:6" ht="26.25" thickBot="1" x14ac:dyDescent="0.25">
      <c r="B15" s="229" t="s">
        <v>150</v>
      </c>
      <c r="C15" s="164">
        <v>0.01</v>
      </c>
      <c r="D15" s="140" t="s">
        <v>46</v>
      </c>
    </row>
    <row r="16" spans="2:6" ht="3.75" customHeight="1" thickBot="1" x14ac:dyDescent="0.3">
      <c r="C16" s="128"/>
      <c r="E16" s="126"/>
      <c r="F16" s="130"/>
    </row>
    <row r="17" spans="2:6" ht="15.75" thickBot="1" x14ac:dyDescent="0.25">
      <c r="B17" s="229" t="s">
        <v>142</v>
      </c>
      <c r="C17" s="29">
        <v>90</v>
      </c>
      <c r="D17" s="140" t="s">
        <v>46</v>
      </c>
    </row>
    <row r="18" spans="2:6" ht="3.75" customHeight="1" thickBot="1" x14ac:dyDescent="0.25">
      <c r="C18" s="25"/>
    </row>
    <row r="19" spans="2:6" ht="42" customHeight="1" thickBot="1" x14ac:dyDescent="0.25">
      <c r="B19" s="229" t="s">
        <v>143</v>
      </c>
      <c r="C19" s="185">
        <v>0.9</v>
      </c>
      <c r="D19" s="140" t="s">
        <v>46</v>
      </c>
    </row>
    <row r="20" spans="2:6" s="37" customFormat="1" ht="4.5" customHeight="1" thickBot="1" x14ac:dyDescent="0.25">
      <c r="B20" s="230"/>
      <c r="C20" s="186"/>
      <c r="D20" s="187"/>
      <c r="F20" s="188"/>
    </row>
    <row r="21" spans="2:6" ht="15.75" thickBot="1" x14ac:dyDescent="0.25">
      <c r="B21" s="229" t="s">
        <v>141</v>
      </c>
      <c r="C21" s="164">
        <v>100000</v>
      </c>
      <c r="D21" s="140" t="s">
        <v>46</v>
      </c>
    </row>
    <row r="22" spans="2:6" s="37" customFormat="1" ht="4.5" customHeight="1" thickBot="1" x14ac:dyDescent="0.25">
      <c r="B22" s="230"/>
      <c r="C22" s="186"/>
      <c r="D22" s="187"/>
      <c r="F22" s="188"/>
    </row>
    <row r="23" spans="2:6" ht="26.25" thickBot="1" x14ac:dyDescent="0.25">
      <c r="B23" s="229" t="s">
        <v>145</v>
      </c>
      <c r="C23" s="28">
        <v>0.3</v>
      </c>
      <c r="D23" s="140" t="s">
        <v>46</v>
      </c>
    </row>
    <row r="24" spans="2:6" s="37" customFormat="1" ht="4.5" customHeight="1" thickBot="1" x14ac:dyDescent="0.25">
      <c r="B24" s="230"/>
      <c r="C24" s="186"/>
      <c r="D24" s="187"/>
      <c r="F24" s="188"/>
    </row>
    <row r="25" spans="2:6" ht="15.75" thickBot="1" x14ac:dyDescent="0.25">
      <c r="B25" s="229" t="s">
        <v>144</v>
      </c>
      <c r="C25" s="164">
        <v>200000</v>
      </c>
      <c r="D25" s="140" t="s">
        <v>46</v>
      </c>
    </row>
    <row r="26" spans="2:6" ht="6.75" customHeight="1" thickBot="1" x14ac:dyDescent="0.25">
      <c r="C26" s="25"/>
    </row>
    <row r="27" spans="2:6" ht="30.75" customHeight="1" thickBot="1" x14ac:dyDescent="0.25">
      <c r="B27" s="132" t="s">
        <v>163</v>
      </c>
      <c r="C27" s="29">
        <v>1</v>
      </c>
      <c r="D27" s="140" t="s">
        <v>46</v>
      </c>
    </row>
    <row r="28" spans="2:6" ht="4.5" customHeight="1" x14ac:dyDescent="0.2">
      <c r="C28" s="25"/>
    </row>
    <row r="29" spans="2:6" ht="15.75" x14ac:dyDescent="0.25">
      <c r="B29" s="108" t="s">
        <v>151</v>
      </c>
      <c r="C29" s="131"/>
      <c r="E29" s="126">
        <v>3</v>
      </c>
      <c r="F29" s="130">
        <v>2</v>
      </c>
    </row>
    <row r="30" spans="2:6" ht="15.75" x14ac:dyDescent="0.25">
      <c r="B30" s="108" t="s">
        <v>153</v>
      </c>
      <c r="C30" s="128"/>
      <c r="E30" s="126">
        <v>4</v>
      </c>
      <c r="F30" s="130">
        <v>3</v>
      </c>
    </row>
    <row r="31" spans="2:6" ht="15.75" x14ac:dyDescent="0.25">
      <c r="B31" s="108" t="s">
        <v>152</v>
      </c>
      <c r="C31" s="131"/>
      <c r="F31" s="126">
        <v>4</v>
      </c>
    </row>
    <row r="32" spans="2:6" ht="4.5" customHeight="1" thickBot="1" x14ac:dyDescent="0.25">
      <c r="C32" s="25"/>
    </row>
    <row r="33" spans="2:6" ht="15.75" thickBot="1" x14ac:dyDescent="0.25">
      <c r="B33" s="229" t="s">
        <v>159</v>
      </c>
      <c r="C33" s="29">
        <v>18</v>
      </c>
      <c r="D33" s="140" t="s">
        <v>46</v>
      </c>
    </row>
    <row r="34" spans="2:6" ht="4.5" customHeight="1" thickBot="1" x14ac:dyDescent="0.25">
      <c r="C34" s="25"/>
    </row>
    <row r="35" spans="2:6" ht="15.75" thickBot="1" x14ac:dyDescent="0.25">
      <c r="B35" s="229" t="s">
        <v>160</v>
      </c>
      <c r="C35" s="173">
        <v>0.25</v>
      </c>
      <c r="D35" s="140" t="s">
        <v>46</v>
      </c>
    </row>
    <row r="36" spans="2:6" ht="3" customHeight="1" thickBot="1" x14ac:dyDescent="0.25">
      <c r="B36" s="229"/>
      <c r="C36" s="189" t="s">
        <v>371</v>
      </c>
      <c r="D36" s="140"/>
    </row>
    <row r="37" spans="2:6" ht="15.75" thickBot="1" x14ac:dyDescent="0.25">
      <c r="B37" s="229" t="s">
        <v>162</v>
      </c>
      <c r="C37" s="164">
        <v>72800</v>
      </c>
      <c r="D37" s="140" t="s">
        <v>46</v>
      </c>
    </row>
    <row r="38" spans="2:6" ht="4.5" customHeight="1" x14ac:dyDescent="0.2">
      <c r="D38" s="20"/>
      <c r="F38" s="20"/>
    </row>
    <row r="39" spans="2:6" ht="6.75" customHeight="1" x14ac:dyDescent="0.2">
      <c r="D39" s="20"/>
      <c r="F39" s="20"/>
    </row>
    <row r="40" spans="2:6" x14ac:dyDescent="0.2">
      <c r="D40" s="20"/>
      <c r="F40" s="20"/>
    </row>
    <row r="41" spans="2:6" ht="4.5" customHeight="1" x14ac:dyDescent="0.2">
      <c r="D41" s="20"/>
      <c r="F41" s="20"/>
    </row>
    <row r="42" spans="2:6" x14ac:dyDescent="0.2">
      <c r="D42" s="20"/>
      <c r="F42" s="20"/>
    </row>
    <row r="43" spans="2:6" ht="4.5" customHeight="1" x14ac:dyDescent="0.2">
      <c r="D43" s="20"/>
      <c r="F43" s="20"/>
    </row>
    <row r="44" spans="2:6" x14ac:dyDescent="0.2">
      <c r="D44" s="20"/>
      <c r="F44" s="20"/>
    </row>
    <row r="45" spans="2:6" x14ac:dyDescent="0.2">
      <c r="D45" s="20"/>
      <c r="F45" s="20"/>
    </row>
    <row r="46" spans="2:6" x14ac:dyDescent="0.2">
      <c r="D46" s="20"/>
      <c r="F46" s="20"/>
    </row>
    <row r="47" spans="2:6" x14ac:dyDescent="0.2">
      <c r="D47" s="20"/>
      <c r="F47" s="20"/>
    </row>
    <row r="48" spans="2:6" x14ac:dyDescent="0.2">
      <c r="D48" s="20"/>
      <c r="F48" s="20"/>
    </row>
    <row r="49" spans="4:6" x14ac:dyDescent="0.2">
      <c r="D49" s="20"/>
      <c r="F49" s="20"/>
    </row>
    <row r="50" spans="4:6" x14ac:dyDescent="0.2">
      <c r="D50" s="20"/>
      <c r="F50" s="20"/>
    </row>
    <row r="51" spans="4:6" x14ac:dyDescent="0.2">
      <c r="D51" s="20"/>
      <c r="F51" s="20"/>
    </row>
    <row r="52" spans="4:6" x14ac:dyDescent="0.2">
      <c r="D52" s="20"/>
      <c r="F52" s="20"/>
    </row>
    <row r="53" spans="4:6" x14ac:dyDescent="0.2">
      <c r="D53" s="20"/>
      <c r="F53" s="20"/>
    </row>
    <row r="54" spans="4:6" x14ac:dyDescent="0.2">
      <c r="D54" s="20"/>
      <c r="F54" s="20"/>
    </row>
    <row r="55" spans="4:6" x14ac:dyDescent="0.2">
      <c r="D55" s="20"/>
      <c r="F55" s="20"/>
    </row>
    <row r="56" spans="4:6" x14ac:dyDescent="0.2">
      <c r="D56" s="20"/>
      <c r="F56" s="20"/>
    </row>
    <row r="57" spans="4:6" x14ac:dyDescent="0.2">
      <c r="D57" s="20"/>
      <c r="F57" s="20"/>
    </row>
    <row r="58" spans="4:6" x14ac:dyDescent="0.2">
      <c r="D58" s="20"/>
      <c r="F58" s="20"/>
    </row>
    <row r="59" spans="4:6" x14ac:dyDescent="0.2">
      <c r="D59" s="20"/>
      <c r="F59" s="20"/>
    </row>
    <row r="60" spans="4:6" x14ac:dyDescent="0.2">
      <c r="D60" s="20"/>
      <c r="F60" s="20"/>
    </row>
    <row r="61" spans="4:6" x14ac:dyDescent="0.2">
      <c r="D61" s="20"/>
      <c r="F61" s="20"/>
    </row>
    <row r="62" spans="4:6" x14ac:dyDescent="0.2">
      <c r="D62" s="20"/>
      <c r="F62" s="20"/>
    </row>
    <row r="63" spans="4:6" x14ac:dyDescent="0.2">
      <c r="D63" s="20"/>
      <c r="F63" s="20"/>
    </row>
    <row r="64" spans="4:6" x14ac:dyDescent="0.2">
      <c r="D64" s="20"/>
      <c r="F64" s="20"/>
    </row>
    <row r="65" spans="4:6" x14ac:dyDescent="0.2">
      <c r="D65" s="20"/>
      <c r="F65" s="20"/>
    </row>
    <row r="66" spans="4:6" x14ac:dyDescent="0.2">
      <c r="D66" s="20"/>
      <c r="F66" s="20"/>
    </row>
    <row r="67" spans="4:6" x14ac:dyDescent="0.2">
      <c r="D67" s="20"/>
      <c r="F67" s="20"/>
    </row>
    <row r="68" spans="4:6" x14ac:dyDescent="0.2">
      <c r="D68" s="20"/>
      <c r="F68" s="20"/>
    </row>
    <row r="69" spans="4:6" x14ac:dyDescent="0.2">
      <c r="D69" s="20"/>
      <c r="F69" s="20"/>
    </row>
    <row r="70" spans="4:6" x14ac:dyDescent="0.2">
      <c r="D70" s="20"/>
      <c r="F70" s="20"/>
    </row>
    <row r="71" spans="4:6" x14ac:dyDescent="0.2">
      <c r="D71" s="20"/>
      <c r="F71" s="20"/>
    </row>
    <row r="72" spans="4:6" x14ac:dyDescent="0.2">
      <c r="D72" s="20"/>
      <c r="F72" s="20"/>
    </row>
    <row r="73" spans="4:6" x14ac:dyDescent="0.2">
      <c r="D73" s="20"/>
      <c r="F73" s="20"/>
    </row>
    <row r="74" spans="4:6" x14ac:dyDescent="0.2">
      <c r="D74" s="20"/>
      <c r="F74" s="20"/>
    </row>
    <row r="75" spans="4:6" x14ac:dyDescent="0.2">
      <c r="D75" s="20"/>
      <c r="F75" s="20"/>
    </row>
    <row r="76" spans="4:6" x14ac:dyDescent="0.2">
      <c r="D76" s="20"/>
      <c r="F76" s="20"/>
    </row>
    <row r="77" spans="4:6" x14ac:dyDescent="0.2">
      <c r="D77" s="20"/>
      <c r="F77" s="20"/>
    </row>
    <row r="78" spans="4:6" x14ac:dyDescent="0.2">
      <c r="D78" s="20"/>
      <c r="F78" s="20"/>
    </row>
  </sheetData>
  <phoneticPr fontId="0" type="noConversion"/>
  <dataValidations count="2">
    <dataValidation type="list" allowBlank="1" showInputMessage="1" showErrorMessage="1" sqref="C4 C27">
      <formula1>$E$4:$E$6</formula1>
    </dataValidation>
    <dataValidation type="list" allowBlank="1" showInputMessage="1" showErrorMessage="1" sqref="C10">
      <formula1>$E$4:$E$65533</formula1>
    </dataValidation>
  </dataValidations>
  <pageMargins left="0.75" right="0.75" top="1" bottom="1" header="0.5" footer="0.5"/>
  <pageSetup scale="54"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H51"/>
  <sheetViews>
    <sheetView topLeftCell="B13" zoomScale="70" workbookViewId="0">
      <selection activeCell="B42" sqref="B42"/>
    </sheetView>
  </sheetViews>
  <sheetFormatPr defaultRowHeight="12.75" x14ac:dyDescent="0.2"/>
  <cols>
    <col min="1" max="1" width="3.42578125" style="20" customWidth="1"/>
    <col min="2" max="2" width="131.7109375" style="108" customWidth="1"/>
    <col min="3" max="3" width="15.5703125" style="20" bestFit="1" customWidth="1"/>
    <col min="4" max="4" width="13.42578125" style="126" bestFit="1" customWidth="1"/>
    <col min="5" max="5" width="13.28515625" style="20" bestFit="1" customWidth="1"/>
    <col min="6" max="6" width="13.7109375" style="126" customWidth="1"/>
    <col min="7" max="16384" width="9.140625" style="20"/>
  </cols>
  <sheetData>
    <row r="2" spans="2:8" ht="15.75" x14ac:dyDescent="0.25">
      <c r="B2" s="231" t="s">
        <v>193</v>
      </c>
      <c r="C2" s="19" t="s">
        <v>47</v>
      </c>
      <c r="F2" s="127" t="s">
        <v>81</v>
      </c>
    </row>
    <row r="3" spans="2:8" ht="10.5" customHeight="1" thickBot="1" x14ac:dyDescent="0.3">
      <c r="B3" s="232"/>
      <c r="C3" s="128"/>
      <c r="F3" s="127" t="s">
        <v>82</v>
      </c>
    </row>
    <row r="4" spans="2:8" ht="16.5" thickBot="1" x14ac:dyDescent="0.3">
      <c r="B4" s="229" t="s">
        <v>194</v>
      </c>
      <c r="C4" s="129">
        <v>1</v>
      </c>
      <c r="D4" s="126" t="b">
        <f>IF(C4="a", 1,IF(C4="b", 2, IF(C4="c",3,IF(C4="d",0))))</f>
        <v>0</v>
      </c>
      <c r="F4" s="130">
        <v>1</v>
      </c>
    </row>
    <row r="5" spans="2:8" ht="15.75" x14ac:dyDescent="0.25">
      <c r="B5" s="108" t="s">
        <v>196</v>
      </c>
      <c r="C5" s="131"/>
      <c r="F5" s="130">
        <v>2</v>
      </c>
    </row>
    <row r="6" spans="2:8" ht="25.5" x14ac:dyDescent="0.25">
      <c r="B6" s="108" t="s">
        <v>197</v>
      </c>
      <c r="C6" s="128"/>
      <c r="F6" s="130">
        <v>3</v>
      </c>
    </row>
    <row r="7" spans="2:8" s="183" customFormat="1" ht="63.75" x14ac:dyDescent="0.25">
      <c r="B7" s="108" t="s">
        <v>195</v>
      </c>
      <c r="C7" s="131"/>
      <c r="D7" s="182"/>
      <c r="F7" s="182">
        <v>4</v>
      </c>
    </row>
    <row r="8" spans="2:8" ht="4.5" customHeight="1" thickBot="1" x14ac:dyDescent="0.3">
      <c r="C8" s="131"/>
      <c r="H8" s="120"/>
    </row>
    <row r="9" spans="2:8" ht="15.75" thickBot="1" x14ac:dyDescent="0.25">
      <c r="B9" s="132" t="s">
        <v>198</v>
      </c>
      <c r="C9" s="133">
        <v>2</v>
      </c>
      <c r="D9" s="126" t="b">
        <f>IF(C9="a", 1,IF(C9="b", 2, IF(C9="c",3,IF(C9="d",0))))</f>
        <v>0</v>
      </c>
      <c r="H9" s="120"/>
    </row>
    <row r="10" spans="2:8" ht="15.75" x14ac:dyDescent="0.2">
      <c r="B10" s="108" t="s">
        <v>199</v>
      </c>
      <c r="C10" s="134"/>
      <c r="H10" s="120"/>
    </row>
    <row r="11" spans="2:8" ht="25.5" x14ac:dyDescent="0.2">
      <c r="B11" s="108" t="s">
        <v>200</v>
      </c>
      <c r="C11" s="134"/>
      <c r="H11" s="120"/>
    </row>
    <row r="12" spans="2:8" ht="25.5" x14ac:dyDescent="0.2">
      <c r="B12" s="108" t="s">
        <v>201</v>
      </c>
      <c r="C12" s="134"/>
    </row>
    <row r="13" spans="2:8" ht="7.5" customHeight="1" thickBot="1" x14ac:dyDescent="0.25">
      <c r="C13" s="134"/>
    </row>
    <row r="14" spans="2:8" ht="15.75" thickBot="1" x14ac:dyDescent="0.25">
      <c r="B14" s="132" t="s">
        <v>271</v>
      </c>
      <c r="C14" s="133">
        <v>2</v>
      </c>
      <c r="D14" s="126" t="b">
        <f>IF(C14="a", 1,IF(C14="b", 2, IF(C14="c",3,IF(C14="d",0))))</f>
        <v>0</v>
      </c>
    </row>
    <row r="15" spans="2:8" ht="30.75" customHeight="1" x14ac:dyDescent="0.2">
      <c r="B15" s="108" t="s">
        <v>208</v>
      </c>
      <c r="C15" s="134"/>
    </row>
    <row r="16" spans="2:8" ht="25.5" x14ac:dyDescent="0.2">
      <c r="B16" s="108" t="s">
        <v>203</v>
      </c>
      <c r="C16" s="134"/>
    </row>
    <row r="17" spans="2:6" ht="38.25" x14ac:dyDescent="0.2">
      <c r="B17" s="108" t="s">
        <v>202</v>
      </c>
      <c r="C17" s="134"/>
    </row>
    <row r="18" spans="2:6" ht="7.5" customHeight="1" thickBot="1" x14ac:dyDescent="0.25">
      <c r="C18" s="134"/>
    </row>
    <row r="19" spans="2:6" ht="15.75" thickBot="1" x14ac:dyDescent="0.25">
      <c r="B19" s="229" t="s">
        <v>207</v>
      </c>
      <c r="C19" s="133">
        <v>2</v>
      </c>
      <c r="D19" s="126" t="b">
        <f>IF(C19="a", 1,IF(C19="b", 2, IF(C19="c",3,IF(C19="d",0))))</f>
        <v>0</v>
      </c>
    </row>
    <row r="20" spans="2:6" s="21" customFormat="1" x14ac:dyDescent="0.2">
      <c r="B20" s="108" t="s">
        <v>204</v>
      </c>
      <c r="C20" s="135"/>
      <c r="D20" s="136"/>
      <c r="F20" s="136"/>
    </row>
    <row r="21" spans="2:6" s="21" customFormat="1" x14ac:dyDescent="0.2">
      <c r="B21" s="108" t="s">
        <v>206</v>
      </c>
      <c r="C21" s="135"/>
      <c r="D21" s="136"/>
      <c r="F21" s="136"/>
    </row>
    <row r="22" spans="2:6" s="21" customFormat="1" x14ac:dyDescent="0.2">
      <c r="B22" s="108" t="s">
        <v>205</v>
      </c>
      <c r="C22" s="135"/>
      <c r="D22" s="136"/>
      <c r="F22" s="136"/>
    </row>
    <row r="23" spans="2:6" ht="4.5" customHeight="1" thickBot="1" x14ac:dyDescent="0.25">
      <c r="C23" s="25"/>
    </row>
    <row r="24" spans="2:6" ht="15.75" thickBot="1" x14ac:dyDescent="0.25">
      <c r="B24" s="229" t="s">
        <v>341</v>
      </c>
      <c r="C24" s="164">
        <v>1730000</v>
      </c>
    </row>
    <row r="25" spans="2:6" ht="4.5" customHeight="1" thickBot="1" x14ac:dyDescent="0.25">
      <c r="C25" s="25"/>
    </row>
    <row r="26" spans="2:6" ht="15.75" thickBot="1" x14ac:dyDescent="0.25">
      <c r="B26" s="229" t="s">
        <v>342</v>
      </c>
      <c r="C26" s="137">
        <v>0.625</v>
      </c>
    </row>
    <row r="27" spans="2:6" ht="4.5" customHeight="1" thickBot="1" x14ac:dyDescent="0.25">
      <c r="C27" s="25"/>
    </row>
    <row r="28" spans="2:6" ht="15.75" thickBot="1" x14ac:dyDescent="0.25">
      <c r="B28" s="229" t="s">
        <v>343</v>
      </c>
      <c r="C28" s="139">
        <v>2</v>
      </c>
      <c r="D28" s="140" t="s">
        <v>46</v>
      </c>
    </row>
    <row r="29" spans="2:6" ht="3.75" customHeight="1" thickBot="1" x14ac:dyDescent="0.25">
      <c r="C29" s="25"/>
    </row>
    <row r="30" spans="2:6" ht="15.75" thickBot="1" x14ac:dyDescent="0.25">
      <c r="B30" s="229" t="s">
        <v>344</v>
      </c>
      <c r="C30" s="139">
        <v>664</v>
      </c>
      <c r="D30" s="140" t="s">
        <v>46</v>
      </c>
    </row>
    <row r="31" spans="2:6" ht="3.75" customHeight="1" thickBot="1" x14ac:dyDescent="0.25">
      <c r="C31" s="25"/>
    </row>
    <row r="32" spans="2:6" ht="15.75" thickBot="1" x14ac:dyDescent="0.25">
      <c r="B32" s="229" t="s">
        <v>345</v>
      </c>
      <c r="C32" s="164">
        <v>56</v>
      </c>
      <c r="D32" s="140" t="s">
        <v>46</v>
      </c>
    </row>
    <row r="33" spans="2:6" ht="3.75" customHeight="1" thickBot="1" x14ac:dyDescent="0.25">
      <c r="C33" s="25"/>
    </row>
    <row r="34" spans="2:6" ht="15.75" thickBot="1" x14ac:dyDescent="0.25">
      <c r="B34" s="229" t="s">
        <v>346</v>
      </c>
      <c r="C34" s="24">
        <v>2112000</v>
      </c>
      <c r="D34" s="126" t="s">
        <v>45</v>
      </c>
    </row>
    <row r="35" spans="2:6" ht="4.5" customHeight="1" x14ac:dyDescent="0.2">
      <c r="C35" s="25"/>
    </row>
    <row r="36" spans="2:6" x14ac:dyDescent="0.2">
      <c r="D36" s="20"/>
      <c r="F36" s="20"/>
    </row>
    <row r="37" spans="2:6" ht="6" customHeight="1" x14ac:dyDescent="0.2">
      <c r="D37" s="20"/>
      <c r="F37" s="20"/>
    </row>
    <row r="38" spans="2:6" x14ac:dyDescent="0.2">
      <c r="D38" s="20"/>
      <c r="F38" s="20"/>
    </row>
    <row r="39" spans="2:6" ht="3.75" customHeight="1" x14ac:dyDescent="0.2">
      <c r="D39" s="20"/>
      <c r="F39" s="20"/>
    </row>
    <row r="40" spans="2:6" x14ac:dyDescent="0.2">
      <c r="D40" s="20"/>
      <c r="F40" s="20"/>
    </row>
    <row r="41" spans="2:6" ht="3.75" customHeight="1" x14ac:dyDescent="0.2">
      <c r="D41" s="20"/>
      <c r="F41" s="20"/>
    </row>
    <row r="42" spans="2:6" x14ac:dyDescent="0.2">
      <c r="D42" s="20"/>
      <c r="F42" s="20"/>
    </row>
    <row r="43" spans="2:6" ht="6" customHeight="1" x14ac:dyDescent="0.2">
      <c r="D43" s="20"/>
      <c r="F43" s="20"/>
    </row>
    <row r="44" spans="2:6" x14ac:dyDescent="0.2">
      <c r="D44" s="20"/>
      <c r="F44" s="20"/>
    </row>
    <row r="45" spans="2:6" ht="6.75" customHeight="1" x14ac:dyDescent="0.2">
      <c r="D45" s="20"/>
      <c r="F45" s="20"/>
    </row>
    <row r="46" spans="2:6" x14ac:dyDescent="0.2">
      <c r="D46" s="20"/>
      <c r="F46" s="20"/>
    </row>
    <row r="47" spans="2:6" ht="4.5" customHeight="1" x14ac:dyDescent="0.2">
      <c r="D47" s="20"/>
      <c r="F47" s="20"/>
    </row>
    <row r="48" spans="2:6" x14ac:dyDescent="0.2">
      <c r="D48" s="20"/>
      <c r="F48" s="20"/>
    </row>
    <row r="49" spans="4:6" ht="4.5" customHeight="1" x14ac:dyDescent="0.2">
      <c r="D49" s="20"/>
      <c r="F49" s="20"/>
    </row>
    <row r="50" spans="4:6" x14ac:dyDescent="0.2">
      <c r="D50" s="20"/>
      <c r="F50" s="20"/>
    </row>
    <row r="51" spans="4:6" x14ac:dyDescent="0.2">
      <c r="D51" s="20"/>
      <c r="F51" s="20"/>
    </row>
  </sheetData>
  <phoneticPr fontId="0" type="noConversion"/>
  <dataValidations count="1">
    <dataValidation type="list" allowBlank="1" showInputMessage="1" showErrorMessage="1" sqref="C4 C9 C14 C19">
      <formula1>$F$4:$F$6</formula1>
    </dataValidation>
  </dataValidations>
  <pageMargins left="0.75" right="0.75" top="1" bottom="1" header="0.5" footer="0.5"/>
  <pageSetup scale="55"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H26"/>
  <sheetViews>
    <sheetView topLeftCell="B1" zoomScale="75" workbookViewId="0">
      <selection activeCell="C25" sqref="C25"/>
    </sheetView>
  </sheetViews>
  <sheetFormatPr defaultRowHeight="12.75" x14ac:dyDescent="0.2"/>
  <cols>
    <col min="1" max="1" width="3.42578125" style="20" customWidth="1"/>
    <col min="2" max="2" width="113.5703125" style="108" customWidth="1"/>
    <col min="3" max="3" width="19.140625" style="20" bestFit="1" customWidth="1"/>
    <col min="4" max="4" width="13.42578125" style="126" bestFit="1" customWidth="1"/>
    <col min="5" max="5" width="13.28515625" style="20" bestFit="1" customWidth="1"/>
    <col min="6" max="6" width="13.7109375" style="126" customWidth="1"/>
    <col min="7" max="16384" width="9.140625" style="20"/>
  </cols>
  <sheetData>
    <row r="2" spans="2:8" ht="15.75" x14ac:dyDescent="0.25">
      <c r="B2" s="231" t="s">
        <v>261</v>
      </c>
      <c r="C2" s="19" t="s">
        <v>47</v>
      </c>
      <c r="F2" s="127" t="s">
        <v>81</v>
      </c>
    </row>
    <row r="3" spans="2:8" ht="10.5" customHeight="1" thickBot="1" x14ac:dyDescent="0.3">
      <c r="B3" s="232"/>
      <c r="C3" s="128"/>
      <c r="F3" s="127" t="s">
        <v>82</v>
      </c>
    </row>
    <row r="4" spans="2:8" ht="15.75" thickBot="1" x14ac:dyDescent="0.25">
      <c r="B4" s="132" t="s">
        <v>270</v>
      </c>
      <c r="C4" s="133">
        <v>2</v>
      </c>
      <c r="D4" s="126">
        <v>1</v>
      </c>
    </row>
    <row r="5" spans="2:8" ht="28.5" customHeight="1" x14ac:dyDescent="0.2">
      <c r="B5" s="108" t="s">
        <v>208</v>
      </c>
      <c r="C5" s="134"/>
      <c r="D5" s="126">
        <v>2</v>
      </c>
    </row>
    <row r="6" spans="2:8" ht="38.25" x14ac:dyDescent="0.2">
      <c r="B6" s="108" t="s">
        <v>203</v>
      </c>
      <c r="C6" s="134"/>
      <c r="D6" s="126">
        <v>3</v>
      </c>
    </row>
    <row r="7" spans="2:8" ht="42" customHeight="1" x14ac:dyDescent="0.2">
      <c r="B7" s="108" t="s">
        <v>202</v>
      </c>
      <c r="C7" s="134"/>
    </row>
    <row r="8" spans="2:8" ht="3.75" customHeight="1" thickBot="1" x14ac:dyDescent="0.3">
      <c r="C8" s="131"/>
      <c r="H8" s="120"/>
    </row>
    <row r="9" spans="2:8" ht="15.75" thickBot="1" x14ac:dyDescent="0.25">
      <c r="B9" s="229" t="s">
        <v>337</v>
      </c>
      <c r="C9" s="174" t="s">
        <v>81</v>
      </c>
      <c r="D9" s="175" t="s">
        <v>81</v>
      </c>
    </row>
    <row r="10" spans="2:8" ht="4.5" customHeight="1" thickBot="1" x14ac:dyDescent="0.25">
      <c r="C10" s="25"/>
      <c r="D10" s="175" t="s">
        <v>82</v>
      </c>
    </row>
    <row r="11" spans="2:8" ht="15.75" thickBot="1" x14ac:dyDescent="0.25">
      <c r="B11" s="229" t="s">
        <v>339</v>
      </c>
      <c r="C11" s="139">
        <v>8278758</v>
      </c>
      <c r="E11" s="20" t="s">
        <v>377</v>
      </c>
    </row>
    <row r="12" spans="2:8" ht="4.5" customHeight="1" thickBot="1" x14ac:dyDescent="0.25">
      <c r="C12" s="25"/>
    </row>
    <row r="13" spans="2:8" ht="15.75" thickBot="1" x14ac:dyDescent="0.25">
      <c r="B13" s="229" t="s">
        <v>338</v>
      </c>
      <c r="C13" s="173">
        <v>0.01</v>
      </c>
      <c r="E13" s="20" t="s">
        <v>375</v>
      </c>
    </row>
    <row r="14" spans="2:8" ht="4.5" customHeight="1" thickBot="1" x14ac:dyDescent="0.25">
      <c r="C14" s="25"/>
    </row>
    <row r="15" spans="2:8" ht="15.75" thickBot="1" x14ac:dyDescent="0.25">
      <c r="B15" s="229" t="s">
        <v>340</v>
      </c>
      <c r="C15" s="173">
        <v>2.5999999999999999E-2</v>
      </c>
    </row>
    <row r="16" spans="2:8" ht="4.5" customHeight="1" x14ac:dyDescent="0.2">
      <c r="C16" s="25"/>
    </row>
    <row r="17" spans="2:5" ht="15" x14ac:dyDescent="0.2">
      <c r="B17" s="336" t="s">
        <v>263</v>
      </c>
      <c r="C17" s="176">
        <f>C11*C13</f>
        <v>82787.58</v>
      </c>
      <c r="D17" s="140" t="s">
        <v>46</v>
      </c>
      <c r="E17" s="20" t="s">
        <v>378</v>
      </c>
    </row>
    <row r="18" spans="2:5" ht="4.5" customHeight="1" x14ac:dyDescent="0.2">
      <c r="B18" s="336"/>
      <c r="C18" s="25"/>
    </row>
    <row r="19" spans="2:5" ht="15" x14ac:dyDescent="0.2">
      <c r="B19" s="336" t="s">
        <v>262</v>
      </c>
      <c r="C19" s="176">
        <f>C11*C15</f>
        <v>215247.70799999998</v>
      </c>
      <c r="D19" s="140" t="s">
        <v>46</v>
      </c>
    </row>
    <row r="20" spans="2:5" ht="4.5" customHeight="1" x14ac:dyDescent="0.2">
      <c r="B20" s="336"/>
      <c r="C20" s="25"/>
    </row>
    <row r="21" spans="2:5" ht="15" x14ac:dyDescent="0.2">
      <c r="B21" s="336" t="s">
        <v>336</v>
      </c>
      <c r="C21" s="165">
        <f>('General Financial Info Survey'!C6)/C11</f>
        <v>2.3270043646643614</v>
      </c>
      <c r="D21" s="140" t="s">
        <v>46</v>
      </c>
    </row>
    <row r="22" spans="2:5" ht="3.75" customHeight="1" x14ac:dyDescent="0.2">
      <c r="C22" s="25"/>
    </row>
    <row r="23" spans="2:5" ht="15" x14ac:dyDescent="0.2">
      <c r="B23" s="336" t="s">
        <v>265</v>
      </c>
      <c r="C23" s="165">
        <f>C21*(C11*C13)</f>
        <v>192647.06</v>
      </c>
      <c r="D23" s="140" t="s">
        <v>46</v>
      </c>
    </row>
    <row r="24" spans="2:5" ht="4.5" customHeight="1" x14ac:dyDescent="0.2">
      <c r="B24" s="336"/>
      <c r="C24" s="25"/>
    </row>
    <row r="25" spans="2:5" ht="15" x14ac:dyDescent="0.2">
      <c r="B25" s="336" t="s">
        <v>264</v>
      </c>
      <c r="C25" s="165">
        <f>C21*(C11*C15)</f>
        <v>500882.35599999997</v>
      </c>
      <c r="D25" s="140" t="s">
        <v>46</v>
      </c>
    </row>
    <row r="26" spans="2:5" ht="3" customHeight="1" x14ac:dyDescent="0.2"/>
  </sheetData>
  <phoneticPr fontId="0" type="noConversion"/>
  <dataValidations count="2">
    <dataValidation type="list" allowBlank="1" showInputMessage="1" showErrorMessage="1" sqref="C4">
      <formula1>$D$4:$D$6</formula1>
    </dataValidation>
    <dataValidation type="list" allowBlank="1" showInputMessage="1" showErrorMessage="1" sqref="C9">
      <formula1>$D$9:$D$10</formula1>
    </dataValidation>
  </dataValidations>
  <pageMargins left="0.75" right="0.75" top="1" bottom="1" header="0.5" footer="0.5"/>
  <pageSetup scale="58"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F60"/>
  <sheetViews>
    <sheetView topLeftCell="B1" zoomScale="75" workbookViewId="0">
      <selection activeCell="B25" sqref="B25"/>
    </sheetView>
  </sheetViews>
  <sheetFormatPr defaultRowHeight="12.75" x14ac:dyDescent="0.2"/>
  <cols>
    <col min="1" max="1" width="3.42578125" style="20" customWidth="1"/>
    <col min="2" max="2" width="113.5703125" style="108" customWidth="1"/>
    <col min="3" max="3" width="15.5703125" style="20" bestFit="1" customWidth="1"/>
    <col min="4" max="4" width="13.42578125" style="126" bestFit="1" customWidth="1"/>
    <col min="5" max="5" width="13.28515625" style="20" bestFit="1" customWidth="1"/>
    <col min="6" max="6" width="13.7109375" style="126" customWidth="1"/>
    <col min="7" max="16384" width="9.140625" style="20"/>
  </cols>
  <sheetData>
    <row r="2" spans="2:6" ht="15.75" x14ac:dyDescent="0.25">
      <c r="B2" s="228" t="s">
        <v>170</v>
      </c>
      <c r="C2" s="19" t="s">
        <v>47</v>
      </c>
      <c r="F2" s="127" t="s">
        <v>81</v>
      </c>
    </row>
    <row r="3" spans="2:6" s="21" customFormat="1" ht="15" customHeight="1" thickBot="1" x14ac:dyDescent="0.25">
      <c r="B3" s="108"/>
      <c r="C3" s="135"/>
      <c r="D3" s="136"/>
      <c r="F3" s="136"/>
    </row>
    <row r="4" spans="2:6" s="21" customFormat="1" ht="15" customHeight="1" thickBot="1" x14ac:dyDescent="0.25">
      <c r="B4" s="229" t="s">
        <v>176</v>
      </c>
      <c r="C4" s="163">
        <v>1</v>
      </c>
      <c r="D4" s="136">
        <v>1</v>
      </c>
      <c r="F4" s="136"/>
    </row>
    <row r="5" spans="2:6" s="21" customFormat="1" ht="6.75" customHeight="1" x14ac:dyDescent="0.2">
      <c r="B5" s="108"/>
      <c r="C5" s="135"/>
      <c r="D5" s="136">
        <v>2</v>
      </c>
      <c r="F5" s="136"/>
    </row>
    <row r="6" spans="2:6" ht="15.75" x14ac:dyDescent="0.25">
      <c r="B6" s="108" t="s">
        <v>178</v>
      </c>
      <c r="C6" s="131"/>
      <c r="D6" s="126">
        <v>3</v>
      </c>
      <c r="E6" s="126">
        <v>3</v>
      </c>
      <c r="F6" s="130">
        <v>2</v>
      </c>
    </row>
    <row r="7" spans="2:6" ht="15.75" x14ac:dyDescent="0.25">
      <c r="B7" s="108" t="s">
        <v>177</v>
      </c>
      <c r="C7" s="128"/>
      <c r="D7" s="126">
        <v>4</v>
      </c>
      <c r="E7" s="126">
        <v>4</v>
      </c>
      <c r="F7" s="130">
        <v>3</v>
      </c>
    </row>
    <row r="8" spans="2:6" ht="15.75" x14ac:dyDescent="0.25">
      <c r="B8" s="108" t="s">
        <v>179</v>
      </c>
      <c r="C8" s="131"/>
      <c r="F8" s="126">
        <v>4</v>
      </c>
    </row>
    <row r="9" spans="2:6" s="21" customFormat="1" ht="6" customHeight="1" thickBot="1" x14ac:dyDescent="0.25">
      <c r="B9" s="108"/>
      <c r="C9" s="135"/>
      <c r="D9" s="136"/>
      <c r="F9" s="136"/>
    </row>
    <row r="10" spans="2:6" s="21" customFormat="1" ht="15" customHeight="1" thickBot="1" x14ac:dyDescent="0.25">
      <c r="B10" s="229" t="s">
        <v>182</v>
      </c>
      <c r="C10" s="163">
        <v>2</v>
      </c>
      <c r="D10" s="136">
        <v>1</v>
      </c>
      <c r="F10" s="136"/>
    </row>
    <row r="11" spans="2:6" s="21" customFormat="1" ht="6.75" customHeight="1" x14ac:dyDescent="0.2">
      <c r="B11" s="108"/>
      <c r="C11" s="135"/>
      <c r="D11" s="136">
        <v>2</v>
      </c>
      <c r="F11" s="136"/>
    </row>
    <row r="12" spans="2:6" ht="15.75" x14ac:dyDescent="0.25">
      <c r="B12" s="108" t="s">
        <v>181</v>
      </c>
      <c r="C12" s="131"/>
      <c r="D12" s="126">
        <v>3</v>
      </c>
      <c r="E12" s="126">
        <v>3</v>
      </c>
      <c r="F12" s="130">
        <v>2</v>
      </c>
    </row>
    <row r="13" spans="2:6" ht="15.75" x14ac:dyDescent="0.25">
      <c r="B13" s="108" t="s">
        <v>185</v>
      </c>
      <c r="C13" s="131"/>
      <c r="D13" s="126">
        <v>3</v>
      </c>
      <c r="E13" s="126">
        <v>3</v>
      </c>
      <c r="F13" s="130">
        <v>2</v>
      </c>
    </row>
    <row r="14" spans="2:6" ht="15.75" x14ac:dyDescent="0.25">
      <c r="B14" s="108" t="s">
        <v>183</v>
      </c>
      <c r="C14" s="131"/>
      <c r="D14" s="126">
        <v>3</v>
      </c>
      <c r="E14" s="126">
        <v>3</v>
      </c>
      <c r="F14" s="130">
        <v>2</v>
      </c>
    </row>
    <row r="15" spans="2:6" ht="4.5" customHeight="1" thickBot="1" x14ac:dyDescent="0.3">
      <c r="C15" s="131"/>
    </row>
    <row r="16" spans="2:6" ht="15.75" thickBot="1" x14ac:dyDescent="0.25">
      <c r="B16" s="229" t="s">
        <v>180</v>
      </c>
      <c r="C16" s="164">
        <v>1950972</v>
      </c>
      <c r="E16" s="126">
        <v>1</v>
      </c>
    </row>
    <row r="17" spans="2:6" ht="3.75" customHeight="1" thickBot="1" x14ac:dyDescent="0.25">
      <c r="B17" s="229"/>
      <c r="C17" s="165"/>
      <c r="D17" s="140"/>
    </row>
    <row r="18" spans="2:6" ht="15.75" thickBot="1" x14ac:dyDescent="0.25">
      <c r="B18" s="229" t="s">
        <v>184</v>
      </c>
      <c r="C18" s="164">
        <v>4250</v>
      </c>
      <c r="E18" s="126">
        <v>1</v>
      </c>
    </row>
    <row r="19" spans="2:6" ht="6" customHeight="1" thickBot="1" x14ac:dyDescent="0.25">
      <c r="B19" s="229"/>
      <c r="C19" s="165"/>
      <c r="E19" s="126"/>
    </row>
    <row r="20" spans="2:6" ht="42" customHeight="1" thickBot="1" x14ac:dyDescent="0.25">
      <c r="B20" s="229" t="s">
        <v>191</v>
      </c>
      <c r="C20" s="164">
        <v>0.01</v>
      </c>
      <c r="E20" s="126"/>
    </row>
    <row r="21" spans="2:6" ht="3.75" customHeight="1" x14ac:dyDescent="0.2">
      <c r="B21" s="229"/>
      <c r="C21" s="165"/>
      <c r="D21" s="140"/>
    </row>
    <row r="22" spans="2:6" ht="3" customHeight="1" x14ac:dyDescent="0.2">
      <c r="C22" s="25"/>
      <c r="D22" s="166" t="s">
        <v>82</v>
      </c>
    </row>
    <row r="23" spans="2:6" x14ac:dyDescent="0.2">
      <c r="D23" s="20"/>
      <c r="F23" s="20"/>
    </row>
    <row r="24" spans="2:6" x14ac:dyDescent="0.2">
      <c r="D24" s="20"/>
      <c r="F24" s="20"/>
    </row>
    <row r="25" spans="2:6" x14ac:dyDescent="0.2">
      <c r="D25" s="20"/>
      <c r="F25" s="20"/>
    </row>
    <row r="26" spans="2:6" x14ac:dyDescent="0.2">
      <c r="D26" s="20"/>
      <c r="F26" s="20"/>
    </row>
    <row r="27" spans="2:6" x14ac:dyDescent="0.2">
      <c r="D27" s="20"/>
      <c r="F27" s="20"/>
    </row>
    <row r="28" spans="2:6" x14ac:dyDescent="0.2">
      <c r="D28" s="20"/>
      <c r="F28" s="20"/>
    </row>
    <row r="29" spans="2:6" x14ac:dyDescent="0.2">
      <c r="D29" s="20"/>
      <c r="F29" s="20"/>
    </row>
    <row r="30" spans="2:6" x14ac:dyDescent="0.2">
      <c r="D30" s="20"/>
      <c r="F30" s="20"/>
    </row>
    <row r="31" spans="2:6" x14ac:dyDescent="0.2">
      <c r="D31" s="20"/>
      <c r="F31" s="20"/>
    </row>
    <row r="32" spans="2:6" x14ac:dyDescent="0.2">
      <c r="D32" s="20"/>
      <c r="F32" s="20"/>
    </row>
    <row r="33" spans="4:6" x14ac:dyDescent="0.2">
      <c r="D33" s="20"/>
      <c r="F33" s="20"/>
    </row>
    <row r="34" spans="4:6" x14ac:dyDescent="0.2">
      <c r="D34" s="20"/>
      <c r="F34" s="20"/>
    </row>
    <row r="35" spans="4:6" x14ac:dyDescent="0.2">
      <c r="D35" s="20"/>
      <c r="F35" s="20"/>
    </row>
    <row r="36" spans="4:6" x14ac:dyDescent="0.2">
      <c r="D36" s="20"/>
      <c r="F36" s="20"/>
    </row>
    <row r="37" spans="4:6" x14ac:dyDescent="0.2">
      <c r="D37" s="20"/>
      <c r="F37" s="20"/>
    </row>
    <row r="38" spans="4:6" x14ac:dyDescent="0.2">
      <c r="D38" s="20"/>
      <c r="F38" s="20"/>
    </row>
    <row r="39" spans="4:6" x14ac:dyDescent="0.2">
      <c r="D39" s="20"/>
      <c r="F39" s="20"/>
    </row>
    <row r="40" spans="4:6" x14ac:dyDescent="0.2">
      <c r="D40" s="20"/>
      <c r="F40" s="20"/>
    </row>
    <row r="41" spans="4:6" x14ac:dyDescent="0.2">
      <c r="D41" s="20"/>
      <c r="F41" s="20"/>
    </row>
    <row r="42" spans="4:6" x14ac:dyDescent="0.2">
      <c r="D42" s="20"/>
      <c r="F42" s="20"/>
    </row>
    <row r="43" spans="4:6" x14ac:dyDescent="0.2">
      <c r="D43" s="20"/>
      <c r="F43" s="20"/>
    </row>
    <row r="44" spans="4:6" x14ac:dyDescent="0.2">
      <c r="D44" s="20"/>
      <c r="F44" s="20"/>
    </row>
    <row r="45" spans="4:6" x14ac:dyDescent="0.2">
      <c r="D45" s="20"/>
      <c r="F45" s="20"/>
    </row>
    <row r="46" spans="4:6" x14ac:dyDescent="0.2">
      <c r="D46" s="20"/>
      <c r="F46" s="20"/>
    </row>
    <row r="47" spans="4:6" x14ac:dyDescent="0.2">
      <c r="D47" s="20"/>
      <c r="F47" s="20"/>
    </row>
    <row r="48" spans="4:6" x14ac:dyDescent="0.2">
      <c r="D48" s="20"/>
      <c r="F48" s="20"/>
    </row>
    <row r="49" spans="4:6" x14ac:dyDescent="0.2">
      <c r="D49" s="20"/>
      <c r="F49" s="20"/>
    </row>
    <row r="50" spans="4:6" x14ac:dyDescent="0.2">
      <c r="D50" s="20"/>
      <c r="F50" s="20"/>
    </row>
    <row r="51" spans="4:6" x14ac:dyDescent="0.2">
      <c r="D51" s="20"/>
      <c r="F51" s="20"/>
    </row>
    <row r="52" spans="4:6" x14ac:dyDescent="0.2">
      <c r="D52" s="20"/>
      <c r="F52" s="20"/>
    </row>
    <row r="53" spans="4:6" x14ac:dyDescent="0.2">
      <c r="D53" s="20"/>
      <c r="F53" s="20"/>
    </row>
    <row r="54" spans="4:6" x14ac:dyDescent="0.2">
      <c r="D54" s="20"/>
      <c r="F54" s="20"/>
    </row>
    <row r="55" spans="4:6" x14ac:dyDescent="0.2">
      <c r="D55" s="20"/>
      <c r="F55" s="20"/>
    </row>
    <row r="56" spans="4:6" x14ac:dyDescent="0.2">
      <c r="D56" s="20"/>
      <c r="F56" s="20"/>
    </row>
    <row r="57" spans="4:6" x14ac:dyDescent="0.2">
      <c r="D57" s="20"/>
      <c r="F57" s="20"/>
    </row>
    <row r="58" spans="4:6" x14ac:dyDescent="0.2">
      <c r="D58" s="20"/>
      <c r="F58" s="20"/>
    </row>
    <row r="59" spans="4:6" x14ac:dyDescent="0.2">
      <c r="D59" s="20"/>
      <c r="F59" s="20"/>
    </row>
    <row r="60" spans="4:6" x14ac:dyDescent="0.2">
      <c r="D60" s="20"/>
      <c r="F60" s="20"/>
    </row>
  </sheetData>
  <phoneticPr fontId="0" type="noConversion"/>
  <dataValidations count="1">
    <dataValidation type="list" allowBlank="1" showInputMessage="1" showErrorMessage="1" sqref="C4 C10">
      <formula1>$D$4:$D$6</formula1>
    </dataValidation>
  </dataValidations>
  <pageMargins left="0.75" right="0.75" top="1" bottom="1" header="0.5" footer="0.5"/>
  <pageSetup scale="58" orientation="portrait" r:id="rId1"/>
  <headerFooter alignWithMargins="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2:AE23"/>
  <sheetViews>
    <sheetView topLeftCell="A3" zoomScale="65" workbookViewId="0">
      <selection activeCell="A32" sqref="A32"/>
    </sheetView>
  </sheetViews>
  <sheetFormatPr defaultRowHeight="12.75" x14ac:dyDescent="0.2"/>
  <cols>
    <col min="1" max="1" width="3.140625" style="20" customWidth="1"/>
    <col min="2" max="2" width="47.140625" style="20" customWidth="1"/>
    <col min="3" max="3" width="27.28515625" style="20" customWidth="1"/>
    <col min="4" max="4" width="13.28515625" style="20" bestFit="1" customWidth="1"/>
    <col min="5" max="5" width="13" style="20" bestFit="1" customWidth="1"/>
    <col min="6" max="6" width="17.7109375" style="20" bestFit="1" customWidth="1"/>
    <col min="7" max="7" width="23.7109375" style="20" customWidth="1"/>
    <col min="8" max="8" width="2.42578125" style="20" customWidth="1"/>
    <col min="9" max="16384" width="9.140625" style="20"/>
  </cols>
  <sheetData>
    <row r="2" spans="2:31" ht="15" x14ac:dyDescent="0.2">
      <c r="C2" s="142"/>
      <c r="D2" s="126"/>
      <c r="F2" s="126"/>
      <c r="H2" s="143"/>
    </row>
    <row r="3" spans="2:31" ht="15.75" x14ac:dyDescent="0.25">
      <c r="B3" s="9" t="s">
        <v>93</v>
      </c>
      <c r="H3" s="143"/>
    </row>
    <row r="4" spans="2:31" s="147" customFormat="1" ht="25.5" x14ac:dyDescent="0.2">
      <c r="B4" s="171" t="s">
        <v>92</v>
      </c>
      <c r="C4" s="172" t="s">
        <v>272</v>
      </c>
      <c r="D4" s="160" t="s">
        <v>70</v>
      </c>
      <c r="E4" s="160" t="s">
        <v>189</v>
      </c>
      <c r="F4" s="172" t="s">
        <v>84</v>
      </c>
      <c r="G4" s="172" t="s">
        <v>77</v>
      </c>
      <c r="H4" s="146"/>
    </row>
    <row r="5" spans="2:31" ht="15" x14ac:dyDescent="0.2">
      <c r="B5" s="167" t="s">
        <v>225</v>
      </c>
      <c r="C5" s="149" t="str">
        <f>IF(SUM('MRO Supply Chain Survey'!C4:C9)&lt;4,"High",IF(SUM('MRO Supply Chain Survey'!C4:C9)&gt;5,"Low","Moderate"))</f>
        <v>Moderate</v>
      </c>
      <c r="D5" s="178">
        <f>'MRO Supply Chain Survey'!C32*'MRO Supply Chain Survey'!C34*'MRO Supply Chain Survey'!C36</f>
        <v>0</v>
      </c>
      <c r="E5" s="150">
        <f>IF(C5="High",(1-D20)*D5,IF(C5="Moderate",(1-E20)*D5,(1-F20)*D5))</f>
        <v>0</v>
      </c>
      <c r="F5" s="150">
        <f>D5-E5</f>
        <v>0</v>
      </c>
      <c r="G5" s="362" t="s">
        <v>78</v>
      </c>
      <c r="H5" s="143"/>
    </row>
    <row r="6" spans="2:31" ht="15" x14ac:dyDescent="0.2">
      <c r="B6" s="177" t="s">
        <v>94</v>
      </c>
      <c r="C6" s="152" t="str">
        <f>IF(SUM('MRO Supply Chain Survey'!C4:C9)&lt;4,"High",IF(SUM('MRO Supply Chain Survey'!C4:C9)&gt;5,"Low","Moderate"))</f>
        <v>Moderate</v>
      </c>
      <c r="D6" s="178">
        <f>'MRO Supply Chain Survey'!C24*'MRO Supply Chain Survey'!C26</f>
        <v>15300000</v>
      </c>
      <c r="E6" s="153">
        <f>IF(C6="High", (1-D21)*D6,IF(C6="Moderate", (1-E21)*D6, (1-F21)*D6))</f>
        <v>12240000</v>
      </c>
      <c r="F6" s="153">
        <f>(D6-E6)*0.75</f>
        <v>2295000</v>
      </c>
      <c r="G6" s="363"/>
      <c r="H6" s="143"/>
    </row>
    <row r="7" spans="2:31" ht="15" x14ac:dyDescent="0.2">
      <c r="B7" s="177" t="s">
        <v>226</v>
      </c>
      <c r="C7" s="152" t="str">
        <f>IF(SUM('MRO Supply Chain Survey'!C14:C19)&lt;4,"High",IF(SUM('MRO Supply Chain Survey'!C14:C19)&gt;5,"Low","Moderate"))</f>
        <v>High</v>
      </c>
      <c r="D7" s="178">
        <f>'MRO Supply Chain Survey'!C40*'MRO Supply Chain Survey'!C48</f>
        <v>567424</v>
      </c>
      <c r="E7" s="153">
        <f>IF(C7="High",(1-D22)*D7,IF(C7="Moderate",(1-E22)*D7,(1-F22)*D7))</f>
        <v>141856</v>
      </c>
      <c r="F7" s="153">
        <f>D7-E7</f>
        <v>425568</v>
      </c>
      <c r="G7" s="363"/>
      <c r="H7" s="143"/>
    </row>
    <row r="8" spans="2:31" ht="15" x14ac:dyDescent="0.2">
      <c r="B8" s="169" t="s">
        <v>227</v>
      </c>
      <c r="C8" s="155" t="str">
        <f>IF(SUM('MRO Supply Chain Survey'!C14:C19)&lt;4,"High",IF(SUM('MRO Supply Chain Survey'!C14:C19)&gt;5,"Low","Moderate"))</f>
        <v>High</v>
      </c>
      <c r="D8" s="179">
        <f>D6*0.25</f>
        <v>3825000</v>
      </c>
      <c r="E8" s="156">
        <f>E6*0.25</f>
        <v>3060000</v>
      </c>
      <c r="F8" s="156">
        <f>D8-E8</f>
        <v>765000</v>
      </c>
      <c r="G8" s="364"/>
      <c r="H8" s="143"/>
    </row>
    <row r="9" spans="2:31" ht="5.25" customHeight="1" x14ac:dyDescent="0.2">
      <c r="H9" s="143"/>
    </row>
    <row r="10" spans="2:31" ht="15.75" x14ac:dyDescent="0.25">
      <c r="B10" s="157" t="s">
        <v>48</v>
      </c>
      <c r="E10" s="126"/>
      <c r="F10" s="158">
        <f>SUM(F5:F8)</f>
        <v>3485568</v>
      </c>
      <c r="H10" s="128"/>
      <c r="I10" s="37"/>
      <c r="J10" s="37"/>
      <c r="K10" s="37"/>
      <c r="L10" s="37"/>
      <c r="M10" s="37"/>
      <c r="N10" s="37"/>
      <c r="O10" s="37"/>
      <c r="P10" s="37"/>
      <c r="Q10" s="37"/>
      <c r="R10" s="37"/>
      <c r="S10" s="37"/>
      <c r="T10" s="37"/>
      <c r="U10" s="37"/>
      <c r="V10" s="37"/>
      <c r="W10" s="37"/>
      <c r="X10" s="37"/>
      <c r="Y10" s="37"/>
      <c r="Z10" s="37"/>
      <c r="AA10" s="37"/>
      <c r="AB10" s="37"/>
      <c r="AC10" s="37"/>
      <c r="AD10" s="37"/>
      <c r="AE10" s="37"/>
    </row>
    <row r="11" spans="2:31" ht="15" x14ac:dyDescent="0.2">
      <c r="B11" s="180"/>
      <c r="D11" s="126"/>
      <c r="F11" s="126"/>
      <c r="H11" s="181"/>
    </row>
    <row r="12" spans="2:31" ht="15" x14ac:dyDescent="0.2">
      <c r="B12" s="10" t="s">
        <v>76</v>
      </c>
      <c r="C12" s="172" t="s">
        <v>70</v>
      </c>
      <c r="D12" s="172" t="s">
        <v>189</v>
      </c>
      <c r="E12" s="172" t="s">
        <v>71</v>
      </c>
      <c r="F12" s="126"/>
      <c r="H12" s="143"/>
    </row>
    <row r="13" spans="2:31" s="120" customFormat="1" x14ac:dyDescent="0.2">
      <c r="B13" s="167" t="s">
        <v>75</v>
      </c>
      <c r="C13" s="190">
        <f>'MRO Supply Chain Survey'!C30</f>
        <v>55</v>
      </c>
      <c r="D13" s="151">
        <f>ROUNDUP(IF(C6="High",C13*D23,IF(C6="Moderate",C13*(1-E23),IF(C6="High",C13*(1-F23),0))),0)</f>
        <v>36</v>
      </c>
      <c r="E13" s="190">
        <f>C13-D13</f>
        <v>19</v>
      </c>
      <c r="F13" s="126"/>
    </row>
    <row r="14" spans="2:31" s="120" customFormat="1" x14ac:dyDescent="0.2">
      <c r="B14" s="169" t="s">
        <v>135</v>
      </c>
      <c r="C14" s="191">
        <f>'MRO Supply Chain Survey'!C28</f>
        <v>0.5</v>
      </c>
      <c r="D14" s="191">
        <f>1/((1-(F6/D6))*C14)</f>
        <v>2.3529411764705883</v>
      </c>
      <c r="E14" s="192">
        <f>D14/C14-1</f>
        <v>3.7058823529411766</v>
      </c>
    </row>
    <row r="17" spans="2:6" s="120" customFormat="1" ht="15.75" x14ac:dyDescent="0.25">
      <c r="B17" s="7" t="s">
        <v>96</v>
      </c>
      <c r="C17" s="20"/>
      <c r="D17" s="20"/>
      <c r="E17" s="20"/>
      <c r="F17" s="159"/>
    </row>
    <row r="18" spans="2:6" s="120" customFormat="1" x14ac:dyDescent="0.2">
      <c r="B18" s="11"/>
      <c r="C18" s="13"/>
      <c r="D18" s="365" t="s">
        <v>98</v>
      </c>
      <c r="E18" s="366"/>
      <c r="F18" s="367"/>
    </row>
    <row r="19" spans="2:6" s="120" customFormat="1" x14ac:dyDescent="0.2">
      <c r="B19" s="16" t="s">
        <v>92</v>
      </c>
      <c r="C19" s="15" t="s">
        <v>222</v>
      </c>
      <c r="D19" s="12" t="s">
        <v>97</v>
      </c>
      <c r="E19" s="13" t="s">
        <v>134</v>
      </c>
      <c r="F19" s="13" t="s">
        <v>69</v>
      </c>
    </row>
    <row r="20" spans="2:6" s="120" customFormat="1" x14ac:dyDescent="0.2">
      <c r="B20" s="193" t="s">
        <v>95</v>
      </c>
      <c r="C20" s="206" t="s">
        <v>242</v>
      </c>
      <c r="D20" s="202">
        <v>0.15</v>
      </c>
      <c r="E20" s="202">
        <v>0.1</v>
      </c>
      <c r="F20" s="202">
        <v>0.05</v>
      </c>
    </row>
    <row r="21" spans="2:6" s="120" customFormat="1" x14ac:dyDescent="0.2">
      <c r="B21" s="207" t="s">
        <v>94</v>
      </c>
      <c r="C21" s="208" t="s">
        <v>243</v>
      </c>
      <c r="D21" s="209">
        <v>0.3</v>
      </c>
      <c r="E21" s="209">
        <v>0.2</v>
      </c>
      <c r="F21" s="209">
        <v>0.05</v>
      </c>
    </row>
    <row r="22" spans="2:6" x14ac:dyDescent="0.2">
      <c r="B22" s="207" t="s">
        <v>226</v>
      </c>
      <c r="C22" s="208" t="s">
        <v>245</v>
      </c>
      <c r="D22" s="209">
        <v>0.75</v>
      </c>
      <c r="E22" s="209">
        <v>0.5</v>
      </c>
      <c r="F22" s="209">
        <v>0.05</v>
      </c>
    </row>
    <row r="23" spans="2:6" s="120" customFormat="1" x14ac:dyDescent="0.2">
      <c r="B23" s="194" t="s">
        <v>75</v>
      </c>
      <c r="C23" s="210" t="s">
        <v>244</v>
      </c>
      <c r="D23" s="205">
        <v>0.5</v>
      </c>
      <c r="E23" s="205">
        <v>0.35</v>
      </c>
      <c r="F23" s="205">
        <v>0.05</v>
      </c>
    </row>
  </sheetData>
  <mergeCells count="2">
    <mergeCell ref="G5:G8"/>
    <mergeCell ref="D18:F18"/>
  </mergeCells>
  <phoneticPr fontId="0" type="noConversion"/>
  <pageMargins left="0.75" right="0.75" top="1" bottom="1" header="0.5" footer="0.5"/>
  <pageSetup scale="83" orientation="landscape" r:id="rId1"/>
  <headerFooter alignWithMargins="0">
    <oddHeader>&amp;R&amp;D</oddHeader>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2:AE20"/>
  <sheetViews>
    <sheetView zoomScale="65" workbookViewId="0">
      <selection activeCell="G5" sqref="G5:G8"/>
    </sheetView>
  </sheetViews>
  <sheetFormatPr defaultRowHeight="12.75" x14ac:dyDescent="0.2"/>
  <cols>
    <col min="1" max="1" width="3.140625" style="20" customWidth="1"/>
    <col min="2" max="2" width="42.42578125" style="20" customWidth="1"/>
    <col min="3" max="3" width="27.28515625" style="20" customWidth="1"/>
    <col min="4" max="4" width="13.28515625" style="20" bestFit="1" customWidth="1"/>
    <col min="5" max="5" width="13" style="20" bestFit="1" customWidth="1"/>
    <col min="6" max="6" width="13.7109375" style="20" customWidth="1"/>
    <col min="7" max="7" width="23.7109375" style="20" customWidth="1"/>
    <col min="8" max="8" width="2.42578125" style="20" customWidth="1"/>
    <col min="9" max="16384" width="9.140625" style="20"/>
  </cols>
  <sheetData>
    <row r="2" spans="2:31" ht="15" x14ac:dyDescent="0.2">
      <c r="C2" s="142"/>
      <c r="D2" s="126"/>
      <c r="F2" s="126"/>
      <c r="H2" s="143"/>
    </row>
    <row r="3" spans="2:31" ht="15.75" x14ac:dyDescent="0.25">
      <c r="B3" s="9" t="s">
        <v>129</v>
      </c>
      <c r="H3" s="143"/>
    </row>
    <row r="4" spans="2:31" s="147" customFormat="1" ht="25.5" x14ac:dyDescent="0.2">
      <c r="B4" s="171" t="s">
        <v>92</v>
      </c>
      <c r="C4" s="172" t="s">
        <v>272</v>
      </c>
      <c r="D4" s="160" t="s">
        <v>70</v>
      </c>
      <c r="E4" s="160" t="s">
        <v>189</v>
      </c>
      <c r="F4" s="172" t="s">
        <v>84</v>
      </c>
      <c r="G4" s="172" t="s">
        <v>77</v>
      </c>
      <c r="H4" s="146"/>
    </row>
    <row r="5" spans="2:31" ht="15" x14ac:dyDescent="0.2">
      <c r="B5" s="167" t="s">
        <v>254</v>
      </c>
      <c r="C5" s="149" t="str">
        <f>IF(SUM('Workforce Mgmt Survey'!C4:C29)&lt;11,"High",IF(SUM('Workforce Mgmt Survey'!C4:C29)&gt;14,"Low","Moderate"))</f>
        <v>High</v>
      </c>
      <c r="D5" s="184">
        <f>'Workforce Mgmt Survey'!C36*'Workforce Mgmt Survey'!C34</f>
        <v>14560000</v>
      </c>
      <c r="E5" s="150">
        <f>IF(C5="High",(1-D14)*D5,IF(C5="Moderate",(1-E14)*D5,(1-F14)*D5))</f>
        <v>11648000</v>
      </c>
      <c r="F5" s="150">
        <f>D5-E5</f>
        <v>2912000</v>
      </c>
      <c r="G5" s="362" t="s">
        <v>133</v>
      </c>
      <c r="H5" s="143"/>
    </row>
    <row r="6" spans="2:31" ht="15" x14ac:dyDescent="0.2">
      <c r="B6" s="169" t="s">
        <v>132</v>
      </c>
      <c r="C6" s="155" t="str">
        <f>IF(SUM('Workforce Mgmt Survey'!C4:C29)&lt;11,"High",IF(SUM('Workforce Mgmt Survey'!C4:C29)&gt;14,"Low","Moderate"))</f>
        <v>High</v>
      </c>
      <c r="D6" s="179">
        <f>'Workforce Mgmt Survey'!C38*'Workforce Mgmt Survey'!C34*1.5</f>
        <v>1478400</v>
      </c>
      <c r="E6" s="156">
        <f>IF(C6="High",(1-D15)*D6,IF(C6="Moderate",(1-E15)*D6,(1-F15)*D6))</f>
        <v>1182720</v>
      </c>
      <c r="F6" s="156">
        <f>(D6-E6)</f>
        <v>295680</v>
      </c>
      <c r="G6" s="364"/>
      <c r="H6" s="143"/>
    </row>
    <row r="7" spans="2:31" ht="5.25" customHeight="1" x14ac:dyDescent="0.2">
      <c r="H7" s="143"/>
    </row>
    <row r="8" spans="2:31" ht="15.75" x14ac:dyDescent="0.25">
      <c r="B8" s="157" t="s">
        <v>131</v>
      </c>
      <c r="E8" s="126"/>
      <c r="F8" s="158">
        <f>SUM(F5:F6)</f>
        <v>3207680</v>
      </c>
      <c r="H8" s="128"/>
      <c r="I8" s="37"/>
      <c r="J8" s="37"/>
      <c r="K8" s="37"/>
      <c r="L8" s="37"/>
      <c r="M8" s="37"/>
      <c r="N8" s="37"/>
      <c r="O8" s="37"/>
      <c r="P8" s="37"/>
      <c r="Q8" s="37"/>
      <c r="R8" s="37"/>
      <c r="S8" s="37"/>
      <c r="T8" s="37"/>
      <c r="U8" s="37"/>
      <c r="V8" s="37"/>
      <c r="W8" s="37"/>
      <c r="X8" s="37"/>
      <c r="Y8" s="37"/>
      <c r="Z8" s="37"/>
      <c r="AA8" s="37"/>
      <c r="AB8" s="37"/>
      <c r="AC8" s="37"/>
      <c r="AD8" s="37"/>
      <c r="AE8" s="37"/>
    </row>
    <row r="9" spans="2:31" ht="15.75" x14ac:dyDescent="0.25">
      <c r="B9" s="157"/>
      <c r="E9" s="126"/>
      <c r="F9" s="158"/>
      <c r="H9" s="128"/>
      <c r="I9" s="37"/>
      <c r="J9" s="37"/>
      <c r="K9" s="37"/>
      <c r="L9" s="37"/>
      <c r="M9" s="37"/>
      <c r="N9" s="37"/>
      <c r="O9" s="37"/>
      <c r="P9" s="37"/>
      <c r="Q9" s="37"/>
      <c r="R9" s="37"/>
      <c r="S9" s="37"/>
      <c r="T9" s="37"/>
      <c r="U9" s="37"/>
      <c r="V9" s="37"/>
      <c r="W9" s="37"/>
      <c r="X9" s="37"/>
      <c r="Y9" s="37"/>
      <c r="Z9" s="37"/>
      <c r="AA9" s="37"/>
      <c r="AB9" s="37"/>
      <c r="AC9" s="37"/>
      <c r="AD9" s="37"/>
      <c r="AE9" s="37"/>
    </row>
    <row r="11" spans="2:31" s="120" customFormat="1" ht="31.5" x14ac:dyDescent="0.25">
      <c r="B11" s="7" t="s">
        <v>130</v>
      </c>
      <c r="C11" s="20"/>
      <c r="D11" s="20"/>
      <c r="E11" s="20"/>
      <c r="F11" s="159"/>
    </row>
    <row r="12" spans="2:31" s="120" customFormat="1" x14ac:dyDescent="0.2">
      <c r="B12" s="11"/>
      <c r="C12" s="13"/>
      <c r="D12" s="365" t="s">
        <v>98</v>
      </c>
      <c r="E12" s="366"/>
      <c r="F12" s="367"/>
    </row>
    <row r="13" spans="2:31" s="120" customFormat="1" x14ac:dyDescent="0.2">
      <c r="B13" s="8" t="s">
        <v>92</v>
      </c>
      <c r="C13" s="14" t="s">
        <v>222</v>
      </c>
      <c r="D13" s="6" t="s">
        <v>97</v>
      </c>
      <c r="E13" s="5" t="s">
        <v>134</v>
      </c>
      <c r="F13" s="5" t="s">
        <v>69</v>
      </c>
    </row>
    <row r="14" spans="2:31" s="120" customFormat="1" x14ac:dyDescent="0.2">
      <c r="B14" s="195" t="s">
        <v>254</v>
      </c>
      <c r="C14" s="197" t="s">
        <v>240</v>
      </c>
      <c r="D14" s="198">
        <v>0.2</v>
      </c>
      <c r="E14" s="199">
        <v>0.1</v>
      </c>
      <c r="F14" s="199">
        <v>0.02</v>
      </c>
    </row>
    <row r="15" spans="2:31" x14ac:dyDescent="0.2">
      <c r="B15" s="196" t="s">
        <v>132</v>
      </c>
      <c r="C15" s="197" t="s">
        <v>241</v>
      </c>
      <c r="D15" s="198">
        <v>0.2</v>
      </c>
      <c r="E15" s="199">
        <v>0.1</v>
      </c>
      <c r="F15" s="199">
        <v>0.02</v>
      </c>
    </row>
    <row r="20" spans="5:5" x14ac:dyDescent="0.2">
      <c r="E20" s="162"/>
    </row>
  </sheetData>
  <mergeCells count="2">
    <mergeCell ref="G5:G6"/>
    <mergeCell ref="D12:F12"/>
  </mergeCells>
  <phoneticPr fontId="0" type="noConversion"/>
  <pageMargins left="0.75" right="0.75" top="1" bottom="1" header="0.5" footer="0.5"/>
  <pageSetup scale="88" orientation="landscape"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2:AE23"/>
  <sheetViews>
    <sheetView zoomScale="65" workbookViewId="0">
      <selection activeCell="E9" sqref="E9"/>
    </sheetView>
  </sheetViews>
  <sheetFormatPr defaultRowHeight="12.75" x14ac:dyDescent="0.2"/>
  <cols>
    <col min="1" max="1" width="3.140625" style="20" customWidth="1"/>
    <col min="2" max="2" width="66.85546875" style="21" customWidth="1"/>
    <col min="3" max="3" width="27.28515625" style="20" customWidth="1"/>
    <col min="4" max="4" width="13.28515625" style="20" bestFit="1" customWidth="1"/>
    <col min="5" max="5" width="13" style="20" bestFit="1" customWidth="1"/>
    <col min="6" max="6" width="13.7109375" style="20" customWidth="1"/>
    <col min="7" max="7" width="23.7109375" style="20" customWidth="1"/>
    <col min="8" max="8" width="2.42578125" style="20" customWidth="1"/>
    <col min="9" max="16384" width="9.140625" style="20"/>
  </cols>
  <sheetData>
    <row r="2" spans="2:31" ht="15" x14ac:dyDescent="0.2">
      <c r="C2" s="142"/>
      <c r="D2" s="126"/>
      <c r="F2" s="126"/>
      <c r="H2" s="143"/>
    </row>
    <row r="3" spans="2:31" ht="15.75" x14ac:dyDescent="0.2">
      <c r="B3" s="233" t="s">
        <v>155</v>
      </c>
      <c r="C3" s="42"/>
      <c r="D3" s="42"/>
      <c r="E3" s="42"/>
      <c r="F3" s="42"/>
      <c r="G3" s="42"/>
      <c r="H3" s="143"/>
    </row>
    <row r="4" spans="2:31" s="147" customFormat="1" ht="25.5" x14ac:dyDescent="0.2">
      <c r="B4" s="234" t="s">
        <v>92</v>
      </c>
      <c r="C4" s="235" t="s">
        <v>272</v>
      </c>
      <c r="D4" s="236" t="s">
        <v>70</v>
      </c>
      <c r="E4" s="236" t="s">
        <v>189</v>
      </c>
      <c r="F4" s="235" t="s">
        <v>84</v>
      </c>
      <c r="G4" s="235" t="s">
        <v>77</v>
      </c>
      <c r="H4" s="146"/>
    </row>
    <row r="5" spans="2:31" ht="15" x14ac:dyDescent="0.2">
      <c r="B5" s="237" t="s">
        <v>232</v>
      </c>
      <c r="C5" s="238" t="str">
        <f>IF('IT Survey'!C4=1,"Low",IF('IT Survey'!C4=3,"Low",IF('IT Survey'!C10=2,"High","Moderate")))</f>
        <v>Low</v>
      </c>
      <c r="D5" s="239">
        <f>'IT Survey'!C19*'IT Survey'!C21</f>
        <v>90000</v>
      </c>
      <c r="E5" s="240">
        <f>IF(C5="High",(1-D17)*D5,IF(C5="Moderate",(1-E17)*D5,(1-F17)*D5))</f>
        <v>90000</v>
      </c>
      <c r="F5" s="239">
        <f>D5-E5</f>
        <v>0</v>
      </c>
      <c r="G5" s="107" t="s">
        <v>11</v>
      </c>
      <c r="H5" s="143"/>
    </row>
    <row r="6" spans="2:31" ht="15" x14ac:dyDescent="0.2">
      <c r="B6" s="241" t="s">
        <v>233</v>
      </c>
      <c r="C6" s="242" t="str">
        <f>IF('IT Survey'!C4=1,"Low",IF('IT Survey'!C4=3,"Low",IF('IT Survey'!C10=2,"High","Moderate")))</f>
        <v>Low</v>
      </c>
      <c r="D6" s="243">
        <f>'IT Survey'!C23*'IT Survey'!C21</f>
        <v>30000</v>
      </c>
      <c r="E6" s="244">
        <f>IF(C6="High",(1-D18)*D6,IF(C6="Moderate",(1-E18)*D6,(1-F18)*D6))</f>
        <v>30000</v>
      </c>
      <c r="F6" s="243">
        <f>(D6-E6)</f>
        <v>0</v>
      </c>
      <c r="G6" s="245"/>
      <c r="H6" s="143"/>
    </row>
    <row r="7" spans="2:31" ht="15" x14ac:dyDescent="0.2">
      <c r="B7" s="241" t="s">
        <v>234</v>
      </c>
      <c r="C7" s="242" t="str">
        <f>IF('IT Survey'!C27=1,"High",IF('IT Survey'!C27=2,"Moderate","Low"))</f>
        <v>High</v>
      </c>
      <c r="D7" s="243">
        <f>'IT Survey'!C33*'IT Survey'!C35*'IT Survey'!C37</f>
        <v>327600</v>
      </c>
      <c r="E7" s="244">
        <f>IF(C7="High",(1-D19)*D7,IF(C7="Moderate",(1-E19)*D7,(1-F19)*D7))</f>
        <v>0</v>
      </c>
      <c r="F7" s="243">
        <f>(D7-E7)</f>
        <v>327600</v>
      </c>
      <c r="G7" s="245"/>
      <c r="H7" s="143"/>
    </row>
    <row r="8" spans="2:31" ht="15" x14ac:dyDescent="0.2">
      <c r="B8" s="241" t="s">
        <v>235</v>
      </c>
      <c r="C8" s="242" t="str">
        <f>IF('IT Survey'!C27=1,"High",IF('IT Survey'!C27=2,"Moderate","Low"))</f>
        <v>High</v>
      </c>
      <c r="D8" s="246" t="s">
        <v>224</v>
      </c>
      <c r="E8" s="244">
        <f>IF(C8="High",D20*'General Financial Info Survey'!C14,IF(C8="Moderate",E20*'General Financial Info Survey'!C14,(F20)*'General Financial Info Survey'!C14))</f>
        <v>28569</v>
      </c>
      <c r="F8" s="243">
        <f>E8</f>
        <v>28569</v>
      </c>
      <c r="G8" s="245"/>
      <c r="H8" s="143"/>
    </row>
    <row r="9" spans="2:31" ht="15" x14ac:dyDescent="0.2">
      <c r="B9" s="247" t="s">
        <v>236</v>
      </c>
      <c r="C9" s="248" t="str">
        <f>IF('IT Survey'!C15&gt;0, "High", "Low")</f>
        <v>High</v>
      </c>
      <c r="D9" s="249">
        <f>'IT Survey'!C15</f>
        <v>0.01</v>
      </c>
      <c r="E9" s="250">
        <v>0</v>
      </c>
      <c r="F9" s="249">
        <f>(D9-E9)</f>
        <v>0.01</v>
      </c>
      <c r="G9" s="113"/>
      <c r="H9" s="143"/>
    </row>
    <row r="10" spans="2:31" ht="5.25" customHeight="1" x14ac:dyDescent="0.2">
      <c r="B10" s="108"/>
      <c r="C10" s="42"/>
      <c r="D10" s="42"/>
      <c r="E10" s="42"/>
      <c r="F10" s="42"/>
      <c r="G10" s="42"/>
      <c r="H10" s="143"/>
    </row>
    <row r="11" spans="2:31" ht="15.75" x14ac:dyDescent="0.25">
      <c r="B11" s="251" t="s">
        <v>156</v>
      </c>
      <c r="C11" s="42"/>
      <c r="D11" s="42"/>
      <c r="E11" s="252"/>
      <c r="F11" s="253">
        <f>SUM(F5:F8)</f>
        <v>356169</v>
      </c>
      <c r="G11" s="42"/>
      <c r="H11" s="128"/>
      <c r="I11" s="37"/>
      <c r="J11" s="37"/>
      <c r="K11" s="37"/>
      <c r="L11" s="37"/>
      <c r="M11" s="37"/>
      <c r="N11" s="37"/>
      <c r="O11" s="37"/>
      <c r="P11" s="37"/>
      <c r="Q11" s="37"/>
      <c r="R11" s="37"/>
      <c r="S11" s="37"/>
      <c r="T11" s="37"/>
      <c r="U11" s="37"/>
      <c r="V11" s="37"/>
      <c r="W11" s="37"/>
      <c r="X11" s="37"/>
      <c r="Y11" s="37"/>
      <c r="Z11" s="37"/>
      <c r="AA11" s="37"/>
      <c r="AB11" s="37"/>
      <c r="AC11" s="37"/>
      <c r="AD11" s="37"/>
      <c r="AE11" s="37"/>
    </row>
    <row r="12" spans="2:31" ht="15.75" x14ac:dyDescent="0.25">
      <c r="B12" s="251"/>
      <c r="C12" s="42"/>
      <c r="D12" s="42"/>
      <c r="E12" s="252"/>
      <c r="F12" s="253"/>
      <c r="G12" s="42"/>
      <c r="H12" s="128"/>
      <c r="I12" s="37"/>
      <c r="J12" s="37"/>
      <c r="K12" s="37"/>
      <c r="L12" s="37"/>
      <c r="M12" s="37"/>
      <c r="N12" s="37"/>
      <c r="O12" s="37"/>
      <c r="P12" s="37"/>
      <c r="Q12" s="37"/>
      <c r="R12" s="37"/>
      <c r="S12" s="37"/>
      <c r="T12" s="37"/>
      <c r="U12" s="37"/>
      <c r="V12" s="37"/>
      <c r="W12" s="37"/>
      <c r="X12" s="37"/>
      <c r="Y12" s="37"/>
      <c r="Z12" s="37"/>
      <c r="AA12" s="37"/>
      <c r="AB12" s="37"/>
      <c r="AC12" s="37"/>
      <c r="AD12" s="37"/>
      <c r="AE12" s="37"/>
    </row>
    <row r="13" spans="2:31" x14ac:dyDescent="0.2">
      <c r="B13" s="108"/>
      <c r="C13" s="42"/>
      <c r="D13" s="42"/>
      <c r="E13" s="42"/>
      <c r="F13" s="42"/>
      <c r="G13" s="42"/>
    </row>
    <row r="14" spans="2:31" s="120" customFormat="1" ht="15.75" x14ac:dyDescent="0.2">
      <c r="B14" s="254" t="s">
        <v>157</v>
      </c>
      <c r="C14" s="42"/>
      <c r="D14" s="42"/>
      <c r="E14" s="42"/>
      <c r="F14" s="255"/>
      <c r="G14" s="147"/>
    </row>
    <row r="15" spans="2:31" s="120" customFormat="1" x14ac:dyDescent="0.2">
      <c r="B15" s="266"/>
      <c r="C15" s="256"/>
      <c r="D15" s="368" t="s">
        <v>98</v>
      </c>
      <c r="E15" s="369"/>
      <c r="F15" s="370"/>
      <c r="G15" s="147"/>
    </row>
    <row r="16" spans="2:31" s="120" customFormat="1" x14ac:dyDescent="0.2">
      <c r="B16" s="267" t="s">
        <v>92</v>
      </c>
      <c r="C16" s="258" t="s">
        <v>222</v>
      </c>
      <c r="D16" s="257" t="s">
        <v>97</v>
      </c>
      <c r="E16" s="259" t="s">
        <v>134</v>
      </c>
      <c r="F16" s="259" t="s">
        <v>69</v>
      </c>
      <c r="G16" s="147"/>
    </row>
    <row r="17" spans="2:7" s="120" customFormat="1" x14ac:dyDescent="0.2">
      <c r="B17" s="260" t="s">
        <v>165</v>
      </c>
      <c r="C17" s="261" t="s">
        <v>238</v>
      </c>
      <c r="D17" s="262">
        <v>0.75</v>
      </c>
      <c r="E17" s="263">
        <v>0.1</v>
      </c>
      <c r="F17" s="263">
        <v>0</v>
      </c>
      <c r="G17" s="147"/>
    </row>
    <row r="18" spans="2:7" x14ac:dyDescent="0.2">
      <c r="B18" s="260" t="s">
        <v>166</v>
      </c>
      <c r="C18" s="261" t="s">
        <v>237</v>
      </c>
      <c r="D18" s="262">
        <v>1</v>
      </c>
      <c r="E18" s="263">
        <v>0.1</v>
      </c>
      <c r="F18" s="263">
        <v>0</v>
      </c>
      <c r="G18" s="42"/>
    </row>
    <row r="19" spans="2:7" x14ac:dyDescent="0.2">
      <c r="B19" s="268" t="s">
        <v>168</v>
      </c>
      <c r="C19" s="261" t="s">
        <v>239</v>
      </c>
      <c r="D19" s="262">
        <v>1</v>
      </c>
      <c r="E19" s="263">
        <v>0.1</v>
      </c>
      <c r="F19" s="263">
        <v>0</v>
      </c>
      <c r="G19" s="42"/>
    </row>
    <row r="20" spans="2:7" ht="25.5" x14ac:dyDescent="0.2">
      <c r="B20" s="268" t="s">
        <v>167</v>
      </c>
      <c r="C20" s="261" t="s">
        <v>228</v>
      </c>
      <c r="D20" s="264">
        <v>1E-3</v>
      </c>
      <c r="E20" s="265">
        <v>5.0000000000000001E-4</v>
      </c>
      <c r="F20" s="263">
        <v>0</v>
      </c>
      <c r="G20" s="42"/>
    </row>
    <row r="23" spans="2:7" x14ac:dyDescent="0.2">
      <c r="E23" s="162"/>
    </row>
  </sheetData>
  <mergeCells count="1">
    <mergeCell ref="D15:F15"/>
  </mergeCells>
  <phoneticPr fontId="0" type="noConversion"/>
  <pageMargins left="0.75" right="0.75" top="1" bottom="1" header="0.5" footer="0.5"/>
  <pageSetup scale="75" orientation="landscape" r:id="rId1"/>
  <headerFooter alignWithMargins="0"/>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E23"/>
  <sheetViews>
    <sheetView zoomScale="65" workbookViewId="0">
      <selection activeCell="G5" sqref="G5:G9"/>
    </sheetView>
  </sheetViews>
  <sheetFormatPr defaultRowHeight="12.75" x14ac:dyDescent="0.2"/>
  <cols>
    <col min="1" max="1" width="3.140625" style="20" customWidth="1"/>
    <col min="2" max="2" width="47.140625" style="20" customWidth="1"/>
    <col min="3" max="3" width="27.28515625" style="20" customWidth="1"/>
    <col min="4" max="4" width="13.28515625" style="20" bestFit="1" customWidth="1"/>
    <col min="5" max="5" width="13" style="20" bestFit="1" customWidth="1"/>
    <col min="6" max="6" width="17.7109375" style="20" bestFit="1" customWidth="1"/>
    <col min="7" max="7" width="23.7109375" style="20" customWidth="1"/>
    <col min="8" max="8" width="2.42578125" style="20" customWidth="1"/>
    <col min="9" max="16384" width="9.140625" style="20"/>
  </cols>
  <sheetData>
    <row r="1" spans="1:31" x14ac:dyDescent="0.2">
      <c r="A1" s="42"/>
      <c r="B1" s="42"/>
      <c r="C1" s="42"/>
      <c r="D1" s="42"/>
      <c r="E1" s="42"/>
      <c r="F1" s="42"/>
      <c r="G1" s="42"/>
      <c r="H1" s="42"/>
    </row>
    <row r="2" spans="1:31" ht="15" x14ac:dyDescent="0.2">
      <c r="A2" s="42"/>
      <c r="B2" s="42"/>
      <c r="C2" s="269"/>
      <c r="D2" s="252"/>
      <c r="E2" s="42"/>
      <c r="F2" s="252"/>
      <c r="G2" s="42"/>
      <c r="H2" s="270"/>
    </row>
    <row r="3" spans="1:31" ht="15.75" x14ac:dyDescent="0.2">
      <c r="A3" s="42"/>
      <c r="B3" s="233" t="s">
        <v>214</v>
      </c>
      <c r="C3" s="42"/>
      <c r="D3" s="42"/>
      <c r="E3" s="42"/>
      <c r="F3" s="42"/>
      <c r="G3" s="42"/>
      <c r="H3" s="270"/>
    </row>
    <row r="4" spans="1:31" s="147" customFormat="1" ht="25.5" x14ac:dyDescent="0.2">
      <c r="B4" s="271" t="s">
        <v>92</v>
      </c>
      <c r="C4" s="272" t="s">
        <v>272</v>
      </c>
      <c r="D4" s="273" t="s">
        <v>70</v>
      </c>
      <c r="E4" s="273" t="s">
        <v>189</v>
      </c>
      <c r="F4" s="235" t="s">
        <v>84</v>
      </c>
      <c r="G4" s="272" t="s">
        <v>77</v>
      </c>
      <c r="H4" s="146"/>
    </row>
    <row r="5" spans="1:31" ht="15" x14ac:dyDescent="0.2">
      <c r="A5" s="42"/>
      <c r="B5" s="100" t="s">
        <v>256</v>
      </c>
      <c r="C5" s="238" t="str">
        <f>IF('Capital Investment Survey'!C4=1,"High",IF('Capital Investment Survey'!C4=3,"Low","Moderate"))</f>
        <v>High</v>
      </c>
      <c r="D5" s="274" t="s">
        <v>224</v>
      </c>
      <c r="E5" s="275">
        <f>IF(C5="High",(D17)*'General Financial Info Survey'!C14,IF(C5="Moderate",(E17)*'General Financial Info Survey'!C14,(F17)*'General Financial Info Survey'!C14))</f>
        <v>28569</v>
      </c>
      <c r="F5" s="239">
        <f>E5</f>
        <v>28569</v>
      </c>
      <c r="G5" s="371" t="s">
        <v>223</v>
      </c>
      <c r="H5" s="270"/>
    </row>
    <row r="6" spans="1:31" ht="15" x14ac:dyDescent="0.2">
      <c r="A6" s="42"/>
      <c r="B6" s="104" t="s">
        <v>216</v>
      </c>
      <c r="C6" s="242" t="str">
        <f>IF('Capital Investment Survey'!C9=1,"High",IF('Capital Investment Survey'!C9=3,"Low","Moderate"))</f>
        <v>Moderate</v>
      </c>
      <c r="D6" s="274" t="s">
        <v>224</v>
      </c>
      <c r="E6" s="276">
        <f>IF(C6="High", D18*'Capital Investment Survey'!C24*'Capital Investment Survey'!C26,IF(C6="Moderate", E18*'Capital Investment Survey'!C24*'Capital Investment Survey'!C26, F18*'Capital Investment Survey'!C24*'Capital Investment Survey'!C26))</f>
        <v>5406.25</v>
      </c>
      <c r="F6" s="243">
        <f>E6</f>
        <v>5406.25</v>
      </c>
      <c r="G6" s="372"/>
      <c r="H6" s="270"/>
    </row>
    <row r="7" spans="1:31" ht="15" x14ac:dyDescent="0.2">
      <c r="A7" s="42"/>
      <c r="B7" s="104" t="s">
        <v>217</v>
      </c>
      <c r="C7" s="242" t="str">
        <f>IF('Capital Investment Survey'!C14=1,"High",IF('Capital Investment Survey'!C14=3,"Low","Moderate"))</f>
        <v>Moderate</v>
      </c>
      <c r="D7" s="274" t="s">
        <v>224</v>
      </c>
      <c r="E7" s="276">
        <f>IF(C7="High", D19*'Capital Investment Survey'!C24*'Capital Investment Survey'!C26,IF(C7="Moderate", E19*'Capital Investment Survey'!C24*'Capital Investment Survey'!C26, F19*'Capital Investment Survey'!C24*'Capital Investment Survey'!C26))</f>
        <v>54062.5</v>
      </c>
      <c r="F7" s="243">
        <f>E7</f>
        <v>54062.5</v>
      </c>
      <c r="G7" s="372"/>
      <c r="H7" s="270"/>
    </row>
    <row r="8" spans="1:31" ht="15" x14ac:dyDescent="0.2">
      <c r="A8" s="42"/>
      <c r="B8" s="104" t="s">
        <v>218</v>
      </c>
      <c r="C8" s="242" t="str">
        <f>IF('Capital Investment Survey'!C9=1,"High",IF('Capital Investment Survey'!C9=3,"Low","Moderate"))</f>
        <v>Moderate</v>
      </c>
      <c r="D8" s="277">
        <f>'Capital Investment Survey'!C34/5</f>
        <v>422400</v>
      </c>
      <c r="E8" s="276">
        <f>IF(C8="High",D8*(1-D20),IF(C8="Moderate",D8*(1-E20),D8*(1-F20)))</f>
        <v>401280</v>
      </c>
      <c r="F8" s="243">
        <f>-(E8-D8)</f>
        <v>21120</v>
      </c>
      <c r="G8" s="372"/>
      <c r="H8" s="270"/>
    </row>
    <row r="9" spans="1:31" ht="15" x14ac:dyDescent="0.2">
      <c r="A9" s="42"/>
      <c r="B9" s="278" t="s">
        <v>219</v>
      </c>
      <c r="C9" s="248" t="str">
        <f>IF('Capital Investment Survey'!C9=1,"High",IF('Capital Investment Survey'!C9=3,"Low","Moderate"))</f>
        <v>Moderate</v>
      </c>
      <c r="D9" s="250">
        <f>'Capital Investment Survey'!C28*'Capital Investment Survey'!C30*'Capital Investment Survey'!C32</f>
        <v>74368</v>
      </c>
      <c r="E9" s="279">
        <f>IF(C9="High",D9*(1-D21),IF(C9="Moderate",D9*(1-E21),D9*(1-F21)))</f>
        <v>55776</v>
      </c>
      <c r="F9" s="249">
        <f>D9-E9</f>
        <v>18592</v>
      </c>
      <c r="G9" s="373"/>
      <c r="H9" s="270"/>
    </row>
    <row r="10" spans="1:31" ht="5.25" customHeight="1" x14ac:dyDescent="0.2">
      <c r="A10" s="42"/>
      <c r="B10" s="42"/>
      <c r="C10" s="42"/>
      <c r="D10" s="42"/>
      <c r="E10" s="42"/>
      <c r="F10" s="42"/>
      <c r="G10" s="42"/>
      <c r="H10" s="270"/>
    </row>
    <row r="11" spans="1:31" ht="15.75" x14ac:dyDescent="0.2">
      <c r="A11" s="42"/>
      <c r="B11" s="251" t="s">
        <v>220</v>
      </c>
      <c r="C11" s="42"/>
      <c r="D11" s="42"/>
      <c r="E11" s="252"/>
      <c r="F11" s="253">
        <f>SUM(F5:F9)</f>
        <v>127749.75</v>
      </c>
      <c r="G11" s="42"/>
      <c r="H11" s="280"/>
      <c r="I11" s="37"/>
      <c r="J11" s="37"/>
      <c r="K11" s="37"/>
      <c r="L11" s="37"/>
      <c r="M11" s="37"/>
      <c r="N11" s="37"/>
      <c r="O11" s="37"/>
      <c r="P11" s="37"/>
      <c r="Q11" s="37"/>
      <c r="R11" s="37"/>
      <c r="S11" s="37"/>
      <c r="T11" s="37"/>
      <c r="U11" s="37"/>
      <c r="V11" s="37"/>
      <c r="W11" s="37"/>
      <c r="X11" s="37"/>
      <c r="Y11" s="37"/>
      <c r="Z11" s="37"/>
      <c r="AA11" s="37"/>
      <c r="AB11" s="37"/>
      <c r="AC11" s="37"/>
      <c r="AD11" s="37"/>
      <c r="AE11" s="37"/>
    </row>
    <row r="12" spans="1:31" ht="15.75" x14ac:dyDescent="0.2">
      <c r="A12" s="42"/>
      <c r="B12" s="251"/>
      <c r="C12" s="42"/>
      <c r="D12" s="42"/>
      <c r="E12" s="252"/>
      <c r="F12" s="253"/>
      <c r="G12" s="42"/>
      <c r="H12" s="280"/>
      <c r="I12" s="37"/>
      <c r="J12" s="37"/>
      <c r="K12" s="37"/>
      <c r="L12" s="37"/>
      <c r="M12" s="37"/>
      <c r="N12" s="37"/>
      <c r="O12" s="37"/>
      <c r="P12" s="37"/>
      <c r="Q12" s="37"/>
      <c r="R12" s="37"/>
      <c r="S12" s="37"/>
      <c r="T12" s="37"/>
      <c r="U12" s="37"/>
      <c r="V12" s="37"/>
      <c r="W12" s="37"/>
      <c r="X12" s="37"/>
      <c r="Y12" s="37"/>
      <c r="Z12" s="37"/>
      <c r="AA12" s="37"/>
      <c r="AB12" s="37"/>
      <c r="AC12" s="37"/>
      <c r="AD12" s="37"/>
      <c r="AE12" s="37"/>
    </row>
    <row r="13" spans="1:31" ht="15" x14ac:dyDescent="0.2">
      <c r="A13" s="42"/>
      <c r="B13" s="281"/>
      <c r="C13" s="42"/>
      <c r="D13" s="252"/>
      <c r="E13" s="42"/>
      <c r="F13" s="252"/>
      <c r="G13" s="42"/>
      <c r="H13" s="282"/>
    </row>
    <row r="14" spans="1:31" s="120" customFormat="1" ht="15.75" x14ac:dyDescent="0.2">
      <c r="A14" s="147"/>
      <c r="B14" s="254" t="s">
        <v>215</v>
      </c>
      <c r="C14" s="42"/>
      <c r="D14" s="42"/>
      <c r="E14" s="42"/>
      <c r="F14" s="255"/>
      <c r="G14" s="147"/>
      <c r="H14" s="147"/>
    </row>
    <row r="15" spans="1:31" s="120" customFormat="1" x14ac:dyDescent="0.2">
      <c r="A15" s="147"/>
      <c r="B15" s="283"/>
      <c r="C15" s="256"/>
      <c r="D15" s="369" t="s">
        <v>98</v>
      </c>
      <c r="E15" s="369"/>
      <c r="F15" s="370"/>
      <c r="G15" s="147"/>
      <c r="H15" s="147"/>
    </row>
    <row r="16" spans="1:31" s="120" customFormat="1" x14ac:dyDescent="0.2">
      <c r="A16" s="147"/>
      <c r="B16" s="284" t="s">
        <v>92</v>
      </c>
      <c r="C16" s="258" t="s">
        <v>222</v>
      </c>
      <c r="D16" s="285" t="s">
        <v>97</v>
      </c>
      <c r="E16" s="256" t="s">
        <v>134</v>
      </c>
      <c r="F16" s="256" t="s">
        <v>69</v>
      </c>
      <c r="G16" s="147"/>
      <c r="H16" s="147"/>
    </row>
    <row r="17" spans="1:8" s="120" customFormat="1" x14ac:dyDescent="0.2">
      <c r="A17" s="147"/>
      <c r="B17" s="286" t="s">
        <v>256</v>
      </c>
      <c r="C17" s="287" t="s">
        <v>246</v>
      </c>
      <c r="D17" s="288">
        <v>1E-3</v>
      </c>
      <c r="E17" s="289">
        <v>5.0000000000000001E-4</v>
      </c>
      <c r="F17" s="290">
        <v>0</v>
      </c>
      <c r="G17" s="147"/>
      <c r="H17" s="147"/>
    </row>
    <row r="18" spans="1:8" s="120" customFormat="1" x14ac:dyDescent="0.2">
      <c r="A18" s="147"/>
      <c r="B18" s="291" t="s">
        <v>216</v>
      </c>
      <c r="C18" s="292" t="s">
        <v>247</v>
      </c>
      <c r="D18" s="293">
        <v>0.01</v>
      </c>
      <c r="E18" s="294">
        <v>5.0000000000000001E-3</v>
      </c>
      <c r="F18" s="293">
        <v>0</v>
      </c>
      <c r="G18" s="147"/>
      <c r="H18" s="147"/>
    </row>
    <row r="19" spans="1:8" s="120" customFormat="1" x14ac:dyDescent="0.2">
      <c r="A19" s="147"/>
      <c r="B19" s="291" t="s">
        <v>217</v>
      </c>
      <c r="C19" s="292" t="s">
        <v>248</v>
      </c>
      <c r="D19" s="293">
        <v>0.1</v>
      </c>
      <c r="E19" s="295">
        <v>0.05</v>
      </c>
      <c r="F19" s="293">
        <v>0</v>
      </c>
      <c r="G19" s="147"/>
      <c r="H19" s="147"/>
    </row>
    <row r="20" spans="1:8" x14ac:dyDescent="0.2">
      <c r="A20" s="42"/>
      <c r="B20" s="291" t="s">
        <v>218</v>
      </c>
      <c r="C20" s="292" t="s">
        <v>250</v>
      </c>
      <c r="D20" s="293">
        <v>0.1</v>
      </c>
      <c r="E20" s="295">
        <v>0.05</v>
      </c>
      <c r="F20" s="293">
        <v>0</v>
      </c>
      <c r="G20" s="42"/>
      <c r="H20" s="42"/>
    </row>
    <row r="21" spans="1:8" x14ac:dyDescent="0.2">
      <c r="A21" s="42"/>
      <c r="B21" s="296" t="s">
        <v>219</v>
      </c>
      <c r="C21" s="297" t="s">
        <v>249</v>
      </c>
      <c r="D21" s="298">
        <v>0.75</v>
      </c>
      <c r="E21" s="299">
        <v>0.25</v>
      </c>
      <c r="F21" s="298">
        <v>0</v>
      </c>
      <c r="G21" s="42"/>
      <c r="H21" s="42"/>
    </row>
    <row r="22" spans="1:8" x14ac:dyDescent="0.2">
      <c r="A22" s="42"/>
      <c r="B22" s="42"/>
      <c r="C22" s="42"/>
      <c r="D22" s="300" t="s">
        <v>221</v>
      </c>
      <c r="E22" s="42"/>
      <c r="F22" s="42"/>
      <c r="G22" s="42"/>
      <c r="H22" s="42"/>
    </row>
    <row r="23" spans="1:8" x14ac:dyDescent="0.2">
      <c r="A23" s="42"/>
      <c r="B23" s="42"/>
      <c r="C23" s="42"/>
      <c r="D23" s="42"/>
      <c r="E23" s="42"/>
      <c r="F23" s="42"/>
      <c r="G23" s="42"/>
      <c r="H23" s="42"/>
    </row>
  </sheetData>
  <mergeCells count="2">
    <mergeCell ref="G5:G9"/>
    <mergeCell ref="D15:F15"/>
  </mergeCells>
  <phoneticPr fontId="0" type="noConversion"/>
  <pageMargins left="0.75" right="0.75" top="1" bottom="1" header="0.5" footer="0.5"/>
  <pageSetup scale="83" orientation="landscape" r:id="rId1"/>
  <headerFooter alignWithMargins="0"/>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2:AE17"/>
  <sheetViews>
    <sheetView zoomScale="65" workbookViewId="0">
      <selection activeCell="D14" sqref="D14"/>
    </sheetView>
  </sheetViews>
  <sheetFormatPr defaultRowHeight="12.75" x14ac:dyDescent="0.2"/>
  <cols>
    <col min="1" max="1" width="3.140625" style="20" customWidth="1"/>
    <col min="2" max="2" width="51.85546875" style="20" customWidth="1"/>
    <col min="3" max="3" width="27.28515625" style="20" customWidth="1"/>
    <col min="4" max="4" width="13.28515625" style="20" bestFit="1" customWidth="1"/>
    <col min="5" max="5" width="13" style="20" bestFit="1" customWidth="1"/>
    <col min="6" max="6" width="14.140625" style="20" customWidth="1"/>
    <col min="7" max="7" width="30.7109375" style="20" customWidth="1"/>
    <col min="8" max="8" width="2.42578125" style="20" customWidth="1"/>
    <col min="9" max="16384" width="9.140625" style="20"/>
  </cols>
  <sheetData>
    <row r="2" spans="2:31" ht="15" x14ac:dyDescent="0.2">
      <c r="C2" s="142"/>
      <c r="D2" s="126"/>
      <c r="F2" s="126"/>
      <c r="H2" s="143"/>
    </row>
    <row r="3" spans="2:31" ht="15.75" x14ac:dyDescent="0.25">
      <c r="B3" s="9" t="s">
        <v>266</v>
      </c>
      <c r="H3" s="143"/>
    </row>
    <row r="4" spans="2:31" s="147" customFormat="1" ht="25.5" x14ac:dyDescent="0.2">
      <c r="B4" s="144" t="s">
        <v>92</v>
      </c>
      <c r="C4" s="145" t="s">
        <v>272</v>
      </c>
      <c r="D4" s="145" t="s">
        <v>173</v>
      </c>
      <c r="E4" s="145" t="s">
        <v>188</v>
      </c>
      <c r="F4" s="145" t="s">
        <v>84</v>
      </c>
      <c r="G4" s="145" t="s">
        <v>77</v>
      </c>
      <c r="H4" s="146"/>
    </row>
    <row r="5" spans="2:31" ht="15" x14ac:dyDescent="0.2">
      <c r="B5" s="167" t="s">
        <v>268</v>
      </c>
      <c r="C5" s="149" t="str">
        <f>IF('Asset Productivity Survey'!C4=3,"Low",IF('Asset Productivity Survey'!C4=1,"High","Moderate"))</f>
        <v>Moderate</v>
      </c>
      <c r="D5" s="168" t="s">
        <v>224</v>
      </c>
      <c r="E5" s="150">
        <f>IF(C5="High",(D13)*'Asset Productivity Survey'!C23,IF(C5="Moderate",(E13)*'Asset Productivity Survey'!C23,(F13)*'Asset Productivity Survey'!C23))</f>
        <v>5779.4117999999999</v>
      </c>
      <c r="F5" s="150">
        <f>E5</f>
        <v>5779.4117999999999</v>
      </c>
      <c r="G5" s="374" t="s">
        <v>276</v>
      </c>
      <c r="H5" s="143"/>
    </row>
    <row r="6" spans="2:31" ht="24" customHeight="1" x14ac:dyDescent="0.2">
      <c r="B6" s="169" t="s">
        <v>278</v>
      </c>
      <c r="C6" s="155" t="str">
        <f>IF('Asset Productivity Survey'!C4=3,"Low",IF('Asset Productivity Survey'!C4=1,"High","Moderate"))</f>
        <v>Moderate</v>
      </c>
      <c r="D6" s="170" t="s">
        <v>224</v>
      </c>
      <c r="E6" s="156">
        <f>IF(C6="High",(D14)*'Asset Productivity Survey'!C25,IF(C6="Moderate",(E14)*'Asset Productivity Survey'!C25,(F14)*'Asset Productivity Survey'!C25))</f>
        <v>25044.1178</v>
      </c>
      <c r="F6" s="156">
        <f>E6</f>
        <v>25044.1178</v>
      </c>
      <c r="G6" s="375"/>
      <c r="H6" s="143"/>
    </row>
    <row r="7" spans="2:31" ht="5.25" customHeight="1" x14ac:dyDescent="0.2">
      <c r="H7" s="143"/>
    </row>
    <row r="8" spans="2:31" ht="15.75" x14ac:dyDescent="0.25">
      <c r="B8" s="157" t="s">
        <v>273</v>
      </c>
      <c r="E8" s="126"/>
      <c r="F8" s="158">
        <f>SUM(F5:F6)</f>
        <v>30823.529600000002</v>
      </c>
      <c r="H8" s="128"/>
      <c r="I8" s="37"/>
      <c r="J8" s="37"/>
      <c r="K8" s="37"/>
      <c r="L8" s="37"/>
      <c r="M8" s="37"/>
      <c r="N8" s="37"/>
      <c r="O8" s="37"/>
      <c r="P8" s="37"/>
      <c r="Q8" s="37"/>
      <c r="R8" s="37"/>
      <c r="S8" s="37"/>
      <c r="T8" s="37"/>
      <c r="U8" s="37"/>
      <c r="V8" s="37"/>
      <c r="W8" s="37"/>
      <c r="X8" s="37"/>
      <c r="Y8" s="37"/>
      <c r="Z8" s="37"/>
      <c r="AA8" s="37"/>
      <c r="AB8" s="37"/>
      <c r="AC8" s="37"/>
      <c r="AD8" s="37"/>
      <c r="AE8" s="37"/>
    </row>
    <row r="10" spans="2:31" s="120" customFormat="1" ht="15.75" x14ac:dyDescent="0.25">
      <c r="B10" s="7" t="s">
        <v>267</v>
      </c>
      <c r="C10" s="20"/>
      <c r="D10" s="20"/>
      <c r="E10" s="20"/>
      <c r="F10" s="159"/>
    </row>
    <row r="11" spans="2:31" s="120" customFormat="1" x14ac:dyDescent="0.2">
      <c r="B11" s="11"/>
      <c r="C11" s="13"/>
      <c r="D11" s="365" t="s">
        <v>98</v>
      </c>
      <c r="E11" s="366"/>
      <c r="F11" s="367"/>
    </row>
    <row r="12" spans="2:31" s="120" customFormat="1" x14ac:dyDescent="0.2">
      <c r="B12" s="8" t="s">
        <v>92</v>
      </c>
      <c r="C12" s="15" t="s">
        <v>222</v>
      </c>
      <c r="D12" s="12" t="s">
        <v>97</v>
      </c>
      <c r="E12" s="13" t="s">
        <v>134</v>
      </c>
      <c r="F12" s="13" t="s">
        <v>69</v>
      </c>
    </row>
    <row r="13" spans="2:31" s="120" customFormat="1" x14ac:dyDescent="0.2">
      <c r="B13" s="193" t="s">
        <v>268</v>
      </c>
      <c r="C13" s="200" t="s">
        <v>274</v>
      </c>
      <c r="D13" s="201">
        <v>0.05</v>
      </c>
      <c r="E13" s="201">
        <v>0.03</v>
      </c>
      <c r="F13" s="202">
        <v>0</v>
      </c>
    </row>
    <row r="14" spans="2:31" x14ac:dyDescent="0.2">
      <c r="B14" s="194" t="s">
        <v>269</v>
      </c>
      <c r="C14" s="203" t="s">
        <v>275</v>
      </c>
      <c r="D14" s="204">
        <v>0.1</v>
      </c>
      <c r="E14" s="204">
        <v>0.05</v>
      </c>
      <c r="F14" s="205">
        <v>0</v>
      </c>
    </row>
    <row r="15" spans="2:31" x14ac:dyDescent="0.2">
      <c r="C15" s="161"/>
    </row>
    <row r="16" spans="2:31" x14ac:dyDescent="0.2">
      <c r="C16" s="37"/>
      <c r="E16" s="162"/>
    </row>
    <row r="17" spans="3:3" x14ac:dyDescent="0.2">
      <c r="C17" s="37"/>
    </row>
  </sheetData>
  <mergeCells count="2">
    <mergeCell ref="G5:G6"/>
    <mergeCell ref="D11:F11"/>
  </mergeCells>
  <phoneticPr fontId="0" type="noConversion"/>
  <pageMargins left="0.75" right="0.75" top="1" bottom="1" header="0.5" footer="0.5"/>
  <pageSetup scale="79" orientation="landscape" r:id="rId1"/>
  <headerFooter alignWithMargins="0"/>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2:AE20"/>
  <sheetViews>
    <sheetView topLeftCell="B1" zoomScale="65" workbookViewId="0">
      <selection activeCell="D4" sqref="D4"/>
    </sheetView>
  </sheetViews>
  <sheetFormatPr defaultRowHeight="12.75" x14ac:dyDescent="0.2"/>
  <cols>
    <col min="1" max="1" width="3.140625" style="20" customWidth="1"/>
    <col min="2" max="2" width="60" style="108" customWidth="1"/>
    <col min="3" max="3" width="27.28515625" style="20" customWidth="1"/>
    <col min="4" max="4" width="13.28515625" style="20" bestFit="1" customWidth="1"/>
    <col min="5" max="5" width="13" style="20" bestFit="1" customWidth="1"/>
    <col min="6" max="6" width="16.28515625" style="20" customWidth="1"/>
    <col min="7" max="7" width="30.7109375" style="20" customWidth="1"/>
    <col min="8" max="8" width="2.42578125" style="20" customWidth="1"/>
    <col min="9" max="16384" width="9.140625" style="20"/>
  </cols>
  <sheetData>
    <row r="2" spans="2:31" ht="15" x14ac:dyDescent="0.2">
      <c r="C2" s="142"/>
      <c r="D2" s="126"/>
      <c r="F2" s="126"/>
      <c r="H2" s="143"/>
    </row>
    <row r="3" spans="2:31" ht="15.75" x14ac:dyDescent="0.2">
      <c r="B3" s="233" t="s">
        <v>171</v>
      </c>
      <c r="H3" s="143"/>
    </row>
    <row r="4" spans="2:31" s="147" customFormat="1" ht="24" customHeight="1" x14ac:dyDescent="0.2">
      <c r="B4" s="234" t="s">
        <v>92</v>
      </c>
      <c r="C4" s="145" t="s">
        <v>272</v>
      </c>
      <c r="D4" s="145" t="s">
        <v>173</v>
      </c>
      <c r="E4" s="145" t="s">
        <v>188</v>
      </c>
      <c r="F4" s="145" t="s">
        <v>84</v>
      </c>
      <c r="G4" s="145" t="s">
        <v>77</v>
      </c>
      <c r="H4" s="146"/>
    </row>
    <row r="5" spans="2:31" ht="15" x14ac:dyDescent="0.2">
      <c r="B5" s="237" t="s">
        <v>257</v>
      </c>
      <c r="C5" s="149" t="str">
        <f>IF('Operating Risk Survey'!C4=3,"Low",IF('Operating Risk Survey'!C4=1,"High","Moderate"))</f>
        <v>High</v>
      </c>
      <c r="D5" s="150">
        <f>'Operating Risk Survey'!C16/5</f>
        <v>390194.4</v>
      </c>
      <c r="E5" s="150">
        <f>IF(C5="High",(1-D15)*D5,IF(C5="Moderate",(1-E15)*D5,(1-F15)*D5))</f>
        <v>195097.2</v>
      </c>
      <c r="F5" s="150">
        <f>D5-E5</f>
        <v>195097.2</v>
      </c>
      <c r="G5" s="362" t="s">
        <v>187</v>
      </c>
      <c r="H5" s="143"/>
    </row>
    <row r="6" spans="2:31" ht="15" x14ac:dyDescent="0.2">
      <c r="B6" s="241" t="s">
        <v>258</v>
      </c>
      <c r="C6" s="152" t="str">
        <f>IF('Operating Risk Survey'!C10=3,"Low",IF('Operating Risk Survey'!C10=1,"High","Moderate"))</f>
        <v>Moderate</v>
      </c>
      <c r="D6" s="153">
        <f>'Operating Risk Survey'!C18/5</f>
        <v>850</v>
      </c>
      <c r="E6" s="153">
        <f>IF(C6="High",(1-D16)*D6,IF(C6="Moderate",(1-E16)*D6,(1-F16)*D6))</f>
        <v>765</v>
      </c>
      <c r="F6" s="153">
        <f>(D6-E6)</f>
        <v>85</v>
      </c>
      <c r="G6" s="363"/>
      <c r="H6" s="143"/>
    </row>
    <row r="7" spans="2:31" ht="28.5" customHeight="1" x14ac:dyDescent="0.2">
      <c r="B7" s="247" t="s">
        <v>260</v>
      </c>
      <c r="C7" s="155" t="str">
        <f>IF('Operating Risk Survey'!C10=3,"Low",IF('Operating Risk Survey'!C10=1,"High","Moderate"))</f>
        <v>Moderate</v>
      </c>
      <c r="D7" s="156">
        <v>0</v>
      </c>
      <c r="E7" s="156">
        <f>IF(C7="High",(1-D17)*'Operating Risk Survey'!C20,IF(C7="Moderate",(1-E17)*'Operating Risk Survey'!C20,(1-F17)*'Operating Risk Survey'!C20))</f>
        <v>9.0000000000000011E-3</v>
      </c>
      <c r="F7" s="156">
        <f>-(D7-E7)</f>
        <v>9.0000000000000011E-3</v>
      </c>
      <c r="G7" s="364"/>
      <c r="H7" s="143"/>
    </row>
    <row r="8" spans="2:31" ht="5.25" customHeight="1" x14ac:dyDescent="0.2">
      <c r="H8" s="143"/>
    </row>
    <row r="9" spans="2:31" ht="15.75" x14ac:dyDescent="0.25">
      <c r="B9" s="251" t="s">
        <v>186</v>
      </c>
      <c r="E9" s="126"/>
      <c r="F9" s="158">
        <f>SUM(F5:F7)</f>
        <v>195182.209</v>
      </c>
      <c r="H9" s="128"/>
      <c r="I9" s="37"/>
      <c r="J9" s="37"/>
      <c r="K9" s="37"/>
      <c r="L9" s="37"/>
      <c r="M9" s="37"/>
      <c r="N9" s="37"/>
      <c r="O9" s="37"/>
      <c r="P9" s="37"/>
      <c r="Q9" s="37"/>
      <c r="R9" s="37"/>
      <c r="S9" s="37"/>
      <c r="T9" s="37"/>
      <c r="U9" s="37"/>
      <c r="V9" s="37"/>
      <c r="W9" s="37"/>
      <c r="X9" s="37"/>
      <c r="Y9" s="37"/>
      <c r="Z9" s="37"/>
      <c r="AA9" s="37"/>
      <c r="AB9" s="37"/>
      <c r="AC9" s="37"/>
      <c r="AD9" s="37"/>
      <c r="AE9" s="37"/>
    </row>
    <row r="10" spans="2:31" ht="15.75" x14ac:dyDescent="0.25">
      <c r="B10" s="251"/>
      <c r="E10" s="126"/>
      <c r="F10" s="158"/>
      <c r="H10" s="128"/>
      <c r="I10" s="37"/>
      <c r="J10" s="37"/>
      <c r="K10" s="37"/>
      <c r="L10" s="37"/>
      <c r="M10" s="37"/>
      <c r="N10" s="37"/>
      <c r="O10" s="37"/>
      <c r="P10" s="37"/>
      <c r="Q10" s="37"/>
      <c r="R10" s="37"/>
      <c r="S10" s="37"/>
      <c r="T10" s="37"/>
      <c r="U10" s="37"/>
      <c r="V10" s="37"/>
      <c r="W10" s="37"/>
      <c r="X10" s="37"/>
      <c r="Y10" s="37"/>
      <c r="Z10" s="37"/>
      <c r="AA10" s="37"/>
      <c r="AB10" s="37"/>
      <c r="AC10" s="37"/>
      <c r="AD10" s="37"/>
      <c r="AE10" s="37"/>
    </row>
    <row r="12" spans="2:31" s="120" customFormat="1" ht="15.75" x14ac:dyDescent="0.2">
      <c r="B12" s="254" t="s">
        <v>172</v>
      </c>
      <c r="C12" s="20"/>
      <c r="D12" s="20"/>
      <c r="E12" s="20"/>
      <c r="F12" s="159"/>
    </row>
    <row r="13" spans="2:31" s="120" customFormat="1" x14ac:dyDescent="0.2">
      <c r="B13" s="266"/>
      <c r="C13" s="13"/>
      <c r="D13" s="365" t="s">
        <v>98</v>
      </c>
      <c r="E13" s="366"/>
      <c r="F13" s="367"/>
    </row>
    <row r="14" spans="2:31" s="120" customFormat="1" x14ac:dyDescent="0.2">
      <c r="B14" s="267" t="s">
        <v>92</v>
      </c>
      <c r="C14" s="15" t="s">
        <v>222</v>
      </c>
      <c r="D14" s="6" t="s">
        <v>97</v>
      </c>
      <c r="E14" s="5" t="s">
        <v>134</v>
      </c>
      <c r="F14" s="5" t="s">
        <v>69</v>
      </c>
    </row>
    <row r="15" spans="2:31" s="120" customFormat="1" ht="25.5" x14ac:dyDescent="0.2">
      <c r="B15" s="301" t="s">
        <v>174</v>
      </c>
      <c r="C15" s="197" t="s">
        <v>229</v>
      </c>
      <c r="D15" s="198">
        <v>0.5</v>
      </c>
      <c r="E15" s="199">
        <v>0.1</v>
      </c>
      <c r="F15" s="199">
        <v>0</v>
      </c>
    </row>
    <row r="16" spans="2:31" ht="25.5" x14ac:dyDescent="0.2">
      <c r="B16" s="301" t="s">
        <v>175</v>
      </c>
      <c r="C16" s="197" t="s">
        <v>230</v>
      </c>
      <c r="D16" s="198">
        <v>0.5</v>
      </c>
      <c r="E16" s="199">
        <v>0.1</v>
      </c>
      <c r="F16" s="199">
        <v>0</v>
      </c>
    </row>
    <row r="17" spans="2:6" ht="25.5" x14ac:dyDescent="0.2">
      <c r="B17" s="302" t="s">
        <v>190</v>
      </c>
      <c r="C17" s="197" t="s">
        <v>231</v>
      </c>
      <c r="D17" s="198">
        <v>0.5</v>
      </c>
      <c r="E17" s="199">
        <v>0.1</v>
      </c>
      <c r="F17" s="199">
        <v>0</v>
      </c>
    </row>
    <row r="18" spans="2:6" x14ac:dyDescent="0.2">
      <c r="C18" s="161"/>
    </row>
    <row r="19" spans="2:6" x14ac:dyDescent="0.2">
      <c r="C19" s="37"/>
      <c r="E19" s="162"/>
    </row>
    <row r="20" spans="2:6" x14ac:dyDescent="0.2">
      <c r="C20" s="37"/>
    </row>
  </sheetData>
  <mergeCells count="2">
    <mergeCell ref="G5:G7"/>
    <mergeCell ref="D13:F13"/>
  </mergeCells>
  <phoneticPr fontId="0" type="noConversion"/>
  <pageMargins left="0.75" right="0.75" top="1" bottom="1" header="0.5" footer="0.5"/>
  <pageSetup scale="74"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L19"/>
  <sheetViews>
    <sheetView zoomScale="75" workbookViewId="0">
      <selection activeCell="F2" sqref="F2:F5"/>
    </sheetView>
  </sheetViews>
  <sheetFormatPr defaultRowHeight="12.75" x14ac:dyDescent="0.2"/>
  <cols>
    <col min="1" max="1" width="15.5703125" style="108" customWidth="1"/>
    <col min="2" max="2" width="18.7109375" style="42" customWidth="1"/>
    <col min="3" max="3" width="16" style="108" customWidth="1"/>
    <col min="4" max="4" width="32.42578125" style="118" customWidth="1"/>
    <col min="5" max="5" width="25.28515625" style="118" customWidth="1"/>
    <col min="6" max="6" width="21.5703125" style="108" customWidth="1"/>
    <col min="7" max="16384" width="9.140625" style="42"/>
  </cols>
  <sheetData>
    <row r="1" spans="1:90" s="97" customFormat="1" ht="15.75" x14ac:dyDescent="0.2">
      <c r="A1" s="1" t="s">
        <v>23</v>
      </c>
      <c r="B1" s="17" t="s">
        <v>24</v>
      </c>
      <c r="C1" s="1" t="s">
        <v>28</v>
      </c>
      <c r="D1" s="3" t="s">
        <v>22</v>
      </c>
      <c r="E1" s="2" t="s">
        <v>4</v>
      </c>
      <c r="F1" s="4" t="s">
        <v>19</v>
      </c>
      <c r="G1" s="98"/>
      <c r="H1" s="98"/>
      <c r="I1" s="98"/>
      <c r="J1" s="98"/>
      <c r="K1" s="98"/>
      <c r="L1" s="98"/>
      <c r="M1" s="98"/>
      <c r="N1" s="98"/>
      <c r="O1" s="98"/>
      <c r="P1" s="98"/>
      <c r="Q1" s="98"/>
      <c r="R1" s="98"/>
      <c r="S1" s="98"/>
      <c r="T1" s="98"/>
      <c r="U1" s="98"/>
      <c r="V1" s="98"/>
      <c r="W1" s="98"/>
      <c r="X1" s="98"/>
      <c r="Y1" s="98"/>
      <c r="Z1" s="98"/>
      <c r="AA1" s="98"/>
      <c r="AB1" s="98"/>
      <c r="AC1" s="98"/>
      <c r="AD1" s="98"/>
      <c r="AE1" s="98"/>
      <c r="AF1" s="98"/>
      <c r="AG1" s="98"/>
      <c r="AH1" s="98"/>
      <c r="AI1" s="98"/>
      <c r="AJ1" s="98"/>
      <c r="AK1" s="98"/>
      <c r="AL1" s="98"/>
      <c r="AM1" s="98"/>
      <c r="AN1" s="98"/>
      <c r="AO1" s="98"/>
      <c r="AP1" s="98"/>
      <c r="AQ1" s="98"/>
      <c r="AR1" s="98"/>
      <c r="AS1" s="98"/>
      <c r="AT1" s="98"/>
      <c r="AU1" s="98"/>
      <c r="AV1" s="98"/>
      <c r="AW1" s="98"/>
      <c r="AX1" s="98"/>
      <c r="AY1" s="98"/>
      <c r="AZ1" s="98"/>
      <c r="BA1" s="98"/>
      <c r="BB1" s="98"/>
      <c r="BC1" s="98"/>
      <c r="BD1" s="98"/>
      <c r="BE1" s="98"/>
      <c r="BF1" s="98"/>
      <c r="BG1" s="98"/>
      <c r="BH1" s="98"/>
      <c r="BI1" s="98"/>
      <c r="BJ1" s="98"/>
      <c r="BK1" s="98"/>
      <c r="BL1" s="98"/>
      <c r="BM1" s="98"/>
      <c r="BN1" s="98"/>
      <c r="BO1" s="98"/>
      <c r="BP1" s="98"/>
      <c r="BQ1" s="98"/>
      <c r="BR1" s="98"/>
      <c r="BS1" s="98"/>
      <c r="BT1" s="98"/>
      <c r="BU1" s="98"/>
      <c r="BV1" s="98"/>
      <c r="BW1" s="98"/>
      <c r="BX1" s="98"/>
      <c r="BY1" s="98"/>
      <c r="BZ1" s="98"/>
      <c r="CA1" s="98"/>
      <c r="CB1" s="98"/>
      <c r="CC1" s="98"/>
      <c r="CD1" s="98"/>
      <c r="CE1" s="98"/>
      <c r="CF1" s="98"/>
      <c r="CG1" s="98"/>
      <c r="CH1" s="98"/>
      <c r="CI1" s="98"/>
      <c r="CJ1" s="98"/>
      <c r="CK1" s="98"/>
      <c r="CL1" s="98"/>
    </row>
    <row r="2" spans="1:90" ht="66" customHeight="1" x14ac:dyDescent="0.2">
      <c r="A2" s="99" t="s">
        <v>25</v>
      </c>
      <c r="B2" s="42" t="s">
        <v>21</v>
      </c>
      <c r="C2" s="100" t="s">
        <v>102</v>
      </c>
      <c r="D2" s="101" t="s">
        <v>79</v>
      </c>
      <c r="E2" s="102" t="s">
        <v>20</v>
      </c>
      <c r="F2" s="339" t="s">
        <v>80</v>
      </c>
    </row>
    <row r="3" spans="1:90" ht="25.5" customHeight="1" x14ac:dyDescent="0.2">
      <c r="A3" s="103"/>
      <c r="C3" s="104"/>
      <c r="D3" s="101" t="s">
        <v>2</v>
      </c>
      <c r="E3" s="102" t="s">
        <v>6</v>
      </c>
      <c r="F3" s="343"/>
    </row>
    <row r="4" spans="1:90" ht="25.5" customHeight="1" x14ac:dyDescent="0.2">
      <c r="A4" s="103"/>
      <c r="C4" s="100" t="s">
        <v>101</v>
      </c>
      <c r="D4" s="101" t="s">
        <v>74</v>
      </c>
      <c r="E4" s="102" t="s">
        <v>5</v>
      </c>
      <c r="F4" s="343"/>
    </row>
    <row r="5" spans="1:90" ht="25.5" x14ac:dyDescent="0.2">
      <c r="A5" s="103"/>
      <c r="C5" s="105" t="s">
        <v>38</v>
      </c>
      <c r="D5" s="106" t="s">
        <v>0</v>
      </c>
      <c r="E5" s="102" t="s">
        <v>5</v>
      </c>
      <c r="F5" s="344"/>
    </row>
    <row r="6" spans="1:90" ht="51" customHeight="1" x14ac:dyDescent="0.2">
      <c r="A6" s="103"/>
      <c r="B6" s="107" t="s">
        <v>100</v>
      </c>
      <c r="C6" s="108" t="s">
        <v>85</v>
      </c>
      <c r="D6" s="106" t="s">
        <v>136</v>
      </c>
      <c r="E6" s="102" t="s">
        <v>137</v>
      </c>
      <c r="F6" s="339" t="s">
        <v>356</v>
      </c>
    </row>
    <row r="7" spans="1:90" ht="25.5" x14ac:dyDescent="0.2">
      <c r="A7" s="103"/>
      <c r="C7" s="103"/>
      <c r="D7" s="106" t="s">
        <v>18</v>
      </c>
      <c r="E7" s="102" t="s">
        <v>17</v>
      </c>
      <c r="F7" s="343"/>
    </row>
    <row r="8" spans="1:90" ht="38.25" x14ac:dyDescent="0.2">
      <c r="A8" s="103"/>
      <c r="C8" s="105" t="s">
        <v>86</v>
      </c>
      <c r="D8" s="106" t="s">
        <v>15</v>
      </c>
      <c r="E8" s="102" t="s">
        <v>14</v>
      </c>
      <c r="F8" s="344"/>
    </row>
    <row r="9" spans="1:90" ht="51" x14ac:dyDescent="0.2">
      <c r="A9" s="111"/>
      <c r="B9" s="112" t="s">
        <v>154</v>
      </c>
      <c r="C9" s="105" t="s">
        <v>33</v>
      </c>
      <c r="D9" s="101" t="s">
        <v>161</v>
      </c>
      <c r="E9" s="102" t="s">
        <v>335</v>
      </c>
      <c r="F9" s="339" t="s">
        <v>158</v>
      </c>
    </row>
    <row r="10" spans="1:90" ht="25.5" x14ac:dyDescent="0.2">
      <c r="A10" s="111"/>
      <c r="B10" s="109"/>
      <c r="C10" s="113" t="s">
        <v>27</v>
      </c>
      <c r="D10" s="101" t="s">
        <v>13</v>
      </c>
      <c r="E10" s="102" t="s">
        <v>12</v>
      </c>
      <c r="F10" s="340"/>
    </row>
    <row r="11" spans="1:90" ht="25.5" x14ac:dyDescent="0.2">
      <c r="A11" s="114"/>
      <c r="B11" s="110"/>
      <c r="C11" s="115" t="s">
        <v>26</v>
      </c>
      <c r="D11" s="101" t="s">
        <v>34</v>
      </c>
      <c r="E11" s="102" t="s">
        <v>16</v>
      </c>
      <c r="F11" s="341"/>
    </row>
    <row r="12" spans="1:90" ht="38.25" x14ac:dyDescent="0.2">
      <c r="A12" s="103" t="s">
        <v>30</v>
      </c>
      <c r="B12" s="103" t="s">
        <v>213</v>
      </c>
      <c r="C12" s="105" t="s">
        <v>32</v>
      </c>
      <c r="D12" s="106" t="s">
        <v>1</v>
      </c>
      <c r="E12" s="102" t="s">
        <v>9</v>
      </c>
      <c r="F12" s="339" t="s">
        <v>251</v>
      </c>
    </row>
    <row r="13" spans="1:90" ht="38.25" x14ac:dyDescent="0.2">
      <c r="A13" s="103"/>
      <c r="B13" s="109"/>
      <c r="C13" s="105" t="s">
        <v>211</v>
      </c>
      <c r="D13" s="106" t="s">
        <v>37</v>
      </c>
      <c r="E13" s="102" t="s">
        <v>192</v>
      </c>
      <c r="F13" s="340"/>
    </row>
    <row r="14" spans="1:90" ht="51" x14ac:dyDescent="0.2">
      <c r="A14" s="103"/>
      <c r="B14" s="109"/>
      <c r="C14" s="103" t="s">
        <v>212</v>
      </c>
      <c r="D14" s="106" t="s">
        <v>41</v>
      </c>
      <c r="E14" s="102" t="s">
        <v>192</v>
      </c>
      <c r="F14" s="340"/>
    </row>
    <row r="15" spans="1:90" ht="67.5" customHeight="1" x14ac:dyDescent="0.2">
      <c r="A15" s="111"/>
      <c r="B15" s="105" t="s">
        <v>39</v>
      </c>
      <c r="C15" s="115" t="s">
        <v>31</v>
      </c>
      <c r="D15" s="106" t="s">
        <v>209</v>
      </c>
      <c r="E15" s="102" t="s">
        <v>210</v>
      </c>
      <c r="F15" s="341"/>
    </row>
    <row r="16" spans="1:90" ht="54.75" customHeight="1" x14ac:dyDescent="0.2">
      <c r="A16" s="99" t="s">
        <v>277</v>
      </c>
      <c r="B16" s="117" t="s">
        <v>169</v>
      </c>
      <c r="C16" s="99" t="s">
        <v>35</v>
      </c>
      <c r="D16" s="101" t="s">
        <v>40</v>
      </c>
      <c r="E16" s="102" t="s">
        <v>7</v>
      </c>
      <c r="F16" s="339" t="s">
        <v>261</v>
      </c>
    </row>
    <row r="17" spans="1:6" ht="51" x14ac:dyDescent="0.2">
      <c r="A17" s="103"/>
      <c r="B17" s="86"/>
      <c r="C17" s="99" t="s">
        <v>42</v>
      </c>
      <c r="D17" s="101" t="s">
        <v>36</v>
      </c>
      <c r="E17" s="102" t="s">
        <v>7</v>
      </c>
      <c r="F17" s="342"/>
    </row>
    <row r="18" spans="1:6" ht="38.25" x14ac:dyDescent="0.2">
      <c r="A18" s="99" t="s">
        <v>29</v>
      </c>
      <c r="B18" s="112"/>
      <c r="C18" s="105" t="s">
        <v>3</v>
      </c>
      <c r="D18" s="106" t="s">
        <v>43</v>
      </c>
      <c r="E18" s="102" t="s">
        <v>8</v>
      </c>
      <c r="F18" s="339" t="s">
        <v>170</v>
      </c>
    </row>
    <row r="19" spans="1:6" ht="38.25" x14ac:dyDescent="0.2">
      <c r="A19" s="116"/>
      <c r="B19" s="110"/>
      <c r="C19" s="105" t="s">
        <v>10</v>
      </c>
      <c r="D19" s="106" t="s">
        <v>44</v>
      </c>
      <c r="E19" s="102" t="s">
        <v>8</v>
      </c>
      <c r="F19" s="341"/>
    </row>
  </sheetData>
  <mergeCells count="6">
    <mergeCell ref="F12:F15"/>
    <mergeCell ref="F18:F19"/>
    <mergeCell ref="F16:F17"/>
    <mergeCell ref="F2:F5"/>
    <mergeCell ref="F6:F8"/>
    <mergeCell ref="F9:F11"/>
  </mergeCells>
  <phoneticPr fontId="0" type="noConversion"/>
  <hyperlinks>
    <hyperlink ref="F2" location="'MRO Supply Chain Survey'!B1" display="MRO Supply Chain"/>
    <hyperlink ref="F6" location="'Workforce Mgmt Survey'!B2" display="Workforce Management"/>
    <hyperlink ref="F9" location="'IT Survey'!B2" display="I/T Survey"/>
    <hyperlink ref="F18" location="'Operating Risk Survey'!B2" display="Operating Risk Survey"/>
    <hyperlink ref="F12" location="'Capital Investment Survey'!B2" display="Capital Asset Survey"/>
    <hyperlink ref="F16" location="'Asset Productivity Survey'!B2" display="Asset Productivity Survey"/>
    <hyperlink ref="F2:F5" location="'MRO Supply Chain Survey'!B1" display="MRO Supply Chain Survey"/>
    <hyperlink ref="F6:F8" location="'Workforce Mgmt Survey'!B2" display="Workforce Management Survey"/>
  </hyperlinks>
  <pageMargins left="0.75" right="0.75" top="1" bottom="1" header="0.5" footer="0.5"/>
  <pageSetup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3:J31"/>
  <sheetViews>
    <sheetView tabSelected="1" zoomScale="65" workbookViewId="0">
      <selection activeCell="C35" sqref="C35"/>
    </sheetView>
  </sheetViews>
  <sheetFormatPr defaultRowHeight="12.75" x14ac:dyDescent="0.2"/>
  <cols>
    <col min="1" max="1" width="2.42578125" style="20" customWidth="1"/>
    <col min="2" max="2" width="15" style="20" customWidth="1"/>
    <col min="3" max="3" width="66.5703125" style="20" customWidth="1"/>
    <col min="4" max="4" width="12.7109375" style="20" bestFit="1" customWidth="1"/>
    <col min="5" max="7" width="9.140625" style="20"/>
    <col min="8" max="8" width="18.140625" style="20" bestFit="1" customWidth="1"/>
    <col min="9" max="10" width="16" style="20" bestFit="1" customWidth="1"/>
    <col min="11" max="16384" width="9.140625" style="20"/>
  </cols>
  <sheetData>
    <row r="3" spans="2:10" ht="15.75" x14ac:dyDescent="0.25">
      <c r="B3" s="347" t="s">
        <v>334</v>
      </c>
      <c r="C3" s="348"/>
      <c r="D3" s="327" t="s">
        <v>361</v>
      </c>
      <c r="E3" s="345" t="s">
        <v>360</v>
      </c>
      <c r="F3" s="345"/>
      <c r="G3" s="346"/>
      <c r="H3" s="349" t="s">
        <v>363</v>
      </c>
      <c r="I3" s="345"/>
      <c r="J3" s="346"/>
    </row>
    <row r="4" spans="2:10" x14ac:dyDescent="0.2">
      <c r="B4" s="316" t="s">
        <v>252</v>
      </c>
      <c r="C4" s="326" t="s">
        <v>253</v>
      </c>
      <c r="D4" s="309" t="s">
        <v>362</v>
      </c>
      <c r="E4" s="217" t="s">
        <v>357</v>
      </c>
      <c r="F4" s="217" t="s">
        <v>358</v>
      </c>
      <c r="G4" s="310" t="s">
        <v>359</v>
      </c>
      <c r="H4" s="310" t="s">
        <v>357</v>
      </c>
      <c r="I4" s="320" t="s">
        <v>358</v>
      </c>
      <c r="J4" s="321" t="s">
        <v>359</v>
      </c>
    </row>
    <row r="5" spans="2:10" s="120" customFormat="1" x14ac:dyDescent="0.2">
      <c r="B5" s="350" t="s">
        <v>21</v>
      </c>
      <c r="C5" s="167" t="s">
        <v>225</v>
      </c>
      <c r="D5" s="313">
        <f>'MRO Supply Chain Value'!F5</f>
        <v>0</v>
      </c>
      <c r="E5" s="307">
        <v>0.7</v>
      </c>
      <c r="F5" s="307">
        <v>0.9</v>
      </c>
      <c r="G5" s="307">
        <v>1</v>
      </c>
      <c r="H5" s="313">
        <f>D5*E5</f>
        <v>0</v>
      </c>
      <c r="I5" s="313">
        <f>F5*D5</f>
        <v>0</v>
      </c>
      <c r="J5" s="318">
        <f>G5*D5</f>
        <v>0</v>
      </c>
    </row>
    <row r="6" spans="2:10" s="120" customFormat="1" x14ac:dyDescent="0.2">
      <c r="B6" s="351"/>
      <c r="C6" s="177" t="s">
        <v>94</v>
      </c>
      <c r="D6" s="314">
        <f>'MRO Supply Chain Value'!F6</f>
        <v>2295000</v>
      </c>
      <c r="E6" s="308">
        <v>0.9</v>
      </c>
      <c r="F6" s="308">
        <v>0.1</v>
      </c>
      <c r="G6" s="308">
        <v>0</v>
      </c>
      <c r="H6" s="314">
        <f t="shared" ref="H6:H20" si="0">D6*E6</f>
        <v>2065500</v>
      </c>
      <c r="I6" s="314">
        <f t="shared" ref="I6:I20" si="1">F6*D6</f>
        <v>229500</v>
      </c>
      <c r="J6" s="123">
        <f t="shared" ref="J6:J20" si="2">G6*D6</f>
        <v>0</v>
      </c>
    </row>
    <row r="7" spans="2:10" s="120" customFormat="1" x14ac:dyDescent="0.2">
      <c r="B7" s="351"/>
      <c r="C7" s="177" t="s">
        <v>227</v>
      </c>
      <c r="D7" s="314">
        <f>'MRO Supply Chain Value'!F8</f>
        <v>765000</v>
      </c>
      <c r="E7" s="308">
        <f>E6</f>
        <v>0.9</v>
      </c>
      <c r="F7" s="308">
        <v>1</v>
      </c>
      <c r="G7" s="308">
        <v>1</v>
      </c>
      <c r="H7" s="314">
        <f t="shared" si="0"/>
        <v>688500</v>
      </c>
      <c r="I7" s="314">
        <f t="shared" si="1"/>
        <v>765000</v>
      </c>
      <c r="J7" s="123">
        <f t="shared" si="2"/>
        <v>765000</v>
      </c>
    </row>
    <row r="8" spans="2:10" x14ac:dyDescent="0.2">
      <c r="B8" s="352"/>
      <c r="C8" s="169" t="s">
        <v>306</v>
      </c>
      <c r="D8" s="314">
        <f>'MRO Supply Chain Value'!F7</f>
        <v>425568</v>
      </c>
      <c r="E8" s="311">
        <v>1</v>
      </c>
      <c r="F8" s="311">
        <v>1</v>
      </c>
      <c r="G8" s="311">
        <v>1</v>
      </c>
      <c r="H8" s="314">
        <f t="shared" si="0"/>
        <v>425568</v>
      </c>
      <c r="I8" s="314">
        <f t="shared" si="1"/>
        <v>425568</v>
      </c>
      <c r="J8" s="123">
        <f t="shared" si="2"/>
        <v>425568</v>
      </c>
    </row>
    <row r="9" spans="2:10" s="120" customFormat="1" x14ac:dyDescent="0.2">
      <c r="B9" s="350" t="s">
        <v>100</v>
      </c>
      <c r="C9" s="148" t="s">
        <v>132</v>
      </c>
      <c r="D9" s="313">
        <f>'Workforce Mgmt Value'!F6</f>
        <v>295680</v>
      </c>
      <c r="E9" s="328">
        <v>1</v>
      </c>
      <c r="F9" s="328">
        <v>1</v>
      </c>
      <c r="G9" s="328">
        <v>1</v>
      </c>
      <c r="H9" s="313">
        <f t="shared" si="0"/>
        <v>295680</v>
      </c>
      <c r="I9" s="313">
        <f t="shared" si="1"/>
        <v>295680</v>
      </c>
      <c r="J9" s="318">
        <f t="shared" si="2"/>
        <v>295680</v>
      </c>
    </row>
    <row r="10" spans="2:10" x14ac:dyDescent="0.2">
      <c r="B10" s="353"/>
      <c r="C10" s="154" t="s">
        <v>307</v>
      </c>
      <c r="D10" s="315">
        <f>'Workforce Mgmt Value'!F5</f>
        <v>2912000</v>
      </c>
      <c r="E10" s="312">
        <v>1</v>
      </c>
      <c r="F10" s="312">
        <v>1</v>
      </c>
      <c r="G10" s="312">
        <v>1</v>
      </c>
      <c r="H10" s="315">
        <f t="shared" si="0"/>
        <v>2912000</v>
      </c>
      <c r="I10" s="315">
        <f t="shared" si="1"/>
        <v>2912000</v>
      </c>
      <c r="J10" s="319">
        <f t="shared" si="2"/>
        <v>2912000</v>
      </c>
    </row>
    <row r="11" spans="2:10" s="120" customFormat="1" x14ac:dyDescent="0.2">
      <c r="B11" s="350" t="s">
        <v>30</v>
      </c>
      <c r="C11" s="317" t="s">
        <v>256</v>
      </c>
      <c r="D11" s="313">
        <f>'Capital Investment Value'!F5</f>
        <v>28569</v>
      </c>
      <c r="E11" s="328">
        <v>1</v>
      </c>
      <c r="F11" s="328">
        <v>1</v>
      </c>
      <c r="G11" s="328">
        <v>1</v>
      </c>
      <c r="H11" s="313">
        <f t="shared" si="0"/>
        <v>28569</v>
      </c>
      <c r="I11" s="313">
        <f t="shared" si="1"/>
        <v>28569</v>
      </c>
      <c r="J11" s="318">
        <f t="shared" si="2"/>
        <v>28569</v>
      </c>
    </row>
    <row r="12" spans="2:10" x14ac:dyDescent="0.2">
      <c r="B12" s="351"/>
      <c r="C12" s="122" t="s">
        <v>216</v>
      </c>
      <c r="D12" s="314">
        <f>'Capital Investment Value'!F6</f>
        <v>5406.25</v>
      </c>
      <c r="E12" s="311">
        <v>1</v>
      </c>
      <c r="F12" s="311">
        <v>1</v>
      </c>
      <c r="G12" s="311">
        <v>1</v>
      </c>
      <c r="H12" s="314">
        <f t="shared" si="0"/>
        <v>5406.25</v>
      </c>
      <c r="I12" s="314">
        <f t="shared" si="1"/>
        <v>5406.25</v>
      </c>
      <c r="J12" s="123">
        <f t="shared" si="2"/>
        <v>5406.25</v>
      </c>
    </row>
    <row r="13" spans="2:10" x14ac:dyDescent="0.2">
      <c r="B13" s="351"/>
      <c r="C13" s="122" t="s">
        <v>284</v>
      </c>
      <c r="D13" s="314">
        <f>'Capital Investment Value'!F7</f>
        <v>54062.5</v>
      </c>
      <c r="E13" s="311">
        <v>1</v>
      </c>
      <c r="F13" s="311">
        <v>0</v>
      </c>
      <c r="G13" s="311">
        <v>0</v>
      </c>
      <c r="H13" s="314">
        <f t="shared" si="0"/>
        <v>54062.5</v>
      </c>
      <c r="I13" s="314">
        <f t="shared" si="1"/>
        <v>0</v>
      </c>
      <c r="J13" s="123">
        <f t="shared" si="2"/>
        <v>0</v>
      </c>
    </row>
    <row r="14" spans="2:10" x14ac:dyDescent="0.2">
      <c r="B14" s="351"/>
      <c r="C14" s="122" t="s">
        <v>218</v>
      </c>
      <c r="D14" s="314">
        <f>'Capital Investment Value'!F8</f>
        <v>21120</v>
      </c>
      <c r="E14" s="311">
        <v>1</v>
      </c>
      <c r="F14" s="311">
        <v>1</v>
      </c>
      <c r="G14" s="311">
        <v>1</v>
      </c>
      <c r="H14" s="314">
        <f t="shared" si="0"/>
        <v>21120</v>
      </c>
      <c r="I14" s="314">
        <f t="shared" si="1"/>
        <v>21120</v>
      </c>
      <c r="J14" s="123">
        <f t="shared" si="2"/>
        <v>21120</v>
      </c>
    </row>
    <row r="15" spans="2:10" x14ac:dyDescent="0.2">
      <c r="B15" s="351"/>
      <c r="C15" s="122" t="s">
        <v>308</v>
      </c>
      <c r="D15" s="314">
        <f>'Capital Investment Value'!F9</f>
        <v>18592</v>
      </c>
      <c r="E15" s="311">
        <v>1</v>
      </c>
      <c r="F15" s="311">
        <v>1</v>
      </c>
      <c r="G15" s="311">
        <v>1</v>
      </c>
      <c r="H15" s="314">
        <f t="shared" si="0"/>
        <v>18592</v>
      </c>
      <c r="I15" s="314">
        <f t="shared" si="1"/>
        <v>18592</v>
      </c>
      <c r="J15" s="123">
        <f t="shared" si="2"/>
        <v>18592</v>
      </c>
    </row>
    <row r="16" spans="2:10" x14ac:dyDescent="0.2">
      <c r="B16" s="354" t="s">
        <v>255</v>
      </c>
      <c r="C16" s="167" t="s">
        <v>309</v>
      </c>
      <c r="D16" s="313">
        <f>'IT Value'!F5</f>
        <v>0</v>
      </c>
      <c r="E16" s="328">
        <v>1</v>
      </c>
      <c r="F16" s="328">
        <v>1</v>
      </c>
      <c r="G16" s="328">
        <v>1</v>
      </c>
      <c r="H16" s="313">
        <f t="shared" si="0"/>
        <v>0</v>
      </c>
      <c r="I16" s="313">
        <f t="shared" si="1"/>
        <v>0</v>
      </c>
      <c r="J16" s="318">
        <f t="shared" si="2"/>
        <v>0</v>
      </c>
    </row>
    <row r="17" spans="2:10" x14ac:dyDescent="0.2">
      <c r="B17" s="351"/>
      <c r="C17" s="177" t="s">
        <v>310</v>
      </c>
      <c r="D17" s="314">
        <f>'IT Value'!F6</f>
        <v>0</v>
      </c>
      <c r="E17" s="311">
        <v>1</v>
      </c>
      <c r="F17" s="311">
        <v>1</v>
      </c>
      <c r="G17" s="311">
        <v>1</v>
      </c>
      <c r="H17" s="314">
        <f t="shared" si="0"/>
        <v>0</v>
      </c>
      <c r="I17" s="314">
        <f t="shared" si="1"/>
        <v>0</v>
      </c>
      <c r="J17" s="123">
        <f t="shared" si="2"/>
        <v>0</v>
      </c>
    </row>
    <row r="18" spans="2:10" x14ac:dyDescent="0.2">
      <c r="B18" s="351"/>
      <c r="C18" s="177" t="s">
        <v>311</v>
      </c>
      <c r="D18" s="314">
        <f>'IT Value'!F7</f>
        <v>327600</v>
      </c>
      <c r="E18" s="311">
        <v>1</v>
      </c>
      <c r="F18" s="311">
        <v>1</v>
      </c>
      <c r="G18" s="311">
        <v>1</v>
      </c>
      <c r="H18" s="314">
        <f t="shared" si="0"/>
        <v>327600</v>
      </c>
      <c r="I18" s="314">
        <f t="shared" si="1"/>
        <v>327600</v>
      </c>
      <c r="J18" s="123">
        <f t="shared" si="2"/>
        <v>327600</v>
      </c>
    </row>
    <row r="19" spans="2:10" x14ac:dyDescent="0.2">
      <c r="B19" s="351"/>
      <c r="C19" s="177" t="s">
        <v>235</v>
      </c>
      <c r="D19" s="314">
        <f>'IT Value'!F8</f>
        <v>28569</v>
      </c>
      <c r="E19" s="311">
        <v>1</v>
      </c>
      <c r="F19" s="311">
        <v>1</v>
      </c>
      <c r="G19" s="311">
        <v>1</v>
      </c>
      <c r="H19" s="314">
        <f t="shared" si="0"/>
        <v>28569</v>
      </c>
      <c r="I19" s="314">
        <f t="shared" si="1"/>
        <v>28569</v>
      </c>
      <c r="J19" s="123">
        <f t="shared" si="2"/>
        <v>28569</v>
      </c>
    </row>
    <row r="20" spans="2:10" x14ac:dyDescent="0.2">
      <c r="B20" s="352"/>
      <c r="C20" s="169" t="s">
        <v>236</v>
      </c>
      <c r="D20" s="315">
        <f>'IT Value'!F9</f>
        <v>0.01</v>
      </c>
      <c r="E20" s="312">
        <v>1</v>
      </c>
      <c r="F20" s="312">
        <v>1</v>
      </c>
      <c r="G20" s="312">
        <v>1</v>
      </c>
      <c r="H20" s="315">
        <f t="shared" si="0"/>
        <v>0.01</v>
      </c>
      <c r="I20" s="315">
        <f t="shared" si="1"/>
        <v>0.01</v>
      </c>
      <c r="J20" s="319">
        <f t="shared" si="2"/>
        <v>0.01</v>
      </c>
    </row>
    <row r="21" spans="2:10" s="120" customFormat="1" x14ac:dyDescent="0.2">
      <c r="B21" s="355" t="s">
        <v>277</v>
      </c>
      <c r="C21" s="305" t="str">
        <f>'Asset Productivity Value'!B5</f>
        <v>Reduce Planned Downtime</v>
      </c>
      <c r="D21" s="314">
        <f>'Asset Productivity Value'!F5</f>
        <v>5779.4117999999999</v>
      </c>
      <c r="E21" s="311">
        <v>1</v>
      </c>
      <c r="F21" s="311">
        <v>1</v>
      </c>
      <c r="G21" s="311">
        <v>1</v>
      </c>
      <c r="H21" s="314">
        <f>D21*E21</f>
        <v>5779.4117999999999</v>
      </c>
      <c r="I21" s="314">
        <f>F21*D21</f>
        <v>5779.4117999999999</v>
      </c>
      <c r="J21" s="123">
        <f>G21*D21</f>
        <v>5779.4117999999999</v>
      </c>
    </row>
    <row r="22" spans="2:10" s="120" customFormat="1" x14ac:dyDescent="0.2">
      <c r="B22" s="352"/>
      <c r="C22" s="306" t="str">
        <f>'Asset Productivity Value'!B6</f>
        <v>Reduce Unplanned Downtime</v>
      </c>
      <c r="D22" s="315">
        <f>'Asset Productivity Value'!F6</f>
        <v>25044.1178</v>
      </c>
      <c r="E22" s="312">
        <v>1</v>
      </c>
      <c r="F22" s="312">
        <v>1</v>
      </c>
      <c r="G22" s="312">
        <v>1</v>
      </c>
      <c r="H22" s="315">
        <f>D22*E22</f>
        <v>25044.1178</v>
      </c>
      <c r="I22" s="315">
        <f>F22*D22</f>
        <v>25044.1178</v>
      </c>
      <c r="J22" s="319">
        <f>G22*D22</f>
        <v>25044.1178</v>
      </c>
    </row>
    <row r="23" spans="2:10" x14ac:dyDescent="0.2">
      <c r="B23" s="331" t="s">
        <v>29</v>
      </c>
      <c r="C23" s="100" t="s">
        <v>257</v>
      </c>
      <c r="D23" s="313">
        <f>'Operating Risk Value'!F5</f>
        <v>195097.2</v>
      </c>
      <c r="E23" s="328">
        <v>1</v>
      </c>
      <c r="F23" s="328">
        <v>1</v>
      </c>
      <c r="G23" s="328">
        <v>1</v>
      </c>
      <c r="H23" s="313">
        <f>D23*E23</f>
        <v>195097.2</v>
      </c>
      <c r="I23" s="313">
        <f>F23*D23</f>
        <v>195097.2</v>
      </c>
      <c r="J23" s="318">
        <f>G23*D23</f>
        <v>195097.2</v>
      </c>
    </row>
    <row r="24" spans="2:10" x14ac:dyDescent="0.2">
      <c r="B24" s="332"/>
      <c r="C24" s="104" t="s">
        <v>258</v>
      </c>
      <c r="D24" s="314">
        <f>'Operating Risk Value'!F6</f>
        <v>85</v>
      </c>
      <c r="E24" s="311">
        <v>1</v>
      </c>
      <c r="F24" s="311">
        <v>1</v>
      </c>
      <c r="G24" s="311">
        <v>1</v>
      </c>
      <c r="H24" s="314">
        <f>D24*E24</f>
        <v>85</v>
      </c>
      <c r="I24" s="314">
        <f>F24*D24</f>
        <v>85</v>
      </c>
      <c r="J24" s="123">
        <f>G24*D24</f>
        <v>85</v>
      </c>
    </row>
    <row r="25" spans="2:10" x14ac:dyDescent="0.2">
      <c r="B25" s="333"/>
      <c r="C25" s="278" t="s">
        <v>260</v>
      </c>
      <c r="D25" s="315">
        <f>'Operating Risk Value'!F7</f>
        <v>9.0000000000000011E-3</v>
      </c>
      <c r="E25" s="312">
        <v>1</v>
      </c>
      <c r="F25" s="312">
        <v>1</v>
      </c>
      <c r="G25" s="312">
        <v>1</v>
      </c>
      <c r="H25" s="315">
        <f>D25*E25</f>
        <v>9.0000000000000011E-3</v>
      </c>
      <c r="I25" s="315">
        <f>F25*D25</f>
        <v>9.0000000000000011E-3</v>
      </c>
      <c r="J25" s="319">
        <f>G25*D25</f>
        <v>9.0000000000000011E-3</v>
      </c>
    </row>
    <row r="26" spans="2:10" s="120" customFormat="1" ht="7.5" customHeight="1" x14ac:dyDescent="0.2">
      <c r="B26" s="119"/>
      <c r="C26" s="119"/>
      <c r="D26" s="119"/>
    </row>
    <row r="27" spans="2:10" s="120" customFormat="1" ht="15.75" x14ac:dyDescent="0.25">
      <c r="B27" s="303" t="s">
        <v>364</v>
      </c>
      <c r="C27" s="119"/>
      <c r="D27" s="323"/>
      <c r="H27" s="304">
        <f>SUM(H5:H25)</f>
        <v>7097172.4985999996</v>
      </c>
      <c r="I27" s="304">
        <f>SUM(I5:I25)</f>
        <v>5283609.9985999996</v>
      </c>
      <c r="J27" s="304">
        <f>SUM(J5:J25)</f>
        <v>5054109.9985999996</v>
      </c>
    </row>
    <row r="28" spans="2:10" ht="15.75" x14ac:dyDescent="0.25">
      <c r="B28" s="37" t="s">
        <v>365</v>
      </c>
      <c r="C28" s="37"/>
      <c r="D28" s="304"/>
      <c r="H28" s="322">
        <f>H27/1.1</f>
        <v>6451974.9987272723</v>
      </c>
      <c r="I28" s="322">
        <f>I27/(1.1)^(2)</f>
        <v>4366619.8335537184</v>
      </c>
      <c r="J28" s="322">
        <f>J27/(1.1)^(3)</f>
        <v>3797227.6473328308</v>
      </c>
    </row>
    <row r="29" spans="2:10" ht="18" x14ac:dyDescent="0.2">
      <c r="B29" s="324" t="s">
        <v>366</v>
      </c>
      <c r="D29" s="37"/>
      <c r="H29" s="325">
        <f>SUM(H28:J28)</f>
        <v>14615822.47961382</v>
      </c>
    </row>
    <row r="31" spans="2:10" x14ac:dyDescent="0.2">
      <c r="B31" s="37" t="s">
        <v>316</v>
      </c>
    </row>
  </sheetData>
  <mergeCells count="8">
    <mergeCell ref="B16:B20"/>
    <mergeCell ref="B21:B22"/>
    <mergeCell ref="E3:G3"/>
    <mergeCell ref="B3:C3"/>
    <mergeCell ref="H3:J3"/>
    <mergeCell ref="B5:B8"/>
    <mergeCell ref="B9:B10"/>
    <mergeCell ref="B11:B15"/>
  </mergeCells>
  <phoneticPr fontId="0" type="noConversion"/>
  <pageMargins left="0.75" right="0.75" top="1" bottom="1" header="0.5" footer="0.5"/>
  <pageSetup scale="71"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48"/>
  <sheetViews>
    <sheetView zoomScale="65" workbookViewId="0">
      <selection activeCell="B22" sqref="B22"/>
    </sheetView>
  </sheetViews>
  <sheetFormatPr defaultRowHeight="12.75" x14ac:dyDescent="0.2"/>
  <cols>
    <col min="1" max="1" width="2.85546875" style="42" customWidth="1"/>
    <col min="2" max="2" width="74.5703125" style="42" customWidth="1"/>
    <col min="3" max="3" width="16.42578125" style="94" bestFit="1" customWidth="1"/>
    <col min="4" max="4" width="17.7109375" style="95" customWidth="1"/>
    <col min="5" max="5" width="16.42578125" style="42" bestFit="1" customWidth="1"/>
    <col min="6" max="6" width="4" style="42" customWidth="1"/>
    <col min="7" max="7" width="15.85546875" style="20" bestFit="1" customWidth="1"/>
    <col min="8" max="8" width="15.28515625" style="20" bestFit="1" customWidth="1"/>
    <col min="9" max="9" width="3.28515625" style="20" customWidth="1"/>
    <col min="10" max="10" width="16.7109375" style="20" bestFit="1" customWidth="1"/>
    <col min="11" max="12" width="1.85546875" style="20" customWidth="1"/>
    <col min="13" max="13" width="3.140625" style="20" customWidth="1"/>
    <col min="14" max="14" width="33.85546875" style="20" bestFit="1" customWidth="1"/>
    <col min="15" max="15" width="11.28515625" style="20" bestFit="1" customWidth="1"/>
    <col min="16" max="16" width="1.85546875" style="20" customWidth="1"/>
    <col min="17" max="19" width="9.140625" style="20"/>
    <col min="20" max="16384" width="9.140625" style="42"/>
  </cols>
  <sheetData>
    <row r="1" spans="2:5" x14ac:dyDescent="0.2">
      <c r="C1" s="71"/>
      <c r="D1" s="72"/>
    </row>
    <row r="2" spans="2:5" ht="18" x14ac:dyDescent="0.2">
      <c r="B2" s="356" t="s">
        <v>367</v>
      </c>
      <c r="C2" s="357"/>
      <c r="D2" s="357"/>
      <c r="E2" s="358"/>
    </row>
    <row r="3" spans="2:5" x14ac:dyDescent="0.2">
      <c r="B3" s="96"/>
      <c r="C3" s="44" t="s">
        <v>297</v>
      </c>
      <c r="D3" s="45" t="s">
        <v>314</v>
      </c>
      <c r="E3" s="46" t="s">
        <v>315</v>
      </c>
    </row>
    <row r="4" spans="2:5" x14ac:dyDescent="0.2">
      <c r="B4" s="74" t="s">
        <v>280</v>
      </c>
      <c r="C4" s="48">
        <f>'General Financial Info Survey'!C4</f>
        <v>16375000</v>
      </c>
      <c r="D4" s="75"/>
      <c r="E4" s="76" t="e">
        <f>C4+SUM(D5:D7)</f>
        <v>#REF!</v>
      </c>
    </row>
    <row r="5" spans="2:5" x14ac:dyDescent="0.2">
      <c r="B5" s="77" t="s">
        <v>268</v>
      </c>
      <c r="C5" s="75"/>
      <c r="D5" s="78">
        <f>'Value Summary'!H21</f>
        <v>5779.4117999999999</v>
      </c>
      <c r="E5" s="79"/>
    </row>
    <row r="6" spans="2:5" x14ac:dyDescent="0.2">
      <c r="B6" s="77" t="s">
        <v>278</v>
      </c>
      <c r="C6" s="75"/>
      <c r="D6" s="78">
        <f>'Value Summary'!H22</f>
        <v>25044.1178</v>
      </c>
      <c r="E6" s="79"/>
    </row>
    <row r="7" spans="2:5" x14ac:dyDescent="0.2">
      <c r="B7" s="80" t="s">
        <v>259</v>
      </c>
      <c r="C7" s="75"/>
      <c r="D7" s="78" t="e">
        <f>'Value Summary'!#REF!</f>
        <v>#REF!</v>
      </c>
      <c r="E7" s="79"/>
    </row>
    <row r="8" spans="2:5" x14ac:dyDescent="0.2">
      <c r="B8" s="74" t="s">
        <v>291</v>
      </c>
      <c r="C8" s="71">
        <f>C4-C9</f>
        <v>-2889706</v>
      </c>
      <c r="D8" s="75"/>
      <c r="E8" s="81" t="e">
        <f>(C8/C4)*E4</f>
        <v>#REF!</v>
      </c>
    </row>
    <row r="9" spans="2:5" x14ac:dyDescent="0.2">
      <c r="B9" s="74" t="s">
        <v>281</v>
      </c>
      <c r="C9" s="71">
        <f>'General Financial Info Survey'!C6</f>
        <v>19264706</v>
      </c>
      <c r="D9" s="75"/>
      <c r="E9" s="81" t="e">
        <f>E4-E8</f>
        <v>#REF!</v>
      </c>
    </row>
    <row r="10" spans="2:5" x14ac:dyDescent="0.2">
      <c r="B10" s="74" t="s">
        <v>298</v>
      </c>
      <c r="C10" s="71">
        <f>C9-C28</f>
        <v>2889706</v>
      </c>
      <c r="D10" s="75"/>
      <c r="E10" s="81" t="e">
        <f>C10+SUM(D11:D27)</f>
        <v>#REF!</v>
      </c>
    </row>
    <row r="11" spans="2:5" x14ac:dyDescent="0.2">
      <c r="B11" s="82" t="s">
        <v>225</v>
      </c>
      <c r="C11" s="75"/>
      <c r="D11" s="78">
        <f>-'Value Summary'!H5</f>
        <v>0</v>
      </c>
      <c r="E11" s="79"/>
    </row>
    <row r="12" spans="2:5" x14ac:dyDescent="0.2">
      <c r="B12" s="64" t="s">
        <v>94</v>
      </c>
      <c r="C12" s="75"/>
      <c r="D12" s="78">
        <f>-'Value Summary'!H6</f>
        <v>-2065500</v>
      </c>
      <c r="E12" s="79"/>
    </row>
    <row r="13" spans="2:5" x14ac:dyDescent="0.2">
      <c r="B13" s="82" t="s">
        <v>306</v>
      </c>
      <c r="C13" s="75"/>
      <c r="D13" s="78">
        <f>-'Value Summary'!H8</f>
        <v>-425568</v>
      </c>
      <c r="E13" s="79"/>
    </row>
    <row r="14" spans="2:5" x14ac:dyDescent="0.2">
      <c r="B14" s="82" t="s">
        <v>313</v>
      </c>
      <c r="C14" s="75"/>
      <c r="D14" s="78">
        <f>-'Value Summary'!H9</f>
        <v>-295680</v>
      </c>
      <c r="E14" s="79"/>
    </row>
    <row r="15" spans="2:5" x14ac:dyDescent="0.2">
      <c r="B15" s="82" t="s">
        <v>307</v>
      </c>
      <c r="C15" s="75"/>
      <c r="D15" s="78">
        <f>-'Value Summary'!H10</f>
        <v>-2912000</v>
      </c>
      <c r="E15" s="79"/>
    </row>
    <row r="16" spans="2:5" x14ac:dyDescent="0.2">
      <c r="B16" s="82" t="s">
        <v>256</v>
      </c>
      <c r="C16" s="75"/>
      <c r="D16" s="78">
        <f>-'Value Summary'!H11</f>
        <v>-28569</v>
      </c>
      <c r="E16" s="79"/>
    </row>
    <row r="17" spans="2:5" x14ac:dyDescent="0.2">
      <c r="B17" s="82" t="s">
        <v>216</v>
      </c>
      <c r="C17" s="75"/>
      <c r="D17" s="78">
        <f>-'Value Summary'!H12</f>
        <v>-5406.25</v>
      </c>
      <c r="E17" s="79"/>
    </row>
    <row r="18" spans="2:5" x14ac:dyDescent="0.2">
      <c r="B18" s="82" t="s">
        <v>284</v>
      </c>
      <c r="C18" s="75"/>
      <c r="D18" s="78">
        <f>-'Value Summary'!H13</f>
        <v>-54062.5</v>
      </c>
      <c r="E18" s="79"/>
    </row>
    <row r="19" spans="2:5" x14ac:dyDescent="0.2">
      <c r="B19" s="82" t="s">
        <v>218</v>
      </c>
      <c r="C19" s="75"/>
      <c r="D19" s="78">
        <f>-'Value Summary'!H14</f>
        <v>-21120</v>
      </c>
      <c r="E19" s="79"/>
    </row>
    <row r="20" spans="2:5" x14ac:dyDescent="0.2">
      <c r="B20" s="82" t="s">
        <v>308</v>
      </c>
      <c r="C20" s="75"/>
      <c r="D20" s="78">
        <f>-'Value Summary'!H15</f>
        <v>-18592</v>
      </c>
      <c r="E20" s="79"/>
    </row>
    <row r="21" spans="2:5" x14ac:dyDescent="0.2">
      <c r="B21" s="82" t="s">
        <v>257</v>
      </c>
      <c r="C21" s="75"/>
      <c r="D21" s="78" t="e">
        <f>-'Value Summary'!#REF!</f>
        <v>#REF!</v>
      </c>
      <c r="E21" s="79"/>
    </row>
    <row r="22" spans="2:5" x14ac:dyDescent="0.2">
      <c r="B22" s="82" t="s">
        <v>258</v>
      </c>
      <c r="C22" s="75"/>
      <c r="D22" s="78" t="e">
        <f>-'Value Summary'!#REF!</f>
        <v>#REF!</v>
      </c>
      <c r="E22" s="79"/>
    </row>
    <row r="23" spans="2:5" x14ac:dyDescent="0.2">
      <c r="B23" s="82" t="s">
        <v>309</v>
      </c>
      <c r="C23" s="75"/>
      <c r="D23" s="78">
        <f>-'Value Summary'!H16</f>
        <v>0</v>
      </c>
      <c r="E23" s="79"/>
    </row>
    <row r="24" spans="2:5" x14ac:dyDescent="0.2">
      <c r="B24" s="82" t="s">
        <v>310</v>
      </c>
      <c r="C24" s="75"/>
      <c r="D24" s="78">
        <f>-'Value Summary'!H17</f>
        <v>0</v>
      </c>
      <c r="E24" s="79"/>
    </row>
    <row r="25" spans="2:5" x14ac:dyDescent="0.2">
      <c r="B25" s="82" t="s">
        <v>311</v>
      </c>
      <c r="C25" s="75"/>
      <c r="D25" s="78">
        <f>-'Value Summary'!H18</f>
        <v>-327600</v>
      </c>
      <c r="E25" s="79"/>
    </row>
    <row r="26" spans="2:5" x14ac:dyDescent="0.2">
      <c r="B26" s="82" t="s">
        <v>235</v>
      </c>
      <c r="C26" s="75"/>
      <c r="D26" s="78">
        <f>-'Value Summary'!H19</f>
        <v>-28569</v>
      </c>
      <c r="E26" s="79"/>
    </row>
    <row r="27" spans="2:5" x14ac:dyDescent="0.2">
      <c r="B27" s="82" t="s">
        <v>236</v>
      </c>
      <c r="C27" s="75"/>
      <c r="D27" s="78">
        <f>-'Value Summary'!H20</f>
        <v>-0.01</v>
      </c>
      <c r="E27" s="79"/>
    </row>
    <row r="28" spans="2:5" x14ac:dyDescent="0.2">
      <c r="B28" s="74" t="s">
        <v>282</v>
      </c>
      <c r="C28" s="71">
        <f>'General Financial Info Survey'!C8</f>
        <v>16375000</v>
      </c>
      <c r="D28" s="329" t="e">
        <f>E28-C28</f>
        <v>#REF!</v>
      </c>
      <c r="E28" s="81" t="e">
        <f>E9-E10</f>
        <v>#REF!</v>
      </c>
    </row>
    <row r="29" spans="2:5" x14ac:dyDescent="0.2">
      <c r="B29" s="74" t="s">
        <v>299</v>
      </c>
      <c r="C29" s="71">
        <f>C28-C31</f>
        <v>0</v>
      </c>
      <c r="D29" s="75"/>
      <c r="E29" s="81">
        <f>C29+D30</f>
        <v>-688500</v>
      </c>
    </row>
    <row r="30" spans="2:5" x14ac:dyDescent="0.2">
      <c r="B30" s="82" t="s">
        <v>312</v>
      </c>
      <c r="C30" s="75"/>
      <c r="D30" s="78">
        <f>-'Value Summary'!H7</f>
        <v>-688500</v>
      </c>
      <c r="E30" s="79"/>
    </row>
    <row r="31" spans="2:5" x14ac:dyDescent="0.2">
      <c r="B31" s="74" t="s">
        <v>295</v>
      </c>
      <c r="C31" s="71">
        <f>'General Financial Info Survey'!C10</f>
        <v>16375000</v>
      </c>
      <c r="D31" s="329" t="e">
        <f>E31-C31</f>
        <v>#REF!</v>
      </c>
      <c r="E31" s="83" t="e">
        <f>E28-E29</f>
        <v>#REF!</v>
      </c>
    </row>
    <row r="32" spans="2:5" x14ac:dyDescent="0.2">
      <c r="B32" s="74" t="s">
        <v>296</v>
      </c>
      <c r="C32" s="71">
        <f>-(C31-C33)</f>
        <v>0</v>
      </c>
      <c r="D32" s="329" t="e">
        <f>E32-C32</f>
        <v>#REF!</v>
      </c>
      <c r="E32" s="81" t="e">
        <f>(C32/C31)*E31</f>
        <v>#REF!</v>
      </c>
    </row>
    <row r="33" spans="2:5" ht="15.75" x14ac:dyDescent="0.2">
      <c r="B33" s="84" t="s">
        <v>283</v>
      </c>
      <c r="C33" s="48">
        <f>'General Financial Info Survey'!C12</f>
        <v>16375000</v>
      </c>
      <c r="D33" s="49" t="e">
        <f>E33-C33</f>
        <v>#REF!</v>
      </c>
      <c r="E33" s="85" t="e">
        <f>E31+E32</f>
        <v>#REF!</v>
      </c>
    </row>
    <row r="34" spans="2:5" x14ac:dyDescent="0.2">
      <c r="B34" s="73"/>
      <c r="C34" s="86"/>
      <c r="D34" s="86"/>
      <c r="E34" s="87"/>
    </row>
    <row r="35" spans="2:5" x14ac:dyDescent="0.2">
      <c r="B35" s="36" t="s">
        <v>316</v>
      </c>
      <c r="C35" s="86"/>
      <c r="D35" s="86"/>
      <c r="E35" s="87"/>
    </row>
    <row r="36" spans="2:5" x14ac:dyDescent="0.2">
      <c r="B36" s="88"/>
      <c r="C36" s="89"/>
      <c r="D36" s="90"/>
      <c r="E36" s="91"/>
    </row>
    <row r="39" spans="2:5" x14ac:dyDescent="0.2">
      <c r="C39" s="42"/>
      <c r="D39" s="92"/>
    </row>
    <row r="40" spans="2:5" x14ac:dyDescent="0.2">
      <c r="C40" s="42"/>
      <c r="D40" s="92"/>
    </row>
    <row r="41" spans="2:5" x14ac:dyDescent="0.2">
      <c r="C41" s="42"/>
      <c r="D41" s="92"/>
    </row>
    <row r="42" spans="2:5" ht="15" x14ac:dyDescent="0.2">
      <c r="C42" s="42"/>
      <c r="D42" s="93"/>
    </row>
    <row r="43" spans="2:5" ht="15" x14ac:dyDescent="0.2">
      <c r="C43" s="42"/>
      <c r="D43" s="93"/>
    </row>
    <row r="44" spans="2:5" x14ac:dyDescent="0.2">
      <c r="C44" s="42"/>
      <c r="D44" s="92"/>
    </row>
    <row r="45" spans="2:5" x14ac:dyDescent="0.2">
      <c r="C45" s="42"/>
      <c r="D45" s="92"/>
    </row>
    <row r="46" spans="2:5" x14ac:dyDescent="0.2">
      <c r="C46" s="42"/>
      <c r="D46" s="92"/>
    </row>
    <row r="47" spans="2:5" ht="15" x14ac:dyDescent="0.2">
      <c r="C47" s="42"/>
      <c r="D47" s="93"/>
    </row>
    <row r="48" spans="2:5" ht="15" x14ac:dyDescent="0.2">
      <c r="C48" s="42"/>
      <c r="D48" s="93"/>
    </row>
  </sheetData>
  <mergeCells count="1">
    <mergeCell ref="B2:E2"/>
  </mergeCells>
  <phoneticPr fontId="0" type="noConversion"/>
  <pageMargins left="0.75" right="0.75" top="1" bottom="1" header="0.5" footer="0.5"/>
  <pageSetup scale="72"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E46"/>
  <sheetViews>
    <sheetView topLeftCell="A22" zoomScale="75" workbookViewId="0">
      <selection activeCell="B18" sqref="B18"/>
    </sheetView>
  </sheetViews>
  <sheetFormatPr defaultRowHeight="12.75" x14ac:dyDescent="0.2"/>
  <cols>
    <col min="1" max="1" width="3.7109375" style="20" customWidth="1"/>
    <col min="2" max="2" width="67.85546875" style="20" customWidth="1"/>
    <col min="3" max="3" width="19.85546875" style="20" customWidth="1"/>
    <col min="4" max="4" width="18" style="20" customWidth="1"/>
    <col min="5" max="5" width="16.140625" style="20" customWidth="1"/>
    <col min="6" max="16384" width="9.140625" style="20"/>
  </cols>
  <sheetData>
    <row r="2" spans="2:5" ht="15.75" x14ac:dyDescent="0.2">
      <c r="B2" s="359" t="s">
        <v>368</v>
      </c>
      <c r="C2" s="360"/>
      <c r="D2" s="360"/>
      <c r="E2" s="361"/>
    </row>
    <row r="3" spans="2:5" x14ac:dyDescent="0.2">
      <c r="B3" s="43" t="s">
        <v>289</v>
      </c>
      <c r="C3" s="44" t="s">
        <v>297</v>
      </c>
      <c r="D3" s="45" t="s">
        <v>314</v>
      </c>
      <c r="E3" s="46" t="s">
        <v>315</v>
      </c>
    </row>
    <row r="4" spans="2:5" x14ac:dyDescent="0.2">
      <c r="B4" s="47" t="s">
        <v>290</v>
      </c>
      <c r="C4" s="48">
        <f>'General Financial Info Survey'!C16</f>
        <v>0</v>
      </c>
      <c r="D4" s="49" t="e">
        <f>D44</f>
        <v>#REF!</v>
      </c>
      <c r="E4" s="50" t="e">
        <f>C4+D4</f>
        <v>#REF!</v>
      </c>
    </row>
    <row r="5" spans="2:5" x14ac:dyDescent="0.2">
      <c r="B5" s="47" t="s">
        <v>292</v>
      </c>
      <c r="C5" s="51">
        <f>'General Financial Info Survey'!C14</f>
        <v>28569000</v>
      </c>
      <c r="D5" s="330">
        <f>E5-C5-'Income Statement Impact'!D19</f>
        <v>-38348.75</v>
      </c>
      <c r="E5" s="53">
        <f>C5-D40-D41</f>
        <v>28509531.25</v>
      </c>
    </row>
    <row r="6" spans="2:5" ht="13.5" thickBot="1" x14ac:dyDescent="0.25">
      <c r="B6" s="47" t="s">
        <v>317</v>
      </c>
      <c r="C6" s="54">
        <f>C7-SUM(C4:C5)</f>
        <v>-28569000</v>
      </c>
      <c r="D6" s="52"/>
      <c r="E6" s="55">
        <f>C6</f>
        <v>-28569000</v>
      </c>
    </row>
    <row r="7" spans="2:5" ht="13.5" thickTop="1" x14ac:dyDescent="0.2">
      <c r="B7" s="33" t="s">
        <v>293</v>
      </c>
      <c r="C7" s="51">
        <f>'General Financial Info Survey'!C20</f>
        <v>0</v>
      </c>
      <c r="D7" s="52" t="e">
        <f>E7-C7</f>
        <v>#REF!</v>
      </c>
      <c r="E7" s="56" t="e">
        <f>SUM(E4:E6)</f>
        <v>#REF!</v>
      </c>
    </row>
    <row r="8" spans="2:5" x14ac:dyDescent="0.2">
      <c r="B8" s="36"/>
      <c r="C8" s="37"/>
      <c r="D8" s="52"/>
      <c r="E8" s="38"/>
    </row>
    <row r="9" spans="2:5" x14ac:dyDescent="0.2">
      <c r="B9" s="33" t="s">
        <v>294</v>
      </c>
      <c r="C9" s="48">
        <f>'General Financial Info Survey'!C18</f>
        <v>29812000</v>
      </c>
      <c r="D9" s="52"/>
      <c r="E9" s="50">
        <f>C9</f>
        <v>29812000</v>
      </c>
    </row>
    <row r="10" spans="2:5" ht="13.5" thickBot="1" x14ac:dyDescent="0.25">
      <c r="B10" s="39" t="s">
        <v>318</v>
      </c>
      <c r="C10" s="57">
        <f>C7-C9</f>
        <v>-29812000</v>
      </c>
      <c r="D10" s="49" t="e">
        <f>E10-C10</f>
        <v>#REF!</v>
      </c>
      <c r="E10" s="55" t="e">
        <f>E7-E9</f>
        <v>#REF!</v>
      </c>
    </row>
    <row r="11" spans="2:5" ht="13.5" thickTop="1" x14ac:dyDescent="0.2">
      <c r="B11" s="39" t="s">
        <v>319</v>
      </c>
      <c r="C11" s="58">
        <f>SUM(C9:C10)</f>
        <v>0</v>
      </c>
      <c r="D11" s="52" t="e">
        <f>E11-C11</f>
        <v>#REF!</v>
      </c>
      <c r="E11" s="50" t="e">
        <f>SUM(E9:E10)</f>
        <v>#REF!</v>
      </c>
    </row>
    <row r="12" spans="2:5" x14ac:dyDescent="0.2">
      <c r="B12" s="59"/>
      <c r="C12" s="40"/>
      <c r="D12" s="40"/>
      <c r="E12" s="41"/>
    </row>
    <row r="15" spans="2:5" ht="15.75" x14ac:dyDescent="0.2">
      <c r="B15" s="359" t="s">
        <v>369</v>
      </c>
      <c r="C15" s="360"/>
      <c r="D15" s="361"/>
    </row>
    <row r="16" spans="2:5" x14ac:dyDescent="0.2">
      <c r="B16" s="60" t="s">
        <v>320</v>
      </c>
      <c r="C16" s="61"/>
      <c r="D16" s="62" t="s">
        <v>314</v>
      </c>
    </row>
    <row r="17" spans="2:4" x14ac:dyDescent="0.2">
      <c r="B17" s="47" t="s">
        <v>268</v>
      </c>
      <c r="C17" s="37"/>
      <c r="D17" s="63">
        <f>'Value Summary'!H21</f>
        <v>5779.4117999999999</v>
      </c>
    </row>
    <row r="18" spans="2:4" x14ac:dyDescent="0.2">
      <c r="B18" s="47" t="s">
        <v>278</v>
      </c>
      <c r="C18" s="37"/>
      <c r="D18" s="63">
        <f>'Value Summary'!H22</f>
        <v>25044.1178</v>
      </c>
    </row>
    <row r="19" spans="2:4" x14ac:dyDescent="0.2">
      <c r="B19" s="47" t="s">
        <v>259</v>
      </c>
      <c r="C19" s="37"/>
      <c r="D19" s="63" t="e">
        <f>'Value Summary'!#REF!</f>
        <v>#REF!</v>
      </c>
    </row>
    <row r="20" spans="2:4" x14ac:dyDescent="0.2">
      <c r="B20" s="47" t="s">
        <v>225</v>
      </c>
      <c r="C20" s="37"/>
      <c r="D20" s="63">
        <f>'Value Summary'!H5</f>
        <v>0</v>
      </c>
    </row>
    <row r="21" spans="2:4" x14ac:dyDescent="0.2">
      <c r="B21" s="47" t="s">
        <v>312</v>
      </c>
      <c r="C21" s="37"/>
      <c r="D21" s="63">
        <f>'Value Summary'!H7</f>
        <v>688500</v>
      </c>
    </row>
    <row r="22" spans="2:4" x14ac:dyDescent="0.2">
      <c r="B22" s="47" t="s">
        <v>306</v>
      </c>
      <c r="C22" s="37"/>
      <c r="D22" s="63">
        <f>'Value Summary'!H8</f>
        <v>425568</v>
      </c>
    </row>
    <row r="23" spans="2:4" x14ac:dyDescent="0.2">
      <c r="B23" s="47" t="s">
        <v>313</v>
      </c>
      <c r="C23" s="37"/>
      <c r="D23" s="63">
        <f>'Value Summary'!H9</f>
        <v>295680</v>
      </c>
    </row>
    <row r="24" spans="2:4" x14ac:dyDescent="0.2">
      <c r="B24" s="47" t="s">
        <v>307</v>
      </c>
      <c r="C24" s="37"/>
      <c r="D24" s="63">
        <f>'Value Summary'!H10</f>
        <v>2912000</v>
      </c>
    </row>
    <row r="25" spans="2:4" x14ac:dyDescent="0.2">
      <c r="B25" s="47" t="s">
        <v>256</v>
      </c>
      <c r="C25" s="37"/>
      <c r="D25" s="63">
        <f>'Value Summary'!H11</f>
        <v>28569</v>
      </c>
    </row>
    <row r="26" spans="2:4" x14ac:dyDescent="0.2">
      <c r="B26" s="47" t="s">
        <v>308</v>
      </c>
      <c r="C26" s="37"/>
      <c r="D26" s="63">
        <f>'Value Summary'!H15</f>
        <v>18592</v>
      </c>
    </row>
    <row r="27" spans="2:4" x14ac:dyDescent="0.2">
      <c r="B27" s="47" t="s">
        <v>257</v>
      </c>
      <c r="C27" s="37"/>
      <c r="D27" s="63" t="e">
        <f>'Value Summary'!#REF!</f>
        <v>#REF!</v>
      </c>
    </row>
    <row r="28" spans="2:4" x14ac:dyDescent="0.2">
      <c r="B28" s="47" t="s">
        <v>258</v>
      </c>
      <c r="C28" s="37"/>
      <c r="D28" s="63" t="e">
        <f>'Value Summary'!#REF!</f>
        <v>#REF!</v>
      </c>
    </row>
    <row r="29" spans="2:4" x14ac:dyDescent="0.2">
      <c r="B29" s="47" t="s">
        <v>309</v>
      </c>
      <c r="C29" s="37"/>
      <c r="D29" s="63">
        <f>'Value Summary'!H16</f>
        <v>0</v>
      </c>
    </row>
    <row r="30" spans="2:4" x14ac:dyDescent="0.2">
      <c r="B30" s="47" t="s">
        <v>310</v>
      </c>
      <c r="C30" s="37"/>
      <c r="D30" s="63">
        <f>'Value Summary'!H17</f>
        <v>0</v>
      </c>
    </row>
    <row r="31" spans="2:4" x14ac:dyDescent="0.2">
      <c r="B31" s="47" t="s">
        <v>311</v>
      </c>
      <c r="C31" s="37"/>
      <c r="D31" s="63">
        <f>'Value Summary'!H18</f>
        <v>327600</v>
      </c>
    </row>
    <row r="32" spans="2:4" x14ac:dyDescent="0.2">
      <c r="B32" s="64" t="s">
        <v>235</v>
      </c>
      <c r="C32" s="37"/>
      <c r="D32" s="63">
        <f>'Value Summary'!H19</f>
        <v>28569</v>
      </c>
    </row>
    <row r="33" spans="2:4" x14ac:dyDescent="0.2">
      <c r="B33" s="47" t="s">
        <v>236</v>
      </c>
      <c r="C33" s="37"/>
      <c r="D33" s="63">
        <f>'Value Summary'!H20</f>
        <v>0.01</v>
      </c>
    </row>
    <row r="34" spans="2:4" x14ac:dyDescent="0.2">
      <c r="B34" s="47" t="s">
        <v>322</v>
      </c>
      <c r="C34" s="37"/>
      <c r="D34" s="65" t="e">
        <f>'Income Statement Impact'!C8-'Income Statement Impact'!E8</f>
        <v>#REF!</v>
      </c>
    </row>
    <row r="35" spans="2:4" x14ac:dyDescent="0.2">
      <c r="B35" s="47" t="s">
        <v>321</v>
      </c>
      <c r="C35" s="37"/>
      <c r="D35" s="66" t="e">
        <f>-('Income Statement Impact'!C32-'Income Statement Impact'!E32)</f>
        <v>#REF!</v>
      </c>
    </row>
    <row r="36" spans="2:4" x14ac:dyDescent="0.2">
      <c r="B36" s="67" t="s">
        <v>323</v>
      </c>
      <c r="C36" s="37"/>
      <c r="D36" s="68" t="e">
        <f>SUM(D17:D35)</f>
        <v>#REF!</v>
      </c>
    </row>
    <row r="37" spans="2:4" x14ac:dyDescent="0.2">
      <c r="B37" s="36"/>
      <c r="C37" s="37"/>
      <c r="D37" s="38"/>
    </row>
    <row r="38" spans="2:4" x14ac:dyDescent="0.2">
      <c r="B38" s="39" t="s">
        <v>324</v>
      </c>
      <c r="C38" s="37"/>
      <c r="D38" s="38"/>
    </row>
    <row r="39" spans="2:4" x14ac:dyDescent="0.2">
      <c r="B39" s="64" t="s">
        <v>94</v>
      </c>
      <c r="C39" s="37"/>
      <c r="D39" s="63">
        <f>'Value Summary'!H6</f>
        <v>2065500</v>
      </c>
    </row>
    <row r="40" spans="2:4" x14ac:dyDescent="0.2">
      <c r="B40" s="47" t="s">
        <v>216</v>
      </c>
      <c r="C40" s="37"/>
      <c r="D40" s="63">
        <f>'Value Summary'!H12</f>
        <v>5406.25</v>
      </c>
    </row>
    <row r="41" spans="2:4" x14ac:dyDescent="0.2">
      <c r="B41" s="47" t="s">
        <v>284</v>
      </c>
      <c r="C41" s="37"/>
      <c r="D41" s="69">
        <f>'Value Summary'!H13</f>
        <v>54062.5</v>
      </c>
    </row>
    <row r="42" spans="2:4" x14ac:dyDescent="0.2">
      <c r="B42" s="67" t="s">
        <v>325</v>
      </c>
      <c r="C42" s="37"/>
      <c r="D42" s="68">
        <f>SUM(D39:D41)</f>
        <v>2124968.75</v>
      </c>
    </row>
    <row r="43" spans="2:4" x14ac:dyDescent="0.2">
      <c r="B43" s="36"/>
      <c r="C43" s="37"/>
      <c r="D43" s="38"/>
    </row>
    <row r="44" spans="2:4" x14ac:dyDescent="0.2">
      <c r="B44" s="33" t="s">
        <v>326</v>
      </c>
      <c r="C44" s="37"/>
      <c r="D44" s="70" t="e">
        <f>D36+D42</f>
        <v>#REF!</v>
      </c>
    </row>
    <row r="45" spans="2:4" x14ac:dyDescent="0.2">
      <c r="B45" s="36"/>
      <c r="C45" s="37"/>
      <c r="D45" s="38"/>
    </row>
    <row r="46" spans="2:4" x14ac:dyDescent="0.2">
      <c r="B46" s="59" t="s">
        <v>316</v>
      </c>
      <c r="C46" s="40"/>
      <c r="D46" s="41"/>
    </row>
  </sheetData>
  <mergeCells count="2">
    <mergeCell ref="B2:E2"/>
    <mergeCell ref="B15:D15"/>
  </mergeCells>
  <phoneticPr fontId="0" type="noConversion"/>
  <pageMargins left="0.75" right="0.75" top="1" bottom="1" header="0.5" footer="0.5"/>
  <pageSetup scale="74"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7"/>
  <sheetViews>
    <sheetView zoomScale="95" workbookViewId="0">
      <selection activeCell="B18" sqref="B18"/>
    </sheetView>
  </sheetViews>
  <sheetFormatPr defaultRowHeight="12.75" x14ac:dyDescent="0.2"/>
  <cols>
    <col min="1" max="1" width="2.28515625" style="20" customWidth="1"/>
    <col min="2" max="2" width="40.5703125" style="20" customWidth="1"/>
    <col min="3" max="3" width="13.140625" style="20" customWidth="1"/>
    <col min="4" max="4" width="16.28515625" style="20" customWidth="1"/>
    <col min="5" max="16384" width="9.140625" style="20"/>
  </cols>
  <sheetData>
    <row r="2" spans="2:4" x14ac:dyDescent="0.2">
      <c r="B2" s="349" t="s">
        <v>333</v>
      </c>
      <c r="C2" s="345"/>
      <c r="D2" s="346"/>
    </row>
    <row r="3" spans="2:4" x14ac:dyDescent="0.2">
      <c r="B3" s="30"/>
      <c r="C3" s="31" t="s">
        <v>297</v>
      </c>
      <c r="D3" s="32" t="s">
        <v>357</v>
      </c>
    </row>
    <row r="4" spans="2:4" x14ac:dyDescent="0.2">
      <c r="B4" s="33" t="s">
        <v>327</v>
      </c>
      <c r="C4" s="34">
        <f>'Income Statement Impact'!C33/'Income Statement Impact'!C4</f>
        <v>1</v>
      </c>
      <c r="D4" s="35" t="e">
        <f>'Income Statement Impact'!E33/'Income Statement Impact'!E4</f>
        <v>#REF!</v>
      </c>
    </row>
    <row r="5" spans="2:4" x14ac:dyDescent="0.2">
      <c r="B5" s="33" t="s">
        <v>328</v>
      </c>
      <c r="C5" s="34" t="e">
        <f>'Income Statement Impact'!C33/'Bal. Sheet and Cash Flow Impact'!C7</f>
        <v>#DIV/0!</v>
      </c>
      <c r="D5" s="35" t="e">
        <f>'Income Statement Impact'!E33/'Bal. Sheet and Cash Flow Impact'!E7</f>
        <v>#REF!</v>
      </c>
    </row>
    <row r="6" spans="2:4" x14ac:dyDescent="0.2">
      <c r="B6" s="33" t="s">
        <v>329</v>
      </c>
      <c r="C6" s="34">
        <f>'Income Statement Impact'!C33/'Bal. Sheet and Cash Flow Impact'!C10</f>
        <v>-0.54927545954649137</v>
      </c>
      <c r="D6" s="35" t="e">
        <f>'Income Statement Impact'!E33/'Bal. Sheet and Cash Flow Impact'!E10</f>
        <v>#REF!</v>
      </c>
    </row>
    <row r="7" spans="2:4" x14ac:dyDescent="0.2">
      <c r="B7" s="121" t="s">
        <v>330</v>
      </c>
      <c r="C7" s="124" t="e">
        <f>'Income Statement Impact'!C33/'General Financial Info Survey'!C22</f>
        <v>#DIV/0!</v>
      </c>
      <c r="D7" s="125" t="e">
        <f>'Income Statement Impact'!E33/'General Financial Info Survey'!C22</f>
        <v>#REF!</v>
      </c>
    </row>
  </sheetData>
  <mergeCells count="1">
    <mergeCell ref="B2:D2"/>
  </mergeCells>
  <phoneticPr fontId="0" type="noConversion"/>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D33"/>
  <sheetViews>
    <sheetView zoomScale="75" workbookViewId="0">
      <selection activeCell="C6" sqref="C6"/>
    </sheetView>
  </sheetViews>
  <sheetFormatPr defaultRowHeight="12.75" x14ac:dyDescent="0.2"/>
  <cols>
    <col min="1" max="1" width="2.7109375" style="20" customWidth="1"/>
    <col min="2" max="2" width="46" style="21" customWidth="1"/>
    <col min="3" max="3" width="18.28515625" style="20" bestFit="1" customWidth="1"/>
    <col min="4" max="4" width="13.42578125" style="20" bestFit="1" customWidth="1"/>
    <col min="5" max="5" width="13.28515625" style="20" bestFit="1" customWidth="1"/>
    <col min="6" max="6" width="13.7109375" style="20" customWidth="1"/>
    <col min="7" max="16384" width="9.140625" style="20"/>
  </cols>
  <sheetData>
    <row r="2" spans="2:4" ht="15.75" x14ac:dyDescent="0.25">
      <c r="B2" s="18" t="s">
        <v>285</v>
      </c>
      <c r="C2" s="19" t="s">
        <v>47</v>
      </c>
    </row>
    <row r="3" spans="2:4" ht="4.5" customHeight="1" thickBot="1" x14ac:dyDescent="0.25">
      <c r="C3" s="22"/>
    </row>
    <row r="4" spans="2:4" ht="15.75" thickBot="1" x14ac:dyDescent="0.25">
      <c r="B4" s="23" t="s">
        <v>288</v>
      </c>
      <c r="C4" s="337">
        <v>16375000</v>
      </c>
      <c r="D4" s="27" t="s">
        <v>372</v>
      </c>
    </row>
    <row r="5" spans="2:4" ht="4.5" customHeight="1" thickBot="1" x14ac:dyDescent="0.25">
      <c r="C5" s="25"/>
      <c r="D5" s="27"/>
    </row>
    <row r="6" spans="2:4" ht="15.75" thickBot="1" x14ac:dyDescent="0.25">
      <c r="B6" s="23" t="s">
        <v>287</v>
      </c>
      <c r="C6" s="337">
        <v>19264706</v>
      </c>
      <c r="D6" s="27" t="s">
        <v>372</v>
      </c>
    </row>
    <row r="7" spans="2:4" ht="4.5" customHeight="1" thickBot="1" x14ac:dyDescent="0.25">
      <c r="C7" s="25"/>
      <c r="D7" s="27"/>
    </row>
    <row r="8" spans="2:4" ht="15.75" thickBot="1" x14ac:dyDescent="0.25">
      <c r="B8" s="23" t="s">
        <v>286</v>
      </c>
      <c r="C8" s="24">
        <v>16375000</v>
      </c>
      <c r="D8" s="27"/>
    </row>
    <row r="9" spans="2:4" ht="4.5" customHeight="1" thickBot="1" x14ac:dyDescent="0.25">
      <c r="C9" s="25"/>
      <c r="D9" s="27"/>
    </row>
    <row r="10" spans="2:4" ht="15.75" thickBot="1" x14ac:dyDescent="0.25">
      <c r="B10" s="23" t="s">
        <v>300</v>
      </c>
      <c r="C10" s="24">
        <v>16375000</v>
      </c>
      <c r="D10" s="27"/>
    </row>
    <row r="11" spans="2:4" ht="4.5" customHeight="1" thickBot="1" x14ac:dyDescent="0.25">
      <c r="C11" s="25"/>
      <c r="D11" s="27"/>
    </row>
    <row r="12" spans="2:4" ht="15.75" thickBot="1" x14ac:dyDescent="0.25">
      <c r="B12" s="23" t="s">
        <v>301</v>
      </c>
      <c r="C12" s="24">
        <v>16375000</v>
      </c>
      <c r="D12" s="27"/>
    </row>
    <row r="13" spans="2:4" ht="3.75" customHeight="1" thickBot="1" x14ac:dyDescent="0.25">
      <c r="C13" s="25"/>
      <c r="D13" s="27"/>
    </row>
    <row r="14" spans="2:4" ht="15.75" thickBot="1" x14ac:dyDescent="0.25">
      <c r="B14" s="23" t="s">
        <v>302</v>
      </c>
      <c r="C14" s="337">
        <v>28569000</v>
      </c>
      <c r="D14" s="27" t="s">
        <v>372</v>
      </c>
    </row>
    <row r="15" spans="2:4" ht="4.5" customHeight="1" thickBot="1" x14ac:dyDescent="0.25">
      <c r="C15" s="25"/>
    </row>
    <row r="16" spans="2:4" ht="15.75" thickBot="1" x14ac:dyDescent="0.25">
      <c r="B16" s="23" t="s">
        <v>303</v>
      </c>
      <c r="C16" s="24">
        <v>0</v>
      </c>
    </row>
    <row r="17" spans="2:3" ht="6" customHeight="1" thickBot="1" x14ac:dyDescent="0.25">
      <c r="B17" s="23"/>
      <c r="C17" s="26"/>
    </row>
    <row r="18" spans="2:3" ht="15.75" thickBot="1" x14ac:dyDescent="0.25">
      <c r="B18" s="23" t="s">
        <v>304</v>
      </c>
      <c r="C18" s="24">
        <v>29812000</v>
      </c>
    </row>
    <row r="19" spans="2:3" ht="3.75" customHeight="1" thickBot="1" x14ac:dyDescent="0.25"/>
    <row r="20" spans="2:3" ht="15.75" thickBot="1" x14ac:dyDescent="0.25">
      <c r="B20" s="23" t="s">
        <v>305</v>
      </c>
      <c r="C20" s="24">
        <v>0</v>
      </c>
    </row>
    <row r="21" spans="2:3" ht="3.75" customHeight="1" thickBot="1" x14ac:dyDescent="0.25"/>
    <row r="22" spans="2:3" ht="15.75" thickBot="1" x14ac:dyDescent="0.25">
      <c r="B22" s="27" t="s">
        <v>331</v>
      </c>
      <c r="C22" s="29">
        <v>0</v>
      </c>
    </row>
    <row r="23" spans="2:3" ht="6" customHeight="1" x14ac:dyDescent="0.2">
      <c r="B23" s="20"/>
    </row>
    <row r="24" spans="2:3" x14ac:dyDescent="0.2">
      <c r="B24" s="20"/>
    </row>
    <row r="25" spans="2:3" ht="6.75" customHeight="1" x14ac:dyDescent="0.2">
      <c r="B25" s="20"/>
    </row>
    <row r="26" spans="2:3" x14ac:dyDescent="0.2">
      <c r="B26" s="20"/>
    </row>
    <row r="27" spans="2:3" ht="4.5" customHeight="1" x14ac:dyDescent="0.2">
      <c r="B27" s="20"/>
    </row>
    <row r="28" spans="2:3" x14ac:dyDescent="0.2">
      <c r="B28" s="20"/>
    </row>
    <row r="29" spans="2:3" ht="4.5" customHeight="1" x14ac:dyDescent="0.2">
      <c r="B29" s="20"/>
    </row>
    <row r="30" spans="2:3" x14ac:dyDescent="0.2">
      <c r="B30" s="20"/>
    </row>
    <row r="31" spans="2:3" x14ac:dyDescent="0.2">
      <c r="B31" s="20"/>
    </row>
    <row r="32" spans="2:3" x14ac:dyDescent="0.2">
      <c r="B32" s="20"/>
    </row>
    <row r="33" spans="2:2" x14ac:dyDescent="0.2">
      <c r="B33" s="20"/>
    </row>
  </sheetData>
  <phoneticPr fontId="0" type="noConversion"/>
  <pageMargins left="0.75" right="0.75" top="1" bottom="1" header="0.5" footer="0.5"/>
  <pageSetup scale="63"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2:H48"/>
  <sheetViews>
    <sheetView topLeftCell="A17" zoomScale="75" workbookViewId="0">
      <selection activeCell="C19" sqref="C19"/>
    </sheetView>
  </sheetViews>
  <sheetFormatPr defaultRowHeight="12.75" x14ac:dyDescent="0.2"/>
  <cols>
    <col min="1" max="1" width="3.42578125" style="20" customWidth="1"/>
    <col min="2" max="2" width="100" style="108" customWidth="1"/>
    <col min="3" max="3" width="15.5703125" style="20" bestFit="1" customWidth="1"/>
    <col min="4" max="4" width="13.42578125" style="126" bestFit="1" customWidth="1"/>
    <col min="5" max="5" width="13.28515625" style="20" bestFit="1" customWidth="1"/>
    <col min="6" max="6" width="13.7109375" style="126" customWidth="1"/>
    <col min="7" max="16384" width="9.140625" style="20"/>
  </cols>
  <sheetData>
    <row r="2" spans="2:8" ht="15.75" x14ac:dyDescent="0.25">
      <c r="B2" s="231" t="s">
        <v>80</v>
      </c>
      <c r="C2" s="19" t="s">
        <v>47</v>
      </c>
      <c r="F2" s="127" t="s">
        <v>81</v>
      </c>
    </row>
    <row r="3" spans="2:8" ht="10.5" customHeight="1" thickBot="1" x14ac:dyDescent="0.3">
      <c r="B3" s="232"/>
      <c r="C3" s="128"/>
      <c r="F3" s="127" t="s">
        <v>82</v>
      </c>
    </row>
    <row r="4" spans="2:8" ht="16.5" thickBot="1" x14ac:dyDescent="0.3">
      <c r="B4" s="132" t="s">
        <v>49</v>
      </c>
      <c r="C4" s="129">
        <v>2</v>
      </c>
      <c r="D4" s="126" t="b">
        <f>IF(C4="a", 1,IF(C4="b", 2, IF(C4="c",3,IF(C4="d",0))))</f>
        <v>0</v>
      </c>
      <c r="F4" s="130">
        <v>1</v>
      </c>
    </row>
    <row r="5" spans="2:8" ht="15.75" x14ac:dyDescent="0.25">
      <c r="B5" s="108" t="s">
        <v>57</v>
      </c>
      <c r="C5" s="131"/>
      <c r="F5" s="130">
        <v>2</v>
      </c>
    </row>
    <row r="6" spans="2:8" ht="15.75" x14ac:dyDescent="0.25">
      <c r="B6" s="108" t="s">
        <v>61</v>
      </c>
      <c r="C6" s="128"/>
      <c r="F6" s="130">
        <v>3</v>
      </c>
    </row>
    <row r="7" spans="2:8" ht="15.75" x14ac:dyDescent="0.25">
      <c r="B7" s="108" t="s">
        <v>65</v>
      </c>
      <c r="C7" s="131"/>
      <c r="F7" s="126">
        <v>4</v>
      </c>
    </row>
    <row r="8" spans="2:8" ht="7.5" customHeight="1" thickBot="1" x14ac:dyDescent="0.3">
      <c r="C8" s="131"/>
      <c r="H8" s="120"/>
    </row>
    <row r="9" spans="2:8" ht="15.75" thickBot="1" x14ac:dyDescent="0.25">
      <c r="B9" s="132" t="s">
        <v>50</v>
      </c>
      <c r="C9" s="133">
        <v>2</v>
      </c>
      <c r="D9" s="126" t="b">
        <f>IF(C9="a", 1,IF(C9="b", 2, IF(C9="c",3,IF(C9="d",0))))</f>
        <v>0</v>
      </c>
      <c r="H9" s="120"/>
    </row>
    <row r="10" spans="2:8" ht="15.75" x14ac:dyDescent="0.2">
      <c r="B10" s="108" t="s">
        <v>58</v>
      </c>
      <c r="C10" s="134"/>
      <c r="H10" s="120"/>
    </row>
    <row r="11" spans="2:8" ht="15.75" x14ac:dyDescent="0.2">
      <c r="B11" s="108" t="s">
        <v>62</v>
      </c>
      <c r="C11" s="134"/>
      <c r="H11" s="120"/>
    </row>
    <row r="12" spans="2:8" ht="15.75" x14ac:dyDescent="0.2">
      <c r="B12" s="108" t="s">
        <v>66</v>
      </c>
      <c r="C12" s="134"/>
    </row>
    <row r="13" spans="2:8" ht="7.5" customHeight="1" thickBot="1" x14ac:dyDescent="0.25">
      <c r="C13" s="134"/>
    </row>
    <row r="14" spans="2:8" ht="15.75" thickBot="1" x14ac:dyDescent="0.25">
      <c r="B14" s="132" t="s">
        <v>51</v>
      </c>
      <c r="C14" s="133">
        <v>1</v>
      </c>
      <c r="D14" s="126" t="b">
        <f>IF(C14="a", 1,IF(C14="b", 2, IF(C14="c",3,IF(C14="d",0))))</f>
        <v>0</v>
      </c>
    </row>
    <row r="15" spans="2:8" ht="15.75" x14ac:dyDescent="0.2">
      <c r="B15" s="108" t="s">
        <v>59</v>
      </c>
      <c r="C15" s="134"/>
    </row>
    <row r="16" spans="2:8" ht="15.75" x14ac:dyDescent="0.2">
      <c r="B16" s="108" t="s">
        <v>63</v>
      </c>
      <c r="C16" s="134"/>
    </row>
    <row r="17" spans="2:6" ht="15.75" x14ac:dyDescent="0.2">
      <c r="B17" s="108" t="s">
        <v>67</v>
      </c>
      <c r="C17" s="134"/>
    </row>
    <row r="18" spans="2:6" ht="7.5" customHeight="1" thickBot="1" x14ac:dyDescent="0.25">
      <c r="C18" s="134"/>
    </row>
    <row r="19" spans="2:6" ht="15.75" thickBot="1" x14ac:dyDescent="0.25">
      <c r="B19" s="132" t="s">
        <v>52</v>
      </c>
      <c r="C19" s="133">
        <v>1</v>
      </c>
      <c r="D19" s="126" t="b">
        <f>IF(C19="a", 1,IF(C19="b", 2, IF(C19="c",3,IF(C19="d",0))))</f>
        <v>0</v>
      </c>
    </row>
    <row r="20" spans="2:6" s="21" customFormat="1" ht="25.5" x14ac:dyDescent="0.2">
      <c r="B20" s="108" t="s">
        <v>60</v>
      </c>
      <c r="C20" s="135"/>
      <c r="D20" s="136"/>
      <c r="F20" s="136"/>
    </row>
    <row r="21" spans="2:6" s="21" customFormat="1" ht="25.5" x14ac:dyDescent="0.2">
      <c r="B21" s="108" t="s">
        <v>64</v>
      </c>
      <c r="C21" s="135"/>
      <c r="D21" s="136"/>
      <c r="F21" s="136"/>
    </row>
    <row r="22" spans="2:6" s="21" customFormat="1" ht="25.5" x14ac:dyDescent="0.2">
      <c r="B22" s="108" t="s">
        <v>68</v>
      </c>
      <c r="C22" s="135"/>
      <c r="D22" s="136"/>
      <c r="F22" s="136"/>
    </row>
    <row r="23" spans="2:6" ht="4.5" customHeight="1" thickBot="1" x14ac:dyDescent="0.25">
      <c r="C23" s="22"/>
    </row>
    <row r="24" spans="2:6" ht="15.75" thickBot="1" x14ac:dyDescent="0.25">
      <c r="B24" s="229" t="s">
        <v>53</v>
      </c>
      <c r="C24" s="24">
        <v>17000000</v>
      </c>
      <c r="E24" s="20" t="s">
        <v>376</v>
      </c>
    </row>
    <row r="25" spans="2:6" ht="4.5" customHeight="1" thickBot="1" x14ac:dyDescent="0.25">
      <c r="C25" s="25"/>
    </row>
    <row r="26" spans="2:6" ht="15.75" thickBot="1" x14ac:dyDescent="0.25">
      <c r="B26" s="229" t="s">
        <v>73</v>
      </c>
      <c r="C26" s="137">
        <v>0.9</v>
      </c>
    </row>
    <row r="27" spans="2:6" ht="4.5" customHeight="1" thickBot="1" x14ac:dyDescent="0.25">
      <c r="C27" s="25"/>
    </row>
    <row r="28" spans="2:6" ht="15.75" thickBot="1" x14ac:dyDescent="0.25">
      <c r="B28" s="229" t="s">
        <v>54</v>
      </c>
      <c r="C28" s="138">
        <v>0.5</v>
      </c>
    </row>
    <row r="29" spans="2:6" ht="4.5" customHeight="1" thickBot="1" x14ac:dyDescent="0.25">
      <c r="C29" s="25"/>
    </row>
    <row r="30" spans="2:6" ht="15.75" thickBot="1" x14ac:dyDescent="0.25">
      <c r="B30" s="229" t="s">
        <v>55</v>
      </c>
      <c r="C30" s="139">
        <v>55</v>
      </c>
      <c r="D30" s="140" t="s">
        <v>46</v>
      </c>
      <c r="E30" s="20" t="s">
        <v>373</v>
      </c>
    </row>
    <row r="31" spans="2:6" ht="3.75" customHeight="1" thickBot="1" x14ac:dyDescent="0.25">
      <c r="C31" s="25"/>
    </row>
    <row r="32" spans="2:6" ht="15.75" thickBot="1" x14ac:dyDescent="0.25">
      <c r="B32" s="229" t="s">
        <v>56</v>
      </c>
      <c r="C32" s="24">
        <v>8000000</v>
      </c>
      <c r="D32" s="126" t="s">
        <v>45</v>
      </c>
    </row>
    <row r="33" spans="2:5" ht="4.5" customHeight="1" thickBot="1" x14ac:dyDescent="0.25">
      <c r="C33" s="25"/>
    </row>
    <row r="34" spans="2:5" ht="15.75" thickBot="1" x14ac:dyDescent="0.25">
      <c r="B34" s="229" t="s">
        <v>72</v>
      </c>
      <c r="C34" s="137">
        <v>1</v>
      </c>
    </row>
    <row r="35" spans="2:5" ht="6" customHeight="1" thickBot="1" x14ac:dyDescent="0.25">
      <c r="B35" s="229"/>
      <c r="C35" s="26"/>
    </row>
    <row r="36" spans="2:5" ht="15.75" thickBot="1" x14ac:dyDescent="0.25">
      <c r="B36" s="229" t="s">
        <v>87</v>
      </c>
      <c r="C36" s="137">
        <v>0</v>
      </c>
    </row>
    <row r="37" spans="2:5" ht="3.75" customHeight="1" thickBot="1" x14ac:dyDescent="0.25"/>
    <row r="38" spans="2:5" ht="15.75" thickBot="1" x14ac:dyDescent="0.25">
      <c r="B38" s="229" t="s">
        <v>83</v>
      </c>
      <c r="C38" s="141" t="s">
        <v>82</v>
      </c>
    </row>
    <row r="39" spans="2:5" ht="3.75" customHeight="1" thickBot="1" x14ac:dyDescent="0.25"/>
    <row r="40" spans="2:5" ht="15.75" thickBot="1" x14ac:dyDescent="0.25">
      <c r="B40" s="229" t="s">
        <v>88</v>
      </c>
      <c r="C40" s="29">
        <v>2000</v>
      </c>
    </row>
    <row r="41" spans="2:5" ht="6" customHeight="1" thickBot="1" x14ac:dyDescent="0.25"/>
    <row r="42" spans="2:5" ht="15.75" thickBot="1" x14ac:dyDescent="0.25">
      <c r="B42" s="229" t="s">
        <v>89</v>
      </c>
      <c r="C42" s="29">
        <v>31</v>
      </c>
    </row>
    <row r="43" spans="2:5" ht="6.75" customHeight="1" thickBot="1" x14ac:dyDescent="0.25"/>
    <row r="44" spans="2:5" ht="15.75" thickBot="1" x14ac:dyDescent="0.25">
      <c r="B44" s="132" t="s">
        <v>90</v>
      </c>
      <c r="C44" s="137">
        <v>0.16</v>
      </c>
    </row>
    <row r="45" spans="2:5" ht="4.5" customHeight="1" thickBot="1" x14ac:dyDescent="0.25"/>
    <row r="46" spans="2:5" ht="15.75" thickBot="1" x14ac:dyDescent="0.25">
      <c r="B46" s="229" t="s">
        <v>91</v>
      </c>
      <c r="C46" s="24">
        <v>114400</v>
      </c>
      <c r="D46" s="126" t="s">
        <v>45</v>
      </c>
      <c r="E46" s="20" t="s">
        <v>374</v>
      </c>
    </row>
    <row r="47" spans="2:5" ht="4.5" customHeight="1" x14ac:dyDescent="0.2"/>
    <row r="48" spans="2:5" ht="33" customHeight="1" x14ac:dyDescent="0.2">
      <c r="B48" s="229" t="s">
        <v>99</v>
      </c>
      <c r="C48" s="338">
        <f>C46*C42*C44/C40</f>
        <v>283.71199999999999</v>
      </c>
    </row>
  </sheetData>
  <phoneticPr fontId="0" type="noConversion"/>
  <dataValidations count="2">
    <dataValidation type="list" allowBlank="1" showInputMessage="1" showErrorMessage="1" sqref="C4 C9 C14 C19">
      <formula1>$F$4:$F$6</formula1>
    </dataValidation>
    <dataValidation type="list" allowBlank="1" showInputMessage="1" showErrorMessage="1" sqref="C38">
      <formula1>$F$2:$F$3</formula1>
    </dataValidation>
  </dataValidations>
  <pageMargins left="0.75" right="0.75" top="1" bottom="1" header="0.5" footer="0.5"/>
  <pageSetup scale="68"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H87"/>
  <sheetViews>
    <sheetView topLeftCell="B15" zoomScale="75" workbookViewId="0">
      <selection activeCell="C14" sqref="C14"/>
    </sheetView>
  </sheetViews>
  <sheetFormatPr defaultRowHeight="12.75" x14ac:dyDescent="0.2"/>
  <cols>
    <col min="1" max="1" width="3.42578125" style="20" customWidth="1"/>
    <col min="2" max="2" width="121.42578125" style="108" customWidth="1"/>
    <col min="3" max="3" width="15.5703125" style="20" bestFit="1" customWidth="1"/>
    <col min="4" max="4" width="13.42578125" style="126" bestFit="1" customWidth="1"/>
    <col min="5" max="5" width="13.28515625" style="20" bestFit="1" customWidth="1"/>
    <col min="6" max="6" width="13.7109375" style="126" customWidth="1"/>
    <col min="7" max="16384" width="9.140625" style="20"/>
  </cols>
  <sheetData>
    <row r="2" spans="2:8" ht="15.75" x14ac:dyDescent="0.25">
      <c r="B2" s="334" t="s">
        <v>100</v>
      </c>
      <c r="C2" s="218" t="s">
        <v>47</v>
      </c>
      <c r="F2" s="127" t="s">
        <v>81</v>
      </c>
    </row>
    <row r="3" spans="2:8" ht="10.5" customHeight="1" thickBot="1" x14ac:dyDescent="0.3">
      <c r="B3" s="335"/>
      <c r="C3" s="219"/>
      <c r="F3" s="127" t="s">
        <v>82</v>
      </c>
    </row>
    <row r="4" spans="2:8" ht="16.5" thickBot="1" x14ac:dyDescent="0.3">
      <c r="B4" s="132" t="s">
        <v>125</v>
      </c>
      <c r="C4" s="220">
        <v>2</v>
      </c>
      <c r="D4" s="126" t="b">
        <f>IF(C4="a", 1,IF(C4="b", 2, IF(C4="c",3,IF(C4="d",0))))</f>
        <v>0</v>
      </c>
      <c r="F4" s="130">
        <v>1</v>
      </c>
    </row>
    <row r="5" spans="2:8" ht="25.5" x14ac:dyDescent="0.25">
      <c r="B5" s="98" t="s">
        <v>118</v>
      </c>
      <c r="C5" s="221"/>
      <c r="F5" s="130">
        <v>2</v>
      </c>
    </row>
    <row r="6" spans="2:8" ht="25.5" x14ac:dyDescent="0.25">
      <c r="B6" s="98" t="s">
        <v>126</v>
      </c>
      <c r="C6" s="219"/>
      <c r="F6" s="130">
        <v>3</v>
      </c>
    </row>
    <row r="7" spans="2:8" ht="38.25" x14ac:dyDescent="0.25">
      <c r="B7" s="98" t="s">
        <v>164</v>
      </c>
      <c r="C7" s="221"/>
      <c r="F7" s="126">
        <v>4</v>
      </c>
    </row>
    <row r="8" spans="2:8" ht="6.75" customHeight="1" thickBot="1" x14ac:dyDescent="0.3">
      <c r="B8" s="335"/>
      <c r="C8" s="219"/>
      <c r="F8" s="127"/>
    </row>
    <row r="9" spans="2:8" ht="15.75" thickBot="1" x14ac:dyDescent="0.25">
      <c r="B9" s="132" t="s">
        <v>119</v>
      </c>
      <c r="C9" s="222">
        <v>1</v>
      </c>
      <c r="D9" s="126" t="b">
        <f>IF(C9="a", 1,IF(C9="b", 2, IF(C9="c",3,IF(C9="d",0))))</f>
        <v>0</v>
      </c>
      <c r="H9" s="120"/>
    </row>
    <row r="10" spans="2:8" ht="15.75" x14ac:dyDescent="0.2">
      <c r="B10" s="98" t="s">
        <v>106</v>
      </c>
      <c r="C10" s="223"/>
      <c r="H10" s="120"/>
    </row>
    <row r="11" spans="2:8" ht="15.75" customHeight="1" x14ac:dyDescent="0.2">
      <c r="B11" s="98" t="s">
        <v>107</v>
      </c>
      <c r="C11" s="223"/>
      <c r="H11" s="120"/>
    </row>
    <row r="12" spans="2:8" ht="15.75" x14ac:dyDescent="0.2">
      <c r="B12" s="98" t="s">
        <v>108</v>
      </c>
      <c r="C12" s="223"/>
    </row>
    <row r="13" spans="2:8" ht="4.5" customHeight="1" thickBot="1" x14ac:dyDescent="0.25">
      <c r="B13" s="98"/>
      <c r="C13" s="223"/>
    </row>
    <row r="14" spans="2:8" ht="15.75" thickBot="1" x14ac:dyDescent="0.25">
      <c r="B14" s="132" t="s">
        <v>120</v>
      </c>
      <c r="C14" s="222">
        <v>1</v>
      </c>
      <c r="D14" s="126" t="b">
        <f>IF(C14="a", 1,IF(C14="b", 2, IF(C14="c",3,IF(C14="d",0))))</f>
        <v>0</v>
      </c>
      <c r="H14" s="120"/>
    </row>
    <row r="15" spans="2:8" ht="15.75" x14ac:dyDescent="0.2">
      <c r="B15" s="98" t="s">
        <v>109</v>
      </c>
      <c r="C15" s="223"/>
      <c r="H15" s="120"/>
    </row>
    <row r="16" spans="2:8" ht="15.75" x14ac:dyDescent="0.2">
      <c r="B16" s="98" t="s">
        <v>110</v>
      </c>
      <c r="C16" s="223"/>
      <c r="H16" s="120"/>
    </row>
    <row r="17" spans="2:6" ht="25.5" x14ac:dyDescent="0.2">
      <c r="B17" s="98" t="s">
        <v>111</v>
      </c>
      <c r="C17" s="223"/>
    </row>
    <row r="18" spans="2:6" ht="4.5" customHeight="1" thickBot="1" x14ac:dyDescent="0.25">
      <c r="B18" s="98"/>
      <c r="C18" s="223"/>
    </row>
    <row r="19" spans="2:6" ht="16.5" thickBot="1" x14ac:dyDescent="0.3">
      <c r="B19" s="132" t="s">
        <v>121</v>
      </c>
      <c r="C19" s="220">
        <v>1</v>
      </c>
      <c r="D19" s="126" t="b">
        <f>IF(C19="a", 1,IF(C19="b", 2, IF(C19="c",3,IF(C19="d",0))))</f>
        <v>0</v>
      </c>
      <c r="F19" s="130">
        <v>1</v>
      </c>
    </row>
    <row r="20" spans="2:6" ht="15.75" x14ac:dyDescent="0.25">
      <c r="B20" s="98" t="s">
        <v>103</v>
      </c>
      <c r="C20" s="221"/>
      <c r="F20" s="130">
        <v>2</v>
      </c>
    </row>
    <row r="21" spans="2:6" ht="15.75" x14ac:dyDescent="0.25">
      <c r="B21" s="98" t="s">
        <v>105</v>
      </c>
      <c r="C21" s="219"/>
      <c r="F21" s="130">
        <v>3</v>
      </c>
    </row>
    <row r="22" spans="2:6" ht="25.5" x14ac:dyDescent="0.25">
      <c r="B22" s="98" t="s">
        <v>104</v>
      </c>
      <c r="C22" s="221"/>
      <c r="F22" s="126">
        <v>4</v>
      </c>
    </row>
    <row r="23" spans="2:6" ht="5.25" customHeight="1" thickBot="1" x14ac:dyDescent="0.3">
      <c r="B23" s="98"/>
      <c r="C23" s="221"/>
    </row>
    <row r="24" spans="2:6" ht="18" customHeight="1" thickBot="1" x14ac:dyDescent="0.25">
      <c r="B24" s="132" t="s">
        <v>122</v>
      </c>
      <c r="C24" s="222">
        <v>2</v>
      </c>
      <c r="D24" s="126" t="b">
        <f>IF(C24="a", 1,IF(C24="b", 2, IF(C24="c",3,IF(C24="d",0))))</f>
        <v>0</v>
      </c>
    </row>
    <row r="25" spans="2:6" s="21" customFormat="1" x14ac:dyDescent="0.2">
      <c r="B25" s="98" t="s">
        <v>117</v>
      </c>
      <c r="C25" s="135"/>
      <c r="D25" s="136"/>
      <c r="F25" s="136"/>
    </row>
    <row r="26" spans="2:6" s="21" customFormat="1" x14ac:dyDescent="0.2">
      <c r="B26" s="98" t="s">
        <v>112</v>
      </c>
      <c r="C26" s="135"/>
      <c r="D26" s="136"/>
      <c r="F26" s="136"/>
    </row>
    <row r="27" spans="2:6" s="21" customFormat="1" ht="25.5" x14ac:dyDescent="0.2">
      <c r="B27" s="98" t="s">
        <v>113</v>
      </c>
      <c r="C27" s="135"/>
      <c r="D27" s="136"/>
      <c r="F27" s="136"/>
    </row>
    <row r="28" spans="2:6" s="21" customFormat="1" ht="5.25" customHeight="1" thickBot="1" x14ac:dyDescent="0.25">
      <c r="B28" s="98"/>
      <c r="C28" s="135"/>
      <c r="D28" s="136"/>
      <c r="F28" s="136"/>
    </row>
    <row r="29" spans="2:6" ht="15.75" thickBot="1" x14ac:dyDescent="0.25">
      <c r="B29" s="132" t="s">
        <v>123</v>
      </c>
      <c r="C29" s="222">
        <v>1</v>
      </c>
      <c r="D29" s="126" t="b">
        <f>IF(C29="a", 1,IF(C29="b", 2, IF(C29="c",3,IF(C29="d",0))))</f>
        <v>0</v>
      </c>
    </row>
    <row r="30" spans="2:6" s="21" customFormat="1" x14ac:dyDescent="0.2">
      <c r="B30" s="98" t="s">
        <v>116</v>
      </c>
      <c r="C30" s="135"/>
      <c r="D30" s="136"/>
      <c r="F30" s="136"/>
    </row>
    <row r="31" spans="2:6" s="21" customFormat="1" x14ac:dyDescent="0.2">
      <c r="B31" s="98" t="s">
        <v>114</v>
      </c>
      <c r="C31" s="135"/>
      <c r="D31" s="136"/>
      <c r="F31" s="136"/>
    </row>
    <row r="32" spans="2:6" s="21" customFormat="1" x14ac:dyDescent="0.2">
      <c r="B32" s="98" t="s">
        <v>115</v>
      </c>
      <c r="C32" s="135"/>
      <c r="D32" s="136"/>
      <c r="F32" s="136"/>
    </row>
    <row r="33" spans="2:6" s="21" customFormat="1" ht="3.75" customHeight="1" thickBot="1" x14ac:dyDescent="0.25">
      <c r="B33" s="98"/>
      <c r="C33" s="135"/>
      <c r="D33" s="136"/>
      <c r="F33" s="136"/>
    </row>
    <row r="34" spans="2:6" ht="15.75" thickBot="1" x14ac:dyDescent="0.25">
      <c r="B34" s="132" t="s">
        <v>127</v>
      </c>
      <c r="C34" s="224">
        <v>56</v>
      </c>
    </row>
    <row r="35" spans="2:6" ht="4.5" customHeight="1" thickBot="1" x14ac:dyDescent="0.25">
      <c r="B35" s="98"/>
      <c r="C35" s="21"/>
    </row>
    <row r="36" spans="2:6" ht="15.75" thickBot="1" x14ac:dyDescent="0.25">
      <c r="B36" s="132" t="s">
        <v>128</v>
      </c>
      <c r="C36" s="225">
        <v>260000</v>
      </c>
      <c r="D36" s="140" t="s">
        <v>46</v>
      </c>
    </row>
    <row r="37" spans="2:6" ht="3.75" customHeight="1" thickBot="1" x14ac:dyDescent="0.25">
      <c r="B37" s="98"/>
      <c r="C37" s="226"/>
    </row>
    <row r="38" spans="2:6" ht="15.75" thickBot="1" x14ac:dyDescent="0.25">
      <c r="B38" s="132" t="s">
        <v>124</v>
      </c>
      <c r="C38" s="227">
        <v>17600</v>
      </c>
      <c r="D38" s="140" t="s">
        <v>46</v>
      </c>
    </row>
    <row r="39" spans="2:6" ht="4.5" customHeight="1" x14ac:dyDescent="0.2">
      <c r="C39" s="25"/>
    </row>
    <row r="40" spans="2:6" ht="6" customHeight="1" x14ac:dyDescent="0.2">
      <c r="B40" s="229"/>
      <c r="C40" s="26"/>
    </row>
    <row r="41" spans="2:6" x14ac:dyDescent="0.2">
      <c r="D41" s="20"/>
      <c r="F41" s="20"/>
    </row>
    <row r="42" spans="2:6" ht="3.75" customHeight="1" x14ac:dyDescent="0.2">
      <c r="D42" s="20"/>
      <c r="F42" s="20"/>
    </row>
    <row r="43" spans="2:6" x14ac:dyDescent="0.2">
      <c r="D43" s="20"/>
      <c r="F43" s="20"/>
    </row>
    <row r="44" spans="2:6" ht="3.75" customHeight="1" x14ac:dyDescent="0.2">
      <c r="D44" s="20"/>
      <c r="F44" s="20"/>
    </row>
    <row r="45" spans="2:6" x14ac:dyDescent="0.2">
      <c r="D45" s="20"/>
      <c r="F45" s="20"/>
    </row>
    <row r="46" spans="2:6" ht="6" customHeight="1" x14ac:dyDescent="0.2">
      <c r="D46" s="20"/>
      <c r="F46" s="20"/>
    </row>
    <row r="47" spans="2:6" x14ac:dyDescent="0.2">
      <c r="D47" s="20"/>
      <c r="F47" s="20"/>
    </row>
    <row r="48" spans="2:6" ht="6.75" customHeight="1" x14ac:dyDescent="0.2">
      <c r="D48" s="20"/>
      <c r="F48" s="20"/>
    </row>
    <row r="49" spans="4:6" x14ac:dyDescent="0.2">
      <c r="D49" s="20"/>
      <c r="F49" s="20"/>
    </row>
    <row r="50" spans="4:6" ht="4.5" customHeight="1" x14ac:dyDescent="0.2">
      <c r="D50" s="20"/>
      <c r="F50" s="20"/>
    </row>
    <row r="51" spans="4:6" x14ac:dyDescent="0.2">
      <c r="D51" s="20"/>
      <c r="F51" s="20"/>
    </row>
    <row r="52" spans="4:6" ht="4.5" customHeight="1" x14ac:dyDescent="0.2">
      <c r="D52" s="20"/>
      <c r="F52" s="20"/>
    </row>
    <row r="53" spans="4:6" x14ac:dyDescent="0.2">
      <c r="D53" s="20"/>
      <c r="F53" s="20"/>
    </row>
    <row r="54" spans="4:6" x14ac:dyDescent="0.2">
      <c r="D54" s="20"/>
      <c r="F54" s="20"/>
    </row>
    <row r="55" spans="4:6" x14ac:dyDescent="0.2">
      <c r="D55" s="20"/>
      <c r="F55" s="20"/>
    </row>
    <row r="56" spans="4:6" x14ac:dyDescent="0.2">
      <c r="D56" s="20"/>
      <c r="F56" s="20"/>
    </row>
    <row r="57" spans="4:6" x14ac:dyDescent="0.2">
      <c r="D57" s="20"/>
      <c r="F57" s="20"/>
    </row>
    <row r="58" spans="4:6" x14ac:dyDescent="0.2">
      <c r="D58" s="20"/>
      <c r="F58" s="20"/>
    </row>
    <row r="59" spans="4:6" x14ac:dyDescent="0.2">
      <c r="D59" s="20"/>
      <c r="F59" s="20"/>
    </row>
    <row r="60" spans="4:6" x14ac:dyDescent="0.2">
      <c r="D60" s="20"/>
      <c r="F60" s="20"/>
    </row>
    <row r="61" spans="4:6" x14ac:dyDescent="0.2">
      <c r="D61" s="20"/>
      <c r="F61" s="20"/>
    </row>
    <row r="62" spans="4:6" x14ac:dyDescent="0.2">
      <c r="D62" s="20"/>
      <c r="F62" s="20"/>
    </row>
    <row r="63" spans="4:6" x14ac:dyDescent="0.2">
      <c r="D63" s="20"/>
      <c r="F63" s="20"/>
    </row>
    <row r="64" spans="4:6" x14ac:dyDescent="0.2">
      <c r="D64" s="20"/>
      <c r="F64" s="20"/>
    </row>
    <row r="65" spans="4:6" x14ac:dyDescent="0.2">
      <c r="D65" s="20"/>
      <c r="F65" s="20"/>
    </row>
    <row r="66" spans="4:6" x14ac:dyDescent="0.2">
      <c r="D66" s="20"/>
      <c r="F66" s="20"/>
    </row>
    <row r="67" spans="4:6" x14ac:dyDescent="0.2">
      <c r="D67" s="20"/>
      <c r="F67" s="20"/>
    </row>
    <row r="68" spans="4:6" x14ac:dyDescent="0.2">
      <c r="D68" s="20"/>
      <c r="F68" s="20"/>
    </row>
    <row r="69" spans="4:6" x14ac:dyDescent="0.2">
      <c r="D69" s="20"/>
      <c r="F69" s="20"/>
    </row>
    <row r="70" spans="4:6" x14ac:dyDescent="0.2">
      <c r="D70" s="20"/>
      <c r="F70" s="20"/>
    </row>
    <row r="71" spans="4:6" x14ac:dyDescent="0.2">
      <c r="D71" s="20"/>
      <c r="F71" s="20"/>
    </row>
    <row r="72" spans="4:6" x14ac:dyDescent="0.2">
      <c r="D72" s="20"/>
      <c r="F72" s="20"/>
    </row>
    <row r="73" spans="4:6" x14ac:dyDescent="0.2">
      <c r="D73" s="20"/>
      <c r="F73" s="20"/>
    </row>
    <row r="74" spans="4:6" x14ac:dyDescent="0.2">
      <c r="D74" s="20"/>
      <c r="F74" s="20"/>
    </row>
    <row r="75" spans="4:6" x14ac:dyDescent="0.2">
      <c r="D75" s="20"/>
      <c r="F75" s="20"/>
    </row>
    <row r="76" spans="4:6" x14ac:dyDescent="0.2">
      <c r="D76" s="20"/>
      <c r="F76" s="20"/>
    </row>
    <row r="77" spans="4:6" x14ac:dyDescent="0.2">
      <c r="D77" s="20"/>
      <c r="F77" s="20"/>
    </row>
    <row r="78" spans="4:6" x14ac:dyDescent="0.2">
      <c r="D78" s="20"/>
      <c r="F78" s="20"/>
    </row>
    <row r="79" spans="4:6" x14ac:dyDescent="0.2">
      <c r="D79" s="20"/>
      <c r="F79" s="20"/>
    </row>
    <row r="80" spans="4:6" x14ac:dyDescent="0.2">
      <c r="D80" s="20"/>
      <c r="F80" s="20"/>
    </row>
    <row r="81" spans="4:6" x14ac:dyDescent="0.2">
      <c r="D81" s="20"/>
      <c r="F81" s="20"/>
    </row>
    <row r="82" spans="4:6" x14ac:dyDescent="0.2">
      <c r="D82" s="20"/>
      <c r="F82" s="20"/>
    </row>
    <row r="83" spans="4:6" x14ac:dyDescent="0.2">
      <c r="D83" s="20"/>
      <c r="F83" s="20"/>
    </row>
    <row r="84" spans="4:6" x14ac:dyDescent="0.2">
      <c r="D84" s="20"/>
      <c r="F84" s="20"/>
    </row>
    <row r="85" spans="4:6" x14ac:dyDescent="0.2">
      <c r="D85" s="20"/>
      <c r="F85" s="20"/>
    </row>
    <row r="86" spans="4:6" x14ac:dyDescent="0.2">
      <c r="D86" s="20"/>
      <c r="F86" s="20"/>
    </row>
    <row r="87" spans="4:6" x14ac:dyDescent="0.2">
      <c r="D87" s="20"/>
      <c r="F87" s="20"/>
    </row>
  </sheetData>
  <phoneticPr fontId="0" type="noConversion"/>
  <dataValidations count="1">
    <dataValidation type="list" allowBlank="1" showInputMessage="1" showErrorMessage="1" sqref="C19 C14 C29 C24 C9 C4">
      <formula1>$F$19:$F$21</formula1>
    </dataValidation>
  </dataValidations>
  <pageMargins left="0.75" right="0.75" top="1" bottom="1" header="0.5" footer="0.5"/>
  <pageSetup scale="5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17</vt:i4>
      </vt:variant>
    </vt:vector>
  </HeadingPairs>
  <TitlesOfParts>
    <vt:vector size="36" baseType="lpstr">
      <vt:lpstr>Value Workbook Overview</vt:lpstr>
      <vt:lpstr>Value Area Map</vt:lpstr>
      <vt:lpstr>Value Summary</vt:lpstr>
      <vt:lpstr>Income Statement Impact</vt:lpstr>
      <vt:lpstr>Bal. Sheet and Cash Flow Impact</vt:lpstr>
      <vt:lpstr>Key Financial Ratios</vt:lpstr>
      <vt:lpstr>General Financial Info Survey</vt:lpstr>
      <vt:lpstr>MRO Supply Chain Survey</vt:lpstr>
      <vt:lpstr>Workforce Mgmt Survey</vt:lpstr>
      <vt:lpstr>IT Survey</vt:lpstr>
      <vt:lpstr>Capital Investment Survey</vt:lpstr>
      <vt:lpstr>Asset Productivity Survey</vt:lpstr>
      <vt:lpstr>Operating Risk Survey</vt:lpstr>
      <vt:lpstr>MRO Supply Chain Value</vt:lpstr>
      <vt:lpstr>Workforce Mgmt Value</vt:lpstr>
      <vt:lpstr>IT Value</vt:lpstr>
      <vt:lpstr>Capital Investment Value</vt:lpstr>
      <vt:lpstr>Asset Productivity Value</vt:lpstr>
      <vt:lpstr>Operating Risk Value</vt:lpstr>
      <vt:lpstr>'Asset Productivity Survey'!Print_Area</vt:lpstr>
      <vt:lpstr>'Asset Productivity Value'!Print_Area</vt:lpstr>
      <vt:lpstr>'Bal. Sheet and Cash Flow Impact'!Print_Area</vt:lpstr>
      <vt:lpstr>'Capital Investment Survey'!Print_Area</vt:lpstr>
      <vt:lpstr>'Capital Investment Value'!Print_Area</vt:lpstr>
      <vt:lpstr>'Income Statement Impact'!Print_Area</vt:lpstr>
      <vt:lpstr>'IT Survey'!Print_Area</vt:lpstr>
      <vt:lpstr>'IT Value'!Print_Area</vt:lpstr>
      <vt:lpstr>'MRO Supply Chain Survey'!Print_Area</vt:lpstr>
      <vt:lpstr>'MRO Supply Chain Value'!Print_Area</vt:lpstr>
      <vt:lpstr>'Operating Risk Survey'!Print_Area</vt:lpstr>
      <vt:lpstr>'Operating Risk Value'!Print_Area</vt:lpstr>
      <vt:lpstr>'Value Area Map'!Print_Area</vt:lpstr>
      <vt:lpstr>'Value Summary'!Print_Area</vt:lpstr>
      <vt:lpstr>'Value Workbook Overview'!Print_Area</vt:lpstr>
      <vt:lpstr>'Workforce Mgmt Survey'!Print_Area</vt:lpstr>
      <vt:lpstr>'Workforce Mgmt Value'!Print_Area</vt:lpstr>
    </vt:vector>
  </TitlesOfParts>
  <Company>Datastream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Datastream</dc:creator>
  <cp:lastModifiedBy>Jan Havlíček</cp:lastModifiedBy>
  <cp:lastPrinted>2002-07-05T18:28:57Z</cp:lastPrinted>
  <dcterms:created xsi:type="dcterms:W3CDTF">2001-11-07T18:11:26Z</dcterms:created>
  <dcterms:modified xsi:type="dcterms:W3CDTF">2023-09-16T21:13:24Z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-361627423</vt:i4>
  </property>
  <property fmtid="{D5CDD505-2E9C-101B-9397-08002B2CF9AE}" pid="3" name="_EmailSubject">
    <vt:lpwstr>ROI Model</vt:lpwstr>
  </property>
  <property fmtid="{D5CDD505-2E9C-101B-9397-08002B2CF9AE}" pid="4" name="_AuthorEmail">
    <vt:lpwstr>Dustin.Caudell@datastream.net</vt:lpwstr>
  </property>
  <property fmtid="{D5CDD505-2E9C-101B-9397-08002B2CF9AE}" pid="5" name="_AuthorEmailDisplayName">
    <vt:lpwstr>Dustin Caudell</vt:lpwstr>
  </property>
  <property fmtid="{D5CDD505-2E9C-101B-9397-08002B2CF9AE}" pid="6" name="_PreviousAdHocReviewCycleID">
    <vt:i4>-126104259</vt:i4>
  </property>
</Properties>
</file>